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RASANEN\#  Rate Filings\Sch 129 Low Income\2019 Filing\no links\"/>
    </mc:Choice>
  </mc:AlternateContent>
  <bookViews>
    <workbookView xWindow="-15" yWindow="45" windowWidth="11520" windowHeight="8985"/>
  </bookViews>
  <sheets>
    <sheet name="2019 Proposed Impacts" sheetId="12" r:id="rId1"/>
    <sheet name="2019 Equal % Allocation" sheetId="13" r:id="rId2"/>
    <sheet name="2018 Street &amp; Area Lighting" sheetId="55" r:id="rId3"/>
    <sheet name="Typ Res Tot Elec" sheetId="8" r:id="rId4"/>
    <sheet name="Estimated Base Revenue" sheetId="32" r:id="rId5"/>
    <sheet name="2018 Equal % Allocation " sheetId="40" r:id="rId6"/>
    <sheet name="Revenue Req 2019-2020 " sheetId="45" r:id="rId7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5">'2018 Equal % Allocation '!#REF!</definedName>
    <definedName name="_xlnm.Print_Area" localSheetId="2">'2018 Street &amp; Area Lighting'!$A$1:$J$200</definedName>
    <definedName name="_xlnm.Print_Area" localSheetId="1">'2019 Equal % Allocation'!$A$1:$I$47</definedName>
    <definedName name="_xlnm.Print_Area" localSheetId="0">'2019 Proposed Impacts'!$A$1:$L$44</definedName>
    <definedName name="_xlnm.Print_Area" localSheetId="4">'Estimated Base Revenue'!$A$1:$O$47</definedName>
    <definedName name="_xlnm.Print_Area" localSheetId="6">'Revenue Req 2019-2020 '!#REF!</definedName>
    <definedName name="_xlnm.Print_Area" localSheetId="3">'Typ Res Tot Elec'!$A$1:$U$68</definedName>
    <definedName name="_xlnm.Print_Titles" localSheetId="2">'2018 Street &amp; Area Lighting'!$1:$23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 iterate="1" calcOnSave="0"/>
</workbook>
</file>

<file path=xl/calcChain.xml><?xml version="1.0" encoding="utf-8"?>
<calcChain xmlns="http://schemas.openxmlformats.org/spreadsheetml/2006/main">
  <c r="H17" i="55" l="1"/>
  <c r="O46" i="32" l="1"/>
  <c r="E15" i="32" l="1"/>
  <c r="E24" i="32" l="1"/>
  <c r="E23" i="32"/>
  <c r="E22" i="32"/>
  <c r="E18" i="32"/>
  <c r="E16" i="32"/>
  <c r="E17" i="32" l="1"/>
  <c r="E38" i="13"/>
  <c r="G41" i="45" l="1"/>
  <c r="H39" i="45"/>
  <c r="H38" i="45"/>
  <c r="F41" i="45"/>
  <c r="H28" i="45"/>
  <c r="G24" i="45"/>
  <c r="F24" i="45"/>
  <c r="G15" i="45"/>
  <c r="G17" i="45"/>
  <c r="G26" i="45" s="1"/>
  <c r="G30" i="45" s="1"/>
  <c r="H11" i="45"/>
  <c r="H10" i="45"/>
  <c r="H9" i="45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H12" i="45" l="1"/>
  <c r="H17" i="45" s="1"/>
  <c r="F15" i="45"/>
  <c r="F17" i="45" s="1"/>
  <c r="F26" i="45" s="1"/>
  <c r="H37" i="45"/>
  <c r="H41" i="45" s="1"/>
  <c r="H14" i="45"/>
  <c r="H10" i="55"/>
  <c r="F30" i="45" l="1"/>
  <c r="H26" i="45"/>
  <c r="H30" i="45" s="1"/>
  <c r="D12" i="32" l="1"/>
  <c r="K12" i="32"/>
  <c r="J12" i="32"/>
  <c r="I12" i="32"/>
  <c r="H12" i="32"/>
  <c r="G12" i="32"/>
  <c r="I25" i="32" l="1"/>
  <c r="I32" i="32"/>
  <c r="H25" i="32"/>
  <c r="H32" i="32"/>
  <c r="J32" i="32"/>
  <c r="K25" i="32"/>
  <c r="K32" i="32"/>
  <c r="G19" i="32"/>
  <c r="G40" i="32" s="1"/>
  <c r="G44" i="32" s="1"/>
  <c r="G47" i="32" s="1"/>
  <c r="G25" i="32"/>
  <c r="G32" i="32"/>
  <c r="D19" i="32"/>
  <c r="D25" i="32"/>
  <c r="D32" i="32"/>
  <c r="I19" i="32"/>
  <c r="I40" i="32" s="1"/>
  <c r="I44" i="32" s="1"/>
  <c r="I47" i="32" s="1"/>
  <c r="H19" i="32"/>
  <c r="J19" i="32"/>
  <c r="J25" i="32"/>
  <c r="K19" i="32"/>
  <c r="C85" i="8"/>
  <c r="B85" i="8"/>
  <c r="K40" i="32" l="1"/>
  <c r="K44" i="32" s="1"/>
  <c r="K47" i="32" s="1"/>
  <c r="H40" i="32"/>
  <c r="H44" i="32" s="1"/>
  <c r="H47" i="32" s="1"/>
  <c r="D40" i="32"/>
  <c r="D44" i="32" s="1"/>
  <c r="D47" i="32" s="1"/>
  <c r="J40" i="32"/>
  <c r="J44" i="32" s="1"/>
  <c r="J47" i="32" s="1"/>
  <c r="L26" i="8" l="1"/>
  <c r="G51" i="8"/>
  <c r="F51" i="8"/>
  <c r="M26" i="8" s="1"/>
  <c r="F48" i="8"/>
  <c r="G42" i="8"/>
  <c r="G41" i="8"/>
  <c r="G50" i="8" s="1"/>
  <c r="F35" i="12"/>
  <c r="G35" i="12"/>
  <c r="D31" i="13"/>
  <c r="D35" i="12" s="1"/>
  <c r="E38" i="32"/>
  <c r="E31" i="13" s="1"/>
  <c r="O38" i="32"/>
  <c r="E35" i="12" s="1"/>
  <c r="F33" i="12"/>
  <c r="F31" i="12"/>
  <c r="F27" i="12"/>
  <c r="F26" i="12"/>
  <c r="F24" i="12"/>
  <c r="F20" i="12"/>
  <c r="F19" i="12"/>
  <c r="F18" i="12"/>
  <c r="F14" i="12"/>
  <c r="F13" i="12"/>
  <c r="F12" i="12"/>
  <c r="F11" i="12"/>
  <c r="F9" i="12"/>
  <c r="I35" i="12" l="1"/>
  <c r="H31" i="13"/>
  <c r="G31" i="13" s="1"/>
  <c r="H35" i="12"/>
  <c r="J35" i="12"/>
  <c r="E200" i="55"/>
  <c r="E196" i="55"/>
  <c r="E192" i="55"/>
  <c r="E156" i="55"/>
  <c r="E152" i="55"/>
  <c r="E146" i="55"/>
  <c r="E142" i="55"/>
  <c r="E136" i="55"/>
  <c r="E132" i="55"/>
  <c r="E126" i="55"/>
  <c r="E122" i="55"/>
  <c r="E161" i="55"/>
  <c r="E199" i="55"/>
  <c r="E198" i="55"/>
  <c r="E197" i="55"/>
  <c r="E195" i="55"/>
  <c r="E194" i="55"/>
  <c r="E193" i="55"/>
  <c r="E191" i="55"/>
  <c r="E190" i="55"/>
  <c r="E189" i="55"/>
  <c r="E188" i="55"/>
  <c r="E187" i="55"/>
  <c r="E186" i="55"/>
  <c r="E183" i="55"/>
  <c r="E182" i="55"/>
  <c r="E180" i="55"/>
  <c r="E179" i="55"/>
  <c r="E178" i="55"/>
  <c r="E177" i="55"/>
  <c r="E175" i="55"/>
  <c r="E174" i="55"/>
  <c r="E173" i="55"/>
  <c r="E172" i="55"/>
  <c r="E171" i="55"/>
  <c r="E169" i="55"/>
  <c r="E168" i="55"/>
  <c r="E167" i="55"/>
  <c r="E166" i="55"/>
  <c r="E165" i="55"/>
  <c r="E164" i="55"/>
  <c r="E121" i="55"/>
  <c r="E123" i="55"/>
  <c r="E124" i="55"/>
  <c r="E125" i="55"/>
  <c r="E127" i="55"/>
  <c r="E130" i="55"/>
  <c r="E131" i="55"/>
  <c r="E133" i="55"/>
  <c r="E134" i="55"/>
  <c r="E135" i="55"/>
  <c r="E137" i="55"/>
  <c r="E138" i="55"/>
  <c r="E141" i="55"/>
  <c r="E143" i="55"/>
  <c r="E144" i="55"/>
  <c r="E145" i="55"/>
  <c r="E148" i="55"/>
  <c r="E150" i="55"/>
  <c r="E151" i="55"/>
  <c r="E153" i="55"/>
  <c r="E154" i="55"/>
  <c r="E155" i="55"/>
  <c r="E157" i="55"/>
  <c r="E158" i="55"/>
  <c r="E120" i="55"/>
  <c r="E119" i="55"/>
  <c r="E116" i="55"/>
  <c r="E115" i="55"/>
  <c r="E114" i="55"/>
  <c r="E113" i="55"/>
  <c r="E112" i="55"/>
  <c r="E111" i="55"/>
  <c r="E110" i="55"/>
  <c r="E109" i="55"/>
  <c r="E108" i="55"/>
  <c r="E106" i="55"/>
  <c r="E105" i="55"/>
  <c r="E104" i="55"/>
  <c r="E103" i="55"/>
  <c r="E102" i="55"/>
  <c r="E101" i="55"/>
  <c r="E99" i="55"/>
  <c r="E98" i="55"/>
  <c r="E97" i="55"/>
  <c r="E96" i="55"/>
  <c r="E95" i="55"/>
  <c r="E94" i="55"/>
  <c r="E93" i="55"/>
  <c r="E92" i="55"/>
  <c r="E91" i="55"/>
  <c r="E89" i="55"/>
  <c r="E88" i="55"/>
  <c r="E87" i="55"/>
  <c r="E86" i="55"/>
  <c r="E85" i="55"/>
  <c r="E84" i="55"/>
  <c r="E83" i="55"/>
  <c r="E82" i="55"/>
  <c r="E81" i="55"/>
  <c r="E79" i="55"/>
  <c r="E78" i="55"/>
  <c r="E77" i="55"/>
  <c r="E76" i="55"/>
  <c r="E75" i="55"/>
  <c r="E73" i="55"/>
  <c r="E72" i="55"/>
  <c r="E71" i="55"/>
  <c r="E70" i="55"/>
  <c r="E69" i="55"/>
  <c r="E68" i="55"/>
  <c r="E67" i="55"/>
  <c r="E66" i="55"/>
  <c r="E65" i="55"/>
  <c r="E62" i="55"/>
  <c r="E61" i="55"/>
  <c r="E60" i="55"/>
  <c r="E59" i="55"/>
  <c r="E58" i="55"/>
  <c r="E57" i="55"/>
  <c r="E56" i="55"/>
  <c r="E54" i="55"/>
  <c r="E53" i="55"/>
  <c r="E52" i="55"/>
  <c r="E51" i="55"/>
  <c r="E50" i="55"/>
  <c r="E49" i="55"/>
  <c r="E48" i="55"/>
  <c r="E47" i="55"/>
  <c r="E44" i="55"/>
  <c r="E43" i="55"/>
  <c r="E42" i="55"/>
  <c r="E41" i="55"/>
  <c r="E40" i="55"/>
  <c r="E39" i="55"/>
  <c r="E38" i="55"/>
  <c r="E37" i="55"/>
  <c r="E36" i="55"/>
  <c r="E33" i="55"/>
  <c r="E32" i="55"/>
  <c r="E31" i="55"/>
  <c r="E30" i="55"/>
  <c r="E29" i="55"/>
  <c r="E28" i="55"/>
  <c r="E27" i="55"/>
  <c r="E25" i="55"/>
  <c r="K35" i="12" l="1"/>
  <c r="E39" i="13"/>
  <c r="A11" i="55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A78" i="55" s="1"/>
  <c r="A79" i="55" s="1"/>
  <c r="A80" i="55" s="1"/>
  <c r="A81" i="55" s="1"/>
  <c r="A82" i="55" s="1"/>
  <c r="A83" i="55" s="1"/>
  <c r="A84" i="55" s="1"/>
  <c r="A85" i="55" s="1"/>
  <c r="A86" i="55" s="1"/>
  <c r="A87" i="55" s="1"/>
  <c r="A88" i="55" s="1"/>
  <c r="A89" i="55" s="1"/>
  <c r="A90" i="55" s="1"/>
  <c r="A91" i="55" s="1"/>
  <c r="A92" i="55" s="1"/>
  <c r="A93" i="55" s="1"/>
  <c r="A94" i="55" s="1"/>
  <c r="A95" i="55" s="1"/>
  <c r="A96" i="55" s="1"/>
  <c r="A97" i="55" s="1"/>
  <c r="A98" i="55" s="1"/>
  <c r="A99" i="55" s="1"/>
  <c r="A100" i="55" s="1"/>
  <c r="A101" i="55" s="1"/>
  <c r="A102" i="55" s="1"/>
  <c r="A103" i="55" s="1"/>
  <c r="A104" i="55" s="1"/>
  <c r="A105" i="55" s="1"/>
  <c r="A106" i="55" s="1"/>
  <c r="A107" i="55" s="1"/>
  <c r="A108" i="55" s="1"/>
  <c r="A109" i="55" s="1"/>
  <c r="A110" i="55" s="1"/>
  <c r="A111" i="55" s="1"/>
  <c r="A112" i="55" s="1"/>
  <c r="A113" i="55" s="1"/>
  <c r="A114" i="55" s="1"/>
  <c r="A115" i="55" s="1"/>
  <c r="A116" i="55" s="1"/>
  <c r="A117" i="55" s="1"/>
  <c r="A118" i="55" s="1"/>
  <c r="A119" i="55" s="1"/>
  <c r="A120" i="55" s="1"/>
  <c r="A121" i="55" s="1"/>
  <c r="A122" i="55" s="1"/>
  <c r="A123" i="55" s="1"/>
  <c r="A124" i="55" s="1"/>
  <c r="A125" i="55" s="1"/>
  <c r="A126" i="55" s="1"/>
  <c r="A127" i="55" s="1"/>
  <c r="A128" i="55" s="1"/>
  <c r="A129" i="55" s="1"/>
  <c r="A130" i="55" s="1"/>
  <c r="A131" i="55" s="1"/>
  <c r="A132" i="55" s="1"/>
  <c r="A133" i="55" s="1"/>
  <c r="A134" i="55" s="1"/>
  <c r="A135" i="55" s="1"/>
  <c r="A136" i="55" s="1"/>
  <c r="A137" i="55" s="1"/>
  <c r="A138" i="55" s="1"/>
  <c r="A139" i="55" s="1"/>
  <c r="A140" i="55" s="1"/>
  <c r="A141" i="55" s="1"/>
  <c r="A142" i="55" s="1"/>
  <c r="A143" i="55" s="1"/>
  <c r="A144" i="55" s="1"/>
  <c r="A145" i="55" s="1"/>
  <c r="A146" i="55" s="1"/>
  <c r="A147" i="55" s="1"/>
  <c r="A148" i="55" s="1"/>
  <c r="A149" i="55" s="1"/>
  <c r="A150" i="55" s="1"/>
  <c r="A151" i="55" s="1"/>
  <c r="A152" i="55" s="1"/>
  <c r="A153" i="55" s="1"/>
  <c r="A154" i="55" s="1"/>
  <c r="A155" i="55" s="1"/>
  <c r="A156" i="55" s="1"/>
  <c r="A157" i="55" s="1"/>
  <c r="A158" i="55" s="1"/>
  <c r="A159" i="55" s="1"/>
  <c r="A160" i="55" s="1"/>
  <c r="A161" i="55" s="1"/>
  <c r="A162" i="55" s="1"/>
  <c r="A163" i="55" s="1"/>
  <c r="A164" i="55" s="1"/>
  <c r="A165" i="55" s="1"/>
  <c r="A166" i="55" s="1"/>
  <c r="A167" i="55" s="1"/>
  <c r="A168" i="55" s="1"/>
  <c r="A169" i="55" s="1"/>
  <c r="A170" i="55" s="1"/>
  <c r="A171" i="55" s="1"/>
  <c r="A172" i="55" s="1"/>
  <c r="A173" i="55" s="1"/>
  <c r="A174" i="55" s="1"/>
  <c r="A175" i="55" s="1"/>
  <c r="A176" i="55" s="1"/>
  <c r="A177" i="55" s="1"/>
  <c r="A178" i="55" s="1"/>
  <c r="A179" i="55" s="1"/>
  <c r="A180" i="55" s="1"/>
  <c r="A181" i="55" s="1"/>
  <c r="A182" i="55" s="1"/>
  <c r="A183" i="55" s="1"/>
  <c r="A184" i="55" s="1"/>
  <c r="A185" i="55" s="1"/>
  <c r="A186" i="55" s="1"/>
  <c r="A187" i="55" s="1"/>
  <c r="A188" i="55" s="1"/>
  <c r="A189" i="55" s="1"/>
  <c r="A190" i="55" s="1"/>
  <c r="A191" i="55" s="1"/>
  <c r="A192" i="55" s="1"/>
  <c r="A193" i="55" s="1"/>
  <c r="A194" i="55" s="1"/>
  <c r="A195" i="55" s="1"/>
  <c r="A196" i="55" s="1"/>
  <c r="A197" i="55" s="1"/>
  <c r="A198" i="55" s="1"/>
  <c r="A199" i="55" s="1"/>
  <c r="A200" i="55" s="1"/>
  <c r="L35" i="12" l="1"/>
  <c r="G17" i="55"/>
  <c r="G18" i="55"/>
  <c r="G15" i="55"/>
  <c r="G19" i="55"/>
  <c r="G16" i="55"/>
  <c r="G20" i="55"/>
  <c r="G14" i="55"/>
  <c r="G21" i="55"/>
  <c r="H200" i="55"/>
  <c r="H199" i="55"/>
  <c r="H198" i="55"/>
  <c r="H197" i="55"/>
  <c r="H196" i="55"/>
  <c r="H195" i="55"/>
  <c r="H194" i="55"/>
  <c r="H193" i="55"/>
  <c r="H192" i="55"/>
  <c r="H191" i="55"/>
  <c r="H190" i="55"/>
  <c r="H189" i="55"/>
  <c r="H188" i="55"/>
  <c r="H187" i="55"/>
  <c r="H186" i="55"/>
  <c r="H183" i="55"/>
  <c r="H182" i="55"/>
  <c r="H175" i="55"/>
  <c r="H116" i="55"/>
  <c r="H174" i="55"/>
  <c r="H173" i="55"/>
  <c r="H172" i="55"/>
  <c r="H171" i="55"/>
  <c r="H180" i="55"/>
  <c r="H179" i="55"/>
  <c r="H178" i="55"/>
  <c r="H177" i="55"/>
  <c r="H169" i="55"/>
  <c r="H168" i="55"/>
  <c r="H167" i="55"/>
  <c r="H166" i="55"/>
  <c r="H165" i="55"/>
  <c r="H164" i="55"/>
  <c r="H161" i="55"/>
  <c r="H20" i="55" s="1"/>
  <c r="H158" i="55"/>
  <c r="H157" i="55"/>
  <c r="H156" i="55"/>
  <c r="H155" i="55"/>
  <c r="H154" i="55"/>
  <c r="H153" i="55"/>
  <c r="H152" i="55"/>
  <c r="H151" i="55"/>
  <c r="H150" i="55"/>
  <c r="H148" i="55"/>
  <c r="H146" i="55"/>
  <c r="H145" i="55"/>
  <c r="H144" i="55"/>
  <c r="H143" i="55"/>
  <c r="H142" i="55"/>
  <c r="H141" i="55"/>
  <c r="H138" i="55"/>
  <c r="H137" i="55"/>
  <c r="H136" i="55"/>
  <c r="H135" i="55"/>
  <c r="H134" i="55"/>
  <c r="H133" i="55"/>
  <c r="H132" i="55"/>
  <c r="H131" i="55"/>
  <c r="H130" i="55"/>
  <c r="H127" i="55"/>
  <c r="H126" i="55"/>
  <c r="H125" i="55"/>
  <c r="H124" i="55"/>
  <c r="H123" i="55"/>
  <c r="H122" i="55"/>
  <c r="H121" i="55"/>
  <c r="H120" i="55"/>
  <c r="H119" i="55"/>
  <c r="H115" i="55"/>
  <c r="H114" i="55"/>
  <c r="H113" i="55"/>
  <c r="H112" i="55"/>
  <c r="H111" i="55"/>
  <c r="H110" i="55"/>
  <c r="H109" i="55"/>
  <c r="H108" i="55"/>
  <c r="H106" i="55"/>
  <c r="H105" i="55"/>
  <c r="H104" i="55"/>
  <c r="H103" i="55"/>
  <c r="H102" i="55"/>
  <c r="H101" i="55"/>
  <c r="H99" i="55"/>
  <c r="H98" i="55"/>
  <c r="H97" i="55"/>
  <c r="H96" i="55"/>
  <c r="H95" i="55"/>
  <c r="H94" i="55"/>
  <c r="H93" i="55"/>
  <c r="H92" i="55"/>
  <c r="H91" i="55"/>
  <c r="H89" i="55"/>
  <c r="H88" i="55"/>
  <c r="H87" i="55"/>
  <c r="H86" i="55"/>
  <c r="H85" i="55"/>
  <c r="H84" i="55"/>
  <c r="H83" i="55"/>
  <c r="H82" i="55"/>
  <c r="H81" i="55"/>
  <c r="H79" i="55"/>
  <c r="H78" i="55"/>
  <c r="H77" i="55"/>
  <c r="H76" i="55"/>
  <c r="H75" i="55"/>
  <c r="H73" i="55"/>
  <c r="H72" i="55"/>
  <c r="H71" i="55"/>
  <c r="H70" i="55"/>
  <c r="H69" i="55"/>
  <c r="H68" i="55"/>
  <c r="H67" i="55"/>
  <c r="H66" i="55"/>
  <c r="H65" i="55"/>
  <c r="H62" i="55"/>
  <c r="H61" i="55"/>
  <c r="H60" i="55"/>
  <c r="H59" i="55"/>
  <c r="H58" i="55"/>
  <c r="H57" i="55"/>
  <c r="H56" i="55"/>
  <c r="H54" i="55"/>
  <c r="H53" i="55"/>
  <c r="H52" i="55"/>
  <c r="H51" i="55"/>
  <c r="H50" i="55"/>
  <c r="H49" i="55"/>
  <c r="H48" i="55"/>
  <c r="H47" i="55"/>
  <c r="H44" i="55"/>
  <c r="H43" i="55"/>
  <c r="H42" i="55"/>
  <c r="H41" i="55"/>
  <c r="H40" i="55"/>
  <c r="H39" i="55"/>
  <c r="H38" i="55"/>
  <c r="H37" i="55"/>
  <c r="H36" i="55"/>
  <c r="H33" i="55"/>
  <c r="H32" i="55"/>
  <c r="H31" i="55"/>
  <c r="H30" i="55"/>
  <c r="H29" i="55"/>
  <c r="H28" i="55"/>
  <c r="H27" i="55"/>
  <c r="H25" i="55"/>
  <c r="B28" i="55"/>
  <c r="B29" i="55" s="1"/>
  <c r="C28" i="55"/>
  <c r="C29" i="55" s="1"/>
  <c r="C30" i="55" s="1"/>
  <c r="C31" i="55" s="1"/>
  <c r="C32" i="55" s="1"/>
  <c r="C33" i="55" s="1"/>
  <c r="B31" i="55"/>
  <c r="B32" i="55" s="1"/>
  <c r="B33" i="55" s="1"/>
  <c r="B48" i="55"/>
  <c r="B49" i="55" s="1"/>
  <c r="B50" i="55" s="1"/>
  <c r="B51" i="55" s="1"/>
  <c r="C60" i="55"/>
  <c r="C61" i="55" s="1"/>
  <c r="C62" i="55" s="1"/>
  <c r="B66" i="55"/>
  <c r="B67" i="55" s="1"/>
  <c r="B68" i="55" s="1"/>
  <c r="B69" i="55" s="1"/>
  <c r="B70" i="55" s="1"/>
  <c r="B71" i="55" s="1"/>
  <c r="B72" i="55" s="1"/>
  <c r="B73" i="55" s="1"/>
  <c r="B75" i="55" s="1"/>
  <c r="B76" i="55" s="1"/>
  <c r="B77" i="55" s="1"/>
  <c r="B78" i="55" s="1"/>
  <c r="B79" i="55" s="1"/>
  <c r="B81" i="55" s="1"/>
  <c r="B82" i="55" s="1"/>
  <c r="B83" i="55" s="1"/>
  <c r="B84" i="55" s="1"/>
  <c r="B85" i="55" s="1"/>
  <c r="B86" i="55" s="1"/>
  <c r="B87" i="55" s="1"/>
  <c r="B88" i="55" s="1"/>
  <c r="B89" i="55" s="1"/>
  <c r="B92" i="55"/>
  <c r="B93" i="55" s="1"/>
  <c r="B94" i="55" s="1"/>
  <c r="B95" i="55" s="1"/>
  <c r="B96" i="55" s="1"/>
  <c r="B97" i="55" s="1"/>
  <c r="B98" i="55" s="1"/>
  <c r="B99" i="55" s="1"/>
  <c r="B101" i="55" s="1"/>
  <c r="B102" i="55" s="1"/>
  <c r="B103" i="55" s="1"/>
  <c r="B104" i="55" s="1"/>
  <c r="B105" i="55" s="1"/>
  <c r="B106" i="55" s="1"/>
  <c r="B108" i="55" s="1"/>
  <c r="B109" i="55" s="1"/>
  <c r="B110" i="55" s="1"/>
  <c r="B111" i="55" s="1"/>
  <c r="B112" i="55" s="1"/>
  <c r="B113" i="55" s="1"/>
  <c r="B114" i="55" s="1"/>
  <c r="B115" i="55" s="1"/>
  <c r="B116" i="55" s="1"/>
  <c r="B120" i="55"/>
  <c r="B121" i="55" s="1"/>
  <c r="B122" i="55" s="1"/>
  <c r="B123" i="55" s="1"/>
  <c r="B124" i="55" s="1"/>
  <c r="B125" i="55" s="1"/>
  <c r="B126" i="55" s="1"/>
  <c r="B127" i="55" s="1"/>
  <c r="B130" i="55" s="1"/>
  <c r="B131" i="55" s="1"/>
  <c r="B132" i="55" s="1"/>
  <c r="B133" i="55" s="1"/>
  <c r="B134" i="55" s="1"/>
  <c r="B135" i="55" s="1"/>
  <c r="B136" i="55" s="1"/>
  <c r="B137" i="55" s="1"/>
  <c r="B138" i="55" s="1"/>
  <c r="B142" i="55"/>
  <c r="B143" i="55" s="1"/>
  <c r="B144" i="55" s="1"/>
  <c r="B145" i="55" s="1"/>
  <c r="B146" i="55" s="1"/>
  <c r="B148" i="55" s="1"/>
  <c r="B165" i="55"/>
  <c r="B166" i="55" s="1"/>
  <c r="B167" i="55" s="1"/>
  <c r="B168" i="55" s="1"/>
  <c r="B169" i="55" s="1"/>
  <c r="B172" i="55"/>
  <c r="B173" i="55" s="1"/>
  <c r="B174" i="55" s="1"/>
  <c r="B175" i="55" s="1"/>
  <c r="B182" i="55"/>
  <c r="B183" i="55" s="1"/>
  <c r="B187" i="55"/>
  <c r="B188" i="55" s="1"/>
  <c r="B189" i="55" s="1"/>
  <c r="B190" i="55" s="1"/>
  <c r="B191" i="55" s="1"/>
  <c r="B192" i="55" s="1"/>
  <c r="B193" i="55" s="1"/>
  <c r="B194" i="55" s="1"/>
  <c r="B195" i="55" s="1"/>
  <c r="B196" i="55" s="1"/>
  <c r="B197" i="55" s="1"/>
  <c r="B198" i="55" s="1"/>
  <c r="B199" i="55" s="1"/>
  <c r="B200" i="55" s="1"/>
  <c r="H18" i="55" l="1"/>
  <c r="H21" i="55"/>
  <c r="H14" i="55"/>
  <c r="H19" i="55"/>
  <c r="H16" i="55"/>
  <c r="H15" i="55"/>
  <c r="G22" i="55"/>
  <c r="B56" i="55"/>
  <c r="B52" i="55"/>
  <c r="B53" i="55" s="1"/>
  <c r="B177" i="55"/>
  <c r="B178" i="55" s="1"/>
  <c r="B179" i="55" s="1"/>
  <c r="B180" i="55" s="1"/>
  <c r="B57" i="55" l="1"/>
  <c r="H22" i="55"/>
  <c r="B54" i="55"/>
  <c r="B59" i="55" s="1"/>
  <c r="B60" i="55" s="1"/>
  <c r="B61" i="55" s="1"/>
  <c r="B62" i="55" s="1"/>
  <c r="B58" i="55"/>
  <c r="O42" i="32" l="1"/>
  <c r="D20" i="13" l="1"/>
  <c r="F52" i="8" l="1"/>
  <c r="E40" i="13" l="1"/>
  <c r="E40" i="12" l="1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29" i="13" l="1"/>
  <c r="A30" i="13" s="1"/>
  <c r="A31" i="13" s="1"/>
  <c r="A32" i="13" s="1"/>
  <c r="A33" i="13" s="1"/>
  <c r="A34" i="13" s="1"/>
  <c r="A35" i="13" s="1"/>
  <c r="A36" i="13" s="1"/>
  <c r="A37" i="13" s="1"/>
  <c r="A38" i="12"/>
  <c r="A39" i="12" s="1"/>
  <c r="A40" i="12" s="1"/>
  <c r="A41" i="12" s="1"/>
  <c r="A42" i="12" s="1"/>
  <c r="O26" i="8"/>
  <c r="K26" i="8"/>
  <c r="I26" i="8"/>
  <c r="H26" i="8"/>
  <c r="F26" i="8"/>
  <c r="E26" i="8"/>
  <c r="D26" i="8"/>
  <c r="C26" i="8"/>
  <c r="F64" i="8"/>
  <c r="J26" i="8"/>
  <c r="F35" i="8"/>
  <c r="A38" i="13" l="1"/>
  <c r="A39" i="13" s="1"/>
  <c r="A40" i="13" s="1"/>
  <c r="A41" i="13" s="1"/>
  <c r="A42" i="13" s="1"/>
  <c r="A43" i="13" s="1"/>
  <c r="A44" i="13" s="1"/>
  <c r="N26" i="8"/>
  <c r="D78" i="8" l="1"/>
  <c r="B12" i="8" s="1"/>
  <c r="D84" i="8"/>
  <c r="B18" i="8" s="1"/>
  <c r="D82" i="8"/>
  <c r="B16" i="8" s="1"/>
  <c r="A84" i="8"/>
  <c r="D83" i="8"/>
  <c r="B17" i="8" s="1"/>
  <c r="A83" i="8"/>
  <c r="A82" i="8"/>
  <c r="D81" i="8"/>
  <c r="B15" i="8" s="1"/>
  <c r="A81" i="8"/>
  <c r="A80" i="8"/>
  <c r="A79" i="8"/>
  <c r="A78" i="8"/>
  <c r="D77" i="8"/>
  <c r="B11" i="8" s="1"/>
  <c r="A77" i="8"/>
  <c r="A76" i="8"/>
  <c r="D75" i="8"/>
  <c r="B9" i="8" s="1"/>
  <c r="A75" i="8"/>
  <c r="A74" i="8"/>
  <c r="D73" i="8"/>
  <c r="B7" i="8" s="1"/>
  <c r="A73" i="8"/>
  <c r="G63" i="8"/>
  <c r="G62" i="8"/>
  <c r="G61" i="8"/>
  <c r="G60" i="8"/>
  <c r="G59" i="8"/>
  <c r="G56" i="8"/>
  <c r="G55" i="8"/>
  <c r="G46" i="8"/>
  <c r="G43" i="8"/>
  <c r="G52" i="8" s="1"/>
  <c r="G40" i="8"/>
  <c r="G49" i="8" s="1"/>
  <c r="G39" i="8"/>
  <c r="G48" i="8" s="1"/>
  <c r="G37" i="8"/>
  <c r="G34" i="8"/>
  <c r="G33" i="8"/>
  <c r="G35" i="8" s="1"/>
  <c r="L16" i="8" l="1"/>
  <c r="M16" i="8"/>
  <c r="L11" i="8"/>
  <c r="M11" i="8"/>
  <c r="L17" i="8"/>
  <c r="M17" i="8"/>
  <c r="L12" i="8"/>
  <c r="M12" i="8"/>
  <c r="M7" i="8"/>
  <c r="L7" i="8"/>
  <c r="L18" i="8"/>
  <c r="M18" i="8"/>
  <c r="L9" i="8"/>
  <c r="M9" i="8"/>
  <c r="L15" i="8"/>
  <c r="M15" i="8"/>
  <c r="G64" i="8"/>
  <c r="D79" i="8"/>
  <c r="B13" i="8" s="1"/>
  <c r="D76" i="8"/>
  <c r="B10" i="8" s="1"/>
  <c r="D80" i="8"/>
  <c r="B14" i="8" s="1"/>
  <c r="F17" i="8"/>
  <c r="O18" i="8"/>
  <c r="E18" i="8"/>
  <c r="O12" i="8"/>
  <c r="N12" i="8"/>
  <c r="D12" i="8"/>
  <c r="I12" i="8"/>
  <c r="H12" i="8"/>
  <c r="E12" i="8"/>
  <c r="I16" i="8"/>
  <c r="H16" i="8"/>
  <c r="O16" i="8"/>
  <c r="E16" i="8"/>
  <c r="N16" i="8"/>
  <c r="D16" i="8"/>
  <c r="K15" i="8"/>
  <c r="C15" i="8"/>
  <c r="C11" i="8"/>
  <c r="F9" i="8"/>
  <c r="K11" i="8"/>
  <c r="D74" i="8"/>
  <c r="B8" i="8" s="1"/>
  <c r="C7" i="8"/>
  <c r="K7" i="8"/>
  <c r="K18" i="8"/>
  <c r="C18" i="8"/>
  <c r="J18" i="8"/>
  <c r="F18" i="8"/>
  <c r="F7" i="8"/>
  <c r="O9" i="8"/>
  <c r="I9" i="8"/>
  <c r="E9" i="8"/>
  <c r="N9" i="8"/>
  <c r="H9" i="8"/>
  <c r="D9" i="8"/>
  <c r="J9" i="8"/>
  <c r="F11" i="8"/>
  <c r="F15" i="8"/>
  <c r="O17" i="8"/>
  <c r="I17" i="8"/>
  <c r="E17" i="8"/>
  <c r="N17" i="8"/>
  <c r="H17" i="8"/>
  <c r="D17" i="8"/>
  <c r="J17" i="8"/>
  <c r="H18" i="8"/>
  <c r="C9" i="8"/>
  <c r="K9" i="8"/>
  <c r="C17" i="8"/>
  <c r="K17" i="8"/>
  <c r="I18" i="8"/>
  <c r="K12" i="8"/>
  <c r="C12" i="8"/>
  <c r="J12" i="8"/>
  <c r="F12" i="8"/>
  <c r="K16" i="8"/>
  <c r="C16" i="8"/>
  <c r="J16" i="8"/>
  <c r="F16" i="8"/>
  <c r="O7" i="8"/>
  <c r="I7" i="8"/>
  <c r="E7" i="8"/>
  <c r="N7" i="8"/>
  <c r="H7" i="8"/>
  <c r="D7" i="8"/>
  <c r="J7" i="8"/>
  <c r="O11" i="8"/>
  <c r="I11" i="8"/>
  <c r="E11" i="8"/>
  <c r="N11" i="8"/>
  <c r="H11" i="8"/>
  <c r="D11" i="8"/>
  <c r="J11" i="8"/>
  <c r="O15" i="8"/>
  <c r="I15" i="8"/>
  <c r="E15" i="8"/>
  <c r="N15" i="8"/>
  <c r="H15" i="8"/>
  <c r="D15" i="8"/>
  <c r="J15" i="8"/>
  <c r="D18" i="8"/>
  <c r="N18" i="8"/>
  <c r="M8" i="8" l="1"/>
  <c r="L8" i="8"/>
  <c r="F13" i="8"/>
  <c r="L13" i="8"/>
  <c r="M13" i="8"/>
  <c r="O14" i="8"/>
  <c r="L14" i="8"/>
  <c r="M14" i="8"/>
  <c r="D10" i="8"/>
  <c r="L10" i="8"/>
  <c r="M10" i="8"/>
  <c r="O10" i="8"/>
  <c r="D13" i="8"/>
  <c r="I10" i="8"/>
  <c r="F10" i="8"/>
  <c r="O13" i="8"/>
  <c r="K10" i="8"/>
  <c r="H13" i="8"/>
  <c r="C13" i="8"/>
  <c r="I13" i="8"/>
  <c r="H14" i="8"/>
  <c r="N13" i="8"/>
  <c r="J10" i="8"/>
  <c r="E10" i="8"/>
  <c r="F8" i="8"/>
  <c r="K13" i="8"/>
  <c r="J13" i="8"/>
  <c r="E13" i="8"/>
  <c r="H10" i="8"/>
  <c r="C10" i="8"/>
  <c r="N10" i="8"/>
  <c r="C14" i="8"/>
  <c r="K8" i="8"/>
  <c r="D14" i="8"/>
  <c r="D85" i="8"/>
  <c r="J8" i="8"/>
  <c r="I14" i="8"/>
  <c r="E14" i="8"/>
  <c r="D87" i="8"/>
  <c r="C8" i="8"/>
  <c r="F14" i="8"/>
  <c r="K14" i="8"/>
  <c r="N14" i="8"/>
  <c r="B20" i="8"/>
  <c r="J14" i="8"/>
  <c r="O8" i="8"/>
  <c r="E8" i="8"/>
  <c r="N8" i="8"/>
  <c r="D8" i="8"/>
  <c r="I8" i="8"/>
  <c r="H8" i="8"/>
  <c r="M20" i="8" l="1"/>
  <c r="M22" i="8" s="1"/>
  <c r="L20" i="8"/>
  <c r="L22" i="8" s="1"/>
  <c r="O20" i="8"/>
  <c r="O24" i="8" s="1"/>
  <c r="B22" i="8"/>
  <c r="B28" i="8" s="1"/>
  <c r="N28" i="8" s="1"/>
  <c r="M24" i="8"/>
  <c r="F20" i="8"/>
  <c r="F24" i="8" s="1"/>
  <c r="J20" i="8"/>
  <c r="J24" i="8" s="1"/>
  <c r="D20" i="8"/>
  <c r="D22" i="8" s="1"/>
  <c r="C20" i="8"/>
  <c r="C22" i="8" s="1"/>
  <c r="H20" i="8"/>
  <c r="H24" i="8" s="1"/>
  <c r="E20" i="8"/>
  <c r="E24" i="8" s="1"/>
  <c r="K20" i="8"/>
  <c r="K22" i="8" s="1"/>
  <c r="I20" i="8"/>
  <c r="I22" i="8" s="1"/>
  <c r="N20" i="8"/>
  <c r="N24" i="8" s="1"/>
  <c r="L24" i="8" l="1"/>
  <c r="O22" i="8"/>
  <c r="C28" i="8"/>
  <c r="K28" i="8"/>
  <c r="O28" i="8"/>
  <c r="J28" i="8"/>
  <c r="H28" i="8"/>
  <c r="I28" i="8"/>
  <c r="M28" i="8"/>
  <c r="L28" i="8"/>
  <c r="F28" i="8"/>
  <c r="E28" i="8"/>
  <c r="D28" i="8"/>
  <c r="F22" i="8"/>
  <c r="D24" i="8"/>
  <c r="H22" i="8"/>
  <c r="J22" i="8"/>
  <c r="E22" i="8"/>
  <c r="C24" i="8"/>
  <c r="K24" i="8"/>
  <c r="N22" i="8"/>
  <c r="I24" i="8"/>
  <c r="F38" i="8" l="1"/>
  <c r="G26" i="8" l="1"/>
  <c r="F47" i="8"/>
  <c r="F53" i="8" s="1"/>
  <c r="F67" i="8" s="1"/>
  <c r="F44" i="8"/>
  <c r="F66" i="8" s="1"/>
  <c r="G7" i="8"/>
  <c r="G17" i="8"/>
  <c r="G15" i="8"/>
  <c r="G18" i="8"/>
  <c r="G12" i="8"/>
  <c r="G9" i="8"/>
  <c r="G11" i="8"/>
  <c r="G16" i="8"/>
  <c r="G8" i="8"/>
  <c r="G14" i="8"/>
  <c r="G13" i="8"/>
  <c r="G10" i="8"/>
  <c r="G28" i="8"/>
  <c r="Q28" i="8" l="1"/>
  <c r="P28" i="8"/>
  <c r="Q12" i="8"/>
  <c r="P12" i="8"/>
  <c r="Q10" i="8"/>
  <c r="P10" i="8"/>
  <c r="Q16" i="8"/>
  <c r="P16" i="8"/>
  <c r="Q18" i="8"/>
  <c r="P18" i="8"/>
  <c r="Q13" i="8"/>
  <c r="P13" i="8"/>
  <c r="Q11" i="8"/>
  <c r="P11" i="8"/>
  <c r="Q15" i="8"/>
  <c r="P15" i="8"/>
  <c r="Q8" i="8"/>
  <c r="P8" i="8"/>
  <c r="Q7" i="8"/>
  <c r="P7" i="8"/>
  <c r="G20" i="8"/>
  <c r="Q14" i="8"/>
  <c r="P14" i="8"/>
  <c r="Q9" i="8"/>
  <c r="P9" i="8"/>
  <c r="Q17" i="8"/>
  <c r="P17" i="8"/>
  <c r="Q26" i="8"/>
  <c r="P26" i="8"/>
  <c r="E42" i="32"/>
  <c r="E35" i="13" s="1"/>
  <c r="E36" i="32"/>
  <c r="E28" i="13" s="1"/>
  <c r="E34" i="32"/>
  <c r="E26" i="13" s="1"/>
  <c r="E31" i="32"/>
  <c r="E23" i="13" s="1"/>
  <c r="E30" i="32"/>
  <c r="E22" i="13" s="1"/>
  <c r="E27" i="32"/>
  <c r="E20" i="13" s="1"/>
  <c r="E17" i="13"/>
  <c r="E16" i="13"/>
  <c r="E15" i="13"/>
  <c r="E12" i="13"/>
  <c r="E11" i="13"/>
  <c r="E10" i="13"/>
  <c r="E9" i="13"/>
  <c r="E11" i="32"/>
  <c r="F32" i="32"/>
  <c r="F25" i="32"/>
  <c r="F19" i="32"/>
  <c r="F12" i="32"/>
  <c r="F40" i="32" l="1"/>
  <c r="F44" i="32" s="1"/>
  <c r="F47" i="32" s="1"/>
  <c r="P20" i="8"/>
  <c r="P24" i="8" s="1"/>
  <c r="Q20" i="8"/>
  <c r="G22" i="8"/>
  <c r="G24" i="8"/>
  <c r="E24" i="13"/>
  <c r="E13" i="13"/>
  <c r="E18" i="13"/>
  <c r="E12" i="32"/>
  <c r="E7" i="13"/>
  <c r="E32" i="32"/>
  <c r="E25" i="32"/>
  <c r="E19" i="32"/>
  <c r="E40" i="32" l="1"/>
  <c r="E29" i="13"/>
  <c r="E42" i="13" s="1"/>
  <c r="E44" i="13" s="1"/>
  <c r="P22" i="8"/>
  <c r="Q22" i="8"/>
  <c r="Q24" i="8"/>
  <c r="E32" i="13" l="1"/>
  <c r="E44" i="32"/>
  <c r="E47" i="32" s="1"/>
  <c r="D28" i="13" l="1"/>
  <c r="A1" i="13" l="1"/>
  <c r="A2" i="13"/>
  <c r="D4" i="13"/>
  <c r="D16" i="13" l="1"/>
  <c r="D17" i="13"/>
  <c r="D12" i="13"/>
  <c r="D7" i="13"/>
  <c r="D22" i="13" l="1"/>
  <c r="D26" i="12" s="1"/>
  <c r="D26" i="13"/>
  <c r="D23" i="13"/>
  <c r="D27" i="12" s="1"/>
  <c r="D10" i="13"/>
  <c r="D12" i="12" s="1"/>
  <c r="D15" i="13"/>
  <c r="D9" i="12"/>
  <c r="D35" i="13"/>
  <c r="D20" i="12"/>
  <c r="D14" i="12"/>
  <c r="D24" i="12"/>
  <c r="D19" i="12"/>
  <c r="D11" i="13"/>
  <c r="D9" i="13"/>
  <c r="D31" i="12" l="1"/>
  <c r="D13" i="12"/>
  <c r="D40" i="12"/>
  <c r="D18" i="12"/>
  <c r="D11" i="12"/>
  <c r="D13" i="13"/>
  <c r="D16" i="12" l="1"/>
  <c r="D33" i="12" l="1"/>
  <c r="D24" i="13"/>
  <c r="D29" i="12" l="1"/>
  <c r="D22" i="12"/>
  <c r="D18" i="13"/>
  <c r="D29" i="13" s="1"/>
  <c r="D32" i="13" s="1"/>
  <c r="D37" i="12" l="1"/>
  <c r="D36" i="13"/>
  <c r="D42" i="12" l="1"/>
  <c r="E36" i="13" l="1"/>
  <c r="F29" i="13" l="1"/>
  <c r="F12" i="13" l="1"/>
  <c r="G14" i="12" s="1"/>
  <c r="F10" i="13"/>
  <c r="G12" i="12" s="1"/>
  <c r="F23" i="13"/>
  <c r="G27" i="12" s="1"/>
  <c r="F17" i="13"/>
  <c r="G20" i="12" s="1"/>
  <c r="F9" i="13"/>
  <c r="H9" i="13" s="1"/>
  <c r="F28" i="13"/>
  <c r="H28" i="13" s="1"/>
  <c r="I28" i="13" s="1"/>
  <c r="F15" i="13"/>
  <c r="H15" i="13" s="1"/>
  <c r="G15" i="13" s="1"/>
  <c r="F26" i="13"/>
  <c r="H26" i="13" s="1"/>
  <c r="G26" i="13" s="1"/>
  <c r="F22" i="13"/>
  <c r="H22" i="13" s="1"/>
  <c r="G22" i="13" s="1"/>
  <c r="F7" i="13"/>
  <c r="F20" i="13"/>
  <c r="F11" i="13"/>
  <c r="F16" i="13"/>
  <c r="H20" i="12" l="1"/>
  <c r="H12" i="12"/>
  <c r="H10" i="13"/>
  <c r="I10" i="13" s="1"/>
  <c r="G11" i="12"/>
  <c r="H17" i="13"/>
  <c r="G17" i="13" s="1"/>
  <c r="G31" i="12"/>
  <c r="H14" i="12"/>
  <c r="G26" i="12"/>
  <c r="H12" i="13"/>
  <c r="I12" i="13" s="1"/>
  <c r="G18" i="12"/>
  <c r="I15" i="13"/>
  <c r="H27" i="12"/>
  <c r="H23" i="13"/>
  <c r="I23" i="13" s="1"/>
  <c r="I22" i="13"/>
  <c r="G33" i="12"/>
  <c r="G28" i="13"/>
  <c r="I9" i="13"/>
  <c r="G9" i="13"/>
  <c r="G13" i="12"/>
  <c r="H11" i="13"/>
  <c r="H20" i="13"/>
  <c r="G24" i="12"/>
  <c r="G19" i="12"/>
  <c r="H16" i="13"/>
  <c r="G9" i="12"/>
  <c r="H7" i="13"/>
  <c r="I11" i="55"/>
  <c r="J11" i="55" s="1"/>
  <c r="J10" i="55" s="1"/>
  <c r="F25" i="55" s="1"/>
  <c r="I26" i="13"/>
  <c r="H26" i="12" l="1"/>
  <c r="G10" i="13"/>
  <c r="I17" i="13"/>
  <c r="H11" i="12"/>
  <c r="H33" i="12"/>
  <c r="H31" i="12"/>
  <c r="G12" i="13"/>
  <c r="H24" i="13"/>
  <c r="F24" i="13" s="1"/>
  <c r="G23" i="13"/>
  <c r="G24" i="13" s="1"/>
  <c r="H18" i="12"/>
  <c r="H13" i="12"/>
  <c r="I16" i="13"/>
  <c r="G16" i="13"/>
  <c r="G18" i="13" s="1"/>
  <c r="I20" i="13"/>
  <c r="G20" i="13"/>
  <c r="I11" i="13"/>
  <c r="G11" i="13"/>
  <c r="H18" i="13"/>
  <c r="I18" i="13" s="1"/>
  <c r="H13" i="13"/>
  <c r="H19" i="12"/>
  <c r="H9" i="12"/>
  <c r="G38" i="8"/>
  <c r="H24" i="12"/>
  <c r="I7" i="13"/>
  <c r="G7" i="13"/>
  <c r="F51" i="55"/>
  <c r="I51" i="55" s="1"/>
  <c r="F178" i="55"/>
  <c r="I178" i="55" s="1"/>
  <c r="F62" i="55"/>
  <c r="I62" i="55" s="1"/>
  <c r="F37" i="55"/>
  <c r="I37" i="55" s="1"/>
  <c r="F133" i="55"/>
  <c r="I133" i="55" s="1"/>
  <c r="F86" i="55"/>
  <c r="I86" i="55" s="1"/>
  <c r="F186" i="55"/>
  <c r="I186" i="55" s="1"/>
  <c r="F54" i="55"/>
  <c r="I54" i="55" s="1"/>
  <c r="F150" i="55"/>
  <c r="I150" i="55" s="1"/>
  <c r="F109" i="55"/>
  <c r="I109" i="55" s="1"/>
  <c r="F30" i="55"/>
  <c r="I30" i="55" s="1"/>
  <c r="F144" i="55"/>
  <c r="I144" i="55" s="1"/>
  <c r="F116" i="55"/>
  <c r="I116" i="55" s="1"/>
  <c r="F177" i="55"/>
  <c r="I177" i="55" s="1"/>
  <c r="F87" i="55"/>
  <c r="I87" i="55" s="1"/>
  <c r="F135" i="55"/>
  <c r="I135" i="55" s="1"/>
  <c r="F85" i="55"/>
  <c r="I85" i="55" s="1"/>
  <c r="F161" i="55"/>
  <c r="I161" i="55" s="1"/>
  <c r="I20" i="55" s="1"/>
  <c r="F124" i="55"/>
  <c r="I124" i="55" s="1"/>
  <c r="F97" i="55"/>
  <c r="I97" i="55" s="1"/>
  <c r="F190" i="55"/>
  <c r="I190" i="55" s="1"/>
  <c r="F113" i="55"/>
  <c r="I113" i="55" s="1"/>
  <c r="F76" i="55"/>
  <c r="I76" i="55" s="1"/>
  <c r="F120" i="55"/>
  <c r="I120" i="55" s="1"/>
  <c r="F172" i="55"/>
  <c r="I172" i="55" s="1"/>
  <c r="F189" i="55"/>
  <c r="I189" i="55" s="1"/>
  <c r="F143" i="55"/>
  <c r="I143" i="55" s="1"/>
  <c r="F94" i="55"/>
  <c r="I94" i="55" s="1"/>
  <c r="F148" i="55"/>
  <c r="I148" i="55" s="1"/>
  <c r="F78" i="55"/>
  <c r="I78" i="55" s="1"/>
  <c r="F58" i="55"/>
  <c r="I58" i="55" s="1"/>
  <c r="F56" i="55"/>
  <c r="I56" i="55" s="1"/>
  <c r="F36" i="55"/>
  <c r="I36" i="55" s="1"/>
  <c r="F126" i="55"/>
  <c r="I126" i="55" s="1"/>
  <c r="F104" i="55"/>
  <c r="I104" i="55" s="1"/>
  <c r="F81" i="55"/>
  <c r="I81" i="55" s="1"/>
  <c r="F136" i="55"/>
  <c r="I136" i="55" s="1"/>
  <c r="F91" i="55"/>
  <c r="I91" i="55" s="1"/>
  <c r="F114" i="55"/>
  <c r="I114" i="55" s="1"/>
  <c r="F146" i="55"/>
  <c r="I146" i="55" s="1"/>
  <c r="F194" i="55"/>
  <c r="I194" i="55" s="1"/>
  <c r="F41" i="55"/>
  <c r="I41" i="55" s="1"/>
  <c r="F68" i="55"/>
  <c r="I68" i="55" s="1"/>
  <c r="F112" i="55"/>
  <c r="I112" i="55" s="1"/>
  <c r="F32" i="55"/>
  <c r="I32" i="55" s="1"/>
  <c r="F166" i="55"/>
  <c r="I166" i="55" s="1"/>
  <c r="F179" i="55"/>
  <c r="I179" i="55" s="1"/>
  <c r="F192" i="55"/>
  <c r="I192" i="55" s="1"/>
  <c r="F83" i="55"/>
  <c r="I83" i="55" s="1"/>
  <c r="F67" i="55"/>
  <c r="I67" i="55" s="1"/>
  <c r="F191" i="55"/>
  <c r="I191" i="55" s="1"/>
  <c r="F121" i="55"/>
  <c r="I121" i="55" s="1"/>
  <c r="F99" i="55"/>
  <c r="I99" i="55" s="1"/>
  <c r="F49" i="55"/>
  <c r="I49" i="55" s="1"/>
  <c r="F101" i="55"/>
  <c r="I101" i="55" s="1"/>
  <c r="F70" i="55"/>
  <c r="I70" i="55" s="1"/>
  <c r="F195" i="55"/>
  <c r="I195" i="55" s="1"/>
  <c r="F84" i="55"/>
  <c r="I84" i="55" s="1"/>
  <c r="F173" i="55"/>
  <c r="I173" i="55" s="1"/>
  <c r="F105" i="55"/>
  <c r="I105" i="55" s="1"/>
  <c r="F196" i="55"/>
  <c r="I196" i="55" s="1"/>
  <c r="F115" i="55"/>
  <c r="I115" i="55" s="1"/>
  <c r="F61" i="55"/>
  <c r="I61" i="55" s="1"/>
  <c r="F134" i="55"/>
  <c r="I134" i="55" s="1"/>
  <c r="F158" i="55"/>
  <c r="I158" i="55" s="1"/>
  <c r="F31" i="55"/>
  <c r="I31" i="55" s="1"/>
  <c r="F168" i="55"/>
  <c r="I168" i="55" s="1"/>
  <c r="F171" i="55"/>
  <c r="I171" i="55" s="1"/>
  <c r="F152" i="55"/>
  <c r="I152" i="55" s="1"/>
  <c r="F198" i="55"/>
  <c r="I198" i="55" s="1"/>
  <c r="F142" i="55"/>
  <c r="I142" i="55" s="1"/>
  <c r="F47" i="55"/>
  <c r="I47" i="55" s="1"/>
  <c r="F38" i="55"/>
  <c r="I38" i="55" s="1"/>
  <c r="F44" i="55"/>
  <c r="I44" i="55" s="1"/>
  <c r="F175" i="55"/>
  <c r="I175" i="55" s="1"/>
  <c r="F43" i="55"/>
  <c r="I43" i="55" s="1"/>
  <c r="F108" i="55"/>
  <c r="I108" i="55" s="1"/>
  <c r="F122" i="55"/>
  <c r="I122" i="55" s="1"/>
  <c r="F165" i="55"/>
  <c r="I165" i="55" s="1"/>
  <c r="F130" i="55"/>
  <c r="I130" i="55" s="1"/>
  <c r="F71" i="55"/>
  <c r="I71" i="55" s="1"/>
  <c r="F53" i="55"/>
  <c r="I53" i="55" s="1"/>
  <c r="F174" i="55"/>
  <c r="I174" i="55" s="1"/>
  <c r="F79" i="55"/>
  <c r="I79" i="55" s="1"/>
  <c r="F164" i="55"/>
  <c r="I164" i="55" s="1"/>
  <c r="F69" i="55"/>
  <c r="I69" i="55" s="1"/>
  <c r="F137" i="55"/>
  <c r="I137" i="55" s="1"/>
  <c r="F40" i="55"/>
  <c r="I40" i="55" s="1"/>
  <c r="F93" i="55"/>
  <c r="I93" i="55" s="1"/>
  <c r="F96" i="55"/>
  <c r="I96" i="55" s="1"/>
  <c r="F138" i="55"/>
  <c r="I138" i="55" s="1"/>
  <c r="F197" i="55"/>
  <c r="I197" i="55" s="1"/>
  <c r="F102" i="55"/>
  <c r="I102" i="55" s="1"/>
  <c r="F82" i="55"/>
  <c r="I82" i="55" s="1"/>
  <c r="F92" i="55"/>
  <c r="I92" i="55" s="1"/>
  <c r="F48" i="55"/>
  <c r="I48" i="55" s="1"/>
  <c r="F73" i="55"/>
  <c r="I73" i="55" s="1"/>
  <c r="F95" i="55"/>
  <c r="I95" i="55" s="1"/>
  <c r="F145" i="55"/>
  <c r="I145" i="55" s="1"/>
  <c r="F50" i="55"/>
  <c r="I50" i="55" s="1"/>
  <c r="F106" i="55"/>
  <c r="I106" i="55" s="1"/>
  <c r="F89" i="55"/>
  <c r="I89" i="55" s="1"/>
  <c r="F110" i="55"/>
  <c r="I110" i="55" s="1"/>
  <c r="F169" i="55"/>
  <c r="I169" i="55" s="1"/>
  <c r="F42" i="55"/>
  <c r="I42" i="55" s="1"/>
  <c r="F123" i="55"/>
  <c r="I123" i="55" s="1"/>
  <c r="F157" i="55"/>
  <c r="I157" i="55" s="1"/>
  <c r="F193" i="55"/>
  <c r="I193" i="55" s="1"/>
  <c r="F59" i="55"/>
  <c r="I59" i="55" s="1"/>
  <c r="F57" i="55"/>
  <c r="I57" i="55" s="1"/>
  <c r="F60" i="55"/>
  <c r="I60" i="55" s="1"/>
  <c r="F127" i="55"/>
  <c r="I127" i="55" s="1"/>
  <c r="F167" i="55"/>
  <c r="I167" i="55" s="1"/>
  <c r="F98" i="55"/>
  <c r="I98" i="55" s="1"/>
  <c r="F183" i="55"/>
  <c r="I183" i="55" s="1"/>
  <c r="F151" i="55"/>
  <c r="I151" i="55" s="1"/>
  <c r="F155" i="55"/>
  <c r="I155" i="55" s="1"/>
  <c r="F33" i="55"/>
  <c r="I33" i="55" s="1"/>
  <c r="F200" i="55"/>
  <c r="I200" i="55" s="1"/>
  <c r="F27" i="55"/>
  <c r="I27" i="55" s="1"/>
  <c r="F75" i="55"/>
  <c r="I75" i="55" s="1"/>
  <c r="F28" i="55"/>
  <c r="I28" i="55" s="1"/>
  <c r="F111" i="55"/>
  <c r="I111" i="55" s="1"/>
  <c r="F52" i="55"/>
  <c r="I52" i="55" s="1"/>
  <c r="F154" i="55"/>
  <c r="I154" i="55" s="1"/>
  <c r="F72" i="55"/>
  <c r="I72" i="55" s="1"/>
  <c r="F132" i="55"/>
  <c r="I132" i="55" s="1"/>
  <c r="F188" i="55"/>
  <c r="I188" i="55" s="1"/>
  <c r="F141" i="55"/>
  <c r="I141" i="55" s="1"/>
  <c r="F103" i="55"/>
  <c r="I103" i="55" s="1"/>
  <c r="F125" i="55"/>
  <c r="I125" i="55" s="1"/>
  <c r="I25" i="55"/>
  <c r="F131" i="55"/>
  <c r="I131" i="55" s="1"/>
  <c r="F77" i="55"/>
  <c r="I77" i="55" s="1"/>
  <c r="F187" i="55"/>
  <c r="I187" i="55" s="1"/>
  <c r="F39" i="55"/>
  <c r="I39" i="55" s="1"/>
  <c r="F29" i="55"/>
  <c r="I29" i="55" s="1"/>
  <c r="F65" i="55"/>
  <c r="I65" i="55" s="1"/>
  <c r="F180" i="55"/>
  <c r="I180" i="55" s="1"/>
  <c r="F182" i="55"/>
  <c r="I182" i="55" s="1"/>
  <c r="F119" i="55"/>
  <c r="I119" i="55" s="1"/>
  <c r="F153" i="55"/>
  <c r="I153" i="55" s="1"/>
  <c r="F66" i="55"/>
  <c r="I66" i="55" s="1"/>
  <c r="F199" i="55"/>
  <c r="I199" i="55" s="1"/>
  <c r="F88" i="55"/>
  <c r="I88" i="55" s="1"/>
  <c r="F156" i="55"/>
  <c r="I156" i="55" s="1"/>
  <c r="G13" i="13" l="1"/>
  <c r="G29" i="13" s="1"/>
  <c r="G32" i="13" s="1"/>
  <c r="F18" i="13"/>
  <c r="I24" i="13"/>
  <c r="H29" i="13"/>
  <c r="F13" i="13"/>
  <c r="I13" i="13"/>
  <c r="R26" i="8"/>
  <c r="S26" i="8" s="1"/>
  <c r="R7" i="8"/>
  <c r="R28" i="8"/>
  <c r="S28" i="8" s="1"/>
  <c r="G47" i="8"/>
  <c r="G53" i="8" s="1"/>
  <c r="G67" i="8" s="1"/>
  <c r="R14" i="8"/>
  <c r="S14" i="8" s="1"/>
  <c r="R15" i="8"/>
  <c r="S15" i="8" s="1"/>
  <c r="R8" i="8"/>
  <c r="S8" i="8" s="1"/>
  <c r="R13" i="8"/>
  <c r="S13" i="8" s="1"/>
  <c r="R10" i="8"/>
  <c r="S10" i="8" s="1"/>
  <c r="R18" i="8"/>
  <c r="S18" i="8" s="1"/>
  <c r="G44" i="8"/>
  <c r="G66" i="8" s="1"/>
  <c r="R11" i="8"/>
  <c r="S11" i="8" s="1"/>
  <c r="R16" i="8"/>
  <c r="S16" i="8" s="1"/>
  <c r="R17" i="8"/>
  <c r="S17" i="8" s="1"/>
  <c r="R9" i="8"/>
  <c r="S9" i="8" s="1"/>
  <c r="R12" i="8"/>
  <c r="S12" i="8" s="1"/>
  <c r="I18" i="55"/>
  <c r="I19" i="55"/>
  <c r="I21" i="55"/>
  <c r="I15" i="55"/>
  <c r="I17" i="55"/>
  <c r="I10" i="55"/>
  <c r="I12" i="55" s="1"/>
  <c r="I14" i="55"/>
  <c r="I16" i="55"/>
  <c r="I29" i="13" l="1"/>
  <c r="H32" i="13"/>
  <c r="F32" i="13" s="1"/>
  <c r="T17" i="8"/>
  <c r="U17" i="8"/>
  <c r="T15" i="8"/>
  <c r="U15" i="8"/>
  <c r="U9" i="8"/>
  <c r="T9" i="8"/>
  <c r="T8" i="8"/>
  <c r="U8" i="8"/>
  <c r="T28" i="8"/>
  <c r="U28" i="8"/>
  <c r="T18" i="8"/>
  <c r="U18" i="8"/>
  <c r="S7" i="8"/>
  <c r="R20" i="8"/>
  <c r="U16" i="8"/>
  <c r="T16" i="8"/>
  <c r="U10" i="8"/>
  <c r="T10" i="8"/>
  <c r="U14" i="8"/>
  <c r="T14" i="8"/>
  <c r="U26" i="8"/>
  <c r="T26" i="8"/>
  <c r="T12" i="8"/>
  <c r="U12" i="8"/>
  <c r="U11" i="8"/>
  <c r="T11" i="8"/>
  <c r="U13" i="8"/>
  <c r="T13" i="8"/>
  <c r="I22" i="55"/>
  <c r="I32" i="13" l="1"/>
  <c r="R24" i="8"/>
  <c r="R22" i="8"/>
  <c r="T7" i="8"/>
  <c r="T20" i="8" s="1"/>
  <c r="S20" i="8"/>
  <c r="U7" i="8"/>
  <c r="S22" i="8" l="1"/>
  <c r="U22" i="8" s="1"/>
  <c r="S24" i="8"/>
  <c r="U20" i="8"/>
  <c r="T24" i="8"/>
  <c r="T22" i="8"/>
  <c r="N32" i="32" l="1"/>
  <c r="O27" i="32"/>
  <c r="E24" i="12" s="1"/>
  <c r="O18" i="32"/>
  <c r="E14" i="12" s="1"/>
  <c r="O24" i="32"/>
  <c r="E20" i="12" s="1"/>
  <c r="O23" i="32"/>
  <c r="E19" i="12" s="1"/>
  <c r="O36" i="32"/>
  <c r="E33" i="12" s="1"/>
  <c r="O34" i="32"/>
  <c r="E31" i="12" s="1"/>
  <c r="O31" i="32"/>
  <c r="E27" i="12" s="1"/>
  <c r="I33" i="12" l="1"/>
  <c r="J33" i="12"/>
  <c r="I19" i="12"/>
  <c r="J19" i="12"/>
  <c r="I24" i="12"/>
  <c r="J24" i="12"/>
  <c r="I31" i="12"/>
  <c r="J31" i="12"/>
  <c r="I20" i="12"/>
  <c r="J20" i="12"/>
  <c r="I14" i="12"/>
  <c r="J14" i="12"/>
  <c r="I27" i="12"/>
  <c r="J27" i="12"/>
  <c r="N25" i="32"/>
  <c r="O17" i="32"/>
  <c r="E13" i="12" s="1"/>
  <c r="K27" i="12" l="1"/>
  <c r="N19" i="32"/>
  <c r="L27" i="12"/>
  <c r="K31" i="12"/>
  <c r="K20" i="12"/>
  <c r="K33" i="12"/>
  <c r="K24" i="12"/>
  <c r="I13" i="12"/>
  <c r="J13" i="12"/>
  <c r="K14" i="12"/>
  <c r="K19" i="12"/>
  <c r="O16" i="32"/>
  <c r="E12" i="12" s="1"/>
  <c r="N12" i="32"/>
  <c r="N40" i="32" l="1"/>
  <c r="N44" i="32" s="1"/>
  <c r="L31" i="12"/>
  <c r="L14" i="12"/>
  <c r="L33" i="12"/>
  <c r="L20" i="12"/>
  <c r="M32" i="32"/>
  <c r="O30" i="32"/>
  <c r="K13" i="12"/>
  <c r="L19" i="12"/>
  <c r="L24" i="12"/>
  <c r="I12" i="12"/>
  <c r="J12" i="12"/>
  <c r="N47" i="32"/>
  <c r="L13" i="12" l="1"/>
  <c r="K12" i="12"/>
  <c r="M19" i="32"/>
  <c r="O15" i="32"/>
  <c r="O32" i="32"/>
  <c r="E26" i="12"/>
  <c r="O22" i="32"/>
  <c r="M25" i="32"/>
  <c r="L12" i="12" l="1"/>
  <c r="I26" i="12"/>
  <c r="E29" i="12"/>
  <c r="J26" i="12"/>
  <c r="E11" i="12"/>
  <c r="O19" i="32"/>
  <c r="M12" i="32"/>
  <c r="M40" i="32" s="1"/>
  <c r="M44" i="32" s="1"/>
  <c r="O11" i="32"/>
  <c r="O25" i="32"/>
  <c r="E18" i="12"/>
  <c r="J29" i="12" l="1"/>
  <c r="K26" i="12"/>
  <c r="E9" i="12"/>
  <c r="O12" i="32"/>
  <c r="O40" i="32" s="1"/>
  <c r="O44" i="32" s="1"/>
  <c r="I18" i="12"/>
  <c r="E22" i="12"/>
  <c r="J18" i="12"/>
  <c r="E16" i="12"/>
  <c r="I11" i="12"/>
  <c r="J11" i="12"/>
  <c r="I29" i="12"/>
  <c r="L26" i="12"/>
  <c r="I16" i="12" l="1"/>
  <c r="F29" i="12"/>
  <c r="I22" i="12"/>
  <c r="L18" i="12"/>
  <c r="K29" i="12"/>
  <c r="O47" i="32"/>
  <c r="G29" i="12"/>
  <c r="J16" i="12"/>
  <c r="K11" i="12"/>
  <c r="J22" i="12"/>
  <c r="K18" i="12"/>
  <c r="I9" i="12"/>
  <c r="E37" i="12"/>
  <c r="J9" i="12"/>
  <c r="M47" i="32"/>
  <c r="L11" i="12" l="1"/>
  <c r="K9" i="12"/>
  <c r="J37" i="12"/>
  <c r="K22" i="12"/>
  <c r="G16" i="12"/>
  <c r="F22" i="12"/>
  <c r="G22" i="12"/>
  <c r="K16" i="12"/>
  <c r="E42" i="12"/>
  <c r="I37" i="12"/>
  <c r="L9" i="12"/>
  <c r="H29" i="12"/>
  <c r="L29" i="12"/>
  <c r="F16" i="12"/>
  <c r="L16" i="12" l="1"/>
  <c r="H22" i="12"/>
  <c r="H16" i="12"/>
  <c r="G37" i="12"/>
  <c r="F37" i="12"/>
  <c r="L22" i="12"/>
  <c r="K37" i="12"/>
  <c r="L37" i="12" l="1"/>
  <c r="H37" i="12"/>
</calcChain>
</file>

<file path=xl/sharedStrings.xml><?xml version="1.0" encoding="utf-8"?>
<sst xmlns="http://schemas.openxmlformats.org/spreadsheetml/2006/main" count="651" uniqueCount="324">
  <si>
    <t>Schedule</t>
  </si>
  <si>
    <t>Residential</t>
  </si>
  <si>
    <t>PUGET SOUND ENERGY</t>
  </si>
  <si>
    <t>LOW INCOME PROGRAM</t>
  </si>
  <si>
    <t>ELECTRIC</t>
  </si>
  <si>
    <t>GAS</t>
  </si>
  <si>
    <t>TOTAL</t>
  </si>
  <si>
    <t>Puget Sound Energy</t>
  </si>
  <si>
    <t>Settlement Methodology</t>
  </si>
  <si>
    <t>Line No.</t>
  </si>
  <si>
    <t>Lamp Type</t>
  </si>
  <si>
    <t>$ / kWh</t>
  </si>
  <si>
    <t>Mercury Vapor</t>
  </si>
  <si>
    <t>Sodium Vapor</t>
  </si>
  <si>
    <t>A</t>
  </si>
  <si>
    <t>B</t>
  </si>
  <si>
    <t>C</t>
  </si>
  <si>
    <t>Residential Customer Impacts</t>
  </si>
  <si>
    <t>Customer Bill</t>
  </si>
  <si>
    <t>Month</t>
  </si>
  <si>
    <t>kWh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</si>
  <si>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</si>
  <si>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</si>
  <si>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</si>
  <si>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</si>
  <si>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</si>
  <si>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</si>
  <si>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</si>
  <si>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</si>
  <si>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</si>
  <si>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</si>
  <si>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</si>
  <si>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</si>
  <si>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</si>
  <si>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</si>
  <si>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</si>
  <si>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Monthly Average</t>
  </si>
  <si>
    <t>Average Cents</t>
  </si>
  <si>
    <t>Customer Monthly Charge:</t>
  </si>
  <si>
    <t>per Month</t>
  </si>
  <si>
    <t>Energy Charge:</t>
  </si>
  <si>
    <t>Schedule 7 first 600 kWh</t>
  </si>
  <si>
    <t>Schedule 7 over 600 kWh</t>
  </si>
  <si>
    <t>Schedule 95 - Power Cost Adjustment Clause</t>
  </si>
  <si>
    <t>Schedule 95A - Wind Power Production Credit</t>
  </si>
  <si>
    <t>Schedule 120 - Conservation Rider</t>
  </si>
  <si>
    <t>Schedule 129 - Low Income</t>
  </si>
  <si>
    <t>Schedule 194 - BPA Exchange Credit</t>
  </si>
  <si>
    <t>D</t>
  </si>
  <si>
    <t>Sec Gen Svc - Small</t>
  </si>
  <si>
    <t>Sec Gen Svc - Medium</t>
  </si>
  <si>
    <t>Sec Gen Svc - Large</t>
  </si>
  <si>
    <t>Sec Irrigation Svc</t>
  </si>
  <si>
    <t>Secondary Service Total</t>
  </si>
  <si>
    <t>Pri Gen Svc</t>
  </si>
  <si>
    <t>Pri Irrigation Svc</t>
  </si>
  <si>
    <t>Pri Interruptible Svc</t>
  </si>
  <si>
    <t>Primary Service Total</t>
  </si>
  <si>
    <t>Campus Service</t>
  </si>
  <si>
    <t>HV Interruptible Svc</t>
  </si>
  <si>
    <t>HV Gen Svc</t>
  </si>
  <si>
    <t>High Voltage Service Total</t>
  </si>
  <si>
    <t>Lights</t>
  </si>
  <si>
    <t>Total</t>
  </si>
  <si>
    <t>Firm Resale</t>
  </si>
  <si>
    <t>Total Sales</t>
  </si>
  <si>
    <t>Check</t>
  </si>
  <si>
    <t>check</t>
  </si>
  <si>
    <t>Customer Rate Impacts</t>
  </si>
  <si>
    <t>Customer Class</t>
  </si>
  <si>
    <t>$ Increase (Decrease) Due To Rate Change</t>
  </si>
  <si>
    <t>% Increase (Decrease) Due To Rate Change</t>
  </si>
  <si>
    <t>D=
B+E</t>
  </si>
  <si>
    <t>E=
A*C</t>
  </si>
  <si>
    <t>F=
E/B</t>
  </si>
  <si>
    <t>Low Income Revenue Requirement</t>
  </si>
  <si>
    <t>aa</t>
  </si>
  <si>
    <t>Campus Rate</t>
  </si>
  <si>
    <t xml:space="preserve"> </t>
  </si>
  <si>
    <t xml:space="preserve">REVENUE REQUIREMENTS </t>
  </si>
  <si>
    <t>E = D - C</t>
  </si>
  <si>
    <t>H=
G - F</t>
  </si>
  <si>
    <t>I=
H / F</t>
  </si>
  <si>
    <t>Schedule 132 - Merger Credit</t>
  </si>
  <si>
    <t>Change In Rates</t>
  </si>
  <si>
    <t>Low Income Revenue Requirement as % of Total</t>
  </si>
  <si>
    <t>Schedule 133 - Regulatory Asset Tracker</t>
  </si>
  <si>
    <t>Voltage Level</t>
  </si>
  <si>
    <t>(a)</t>
  </si>
  <si>
    <t>(b)</t>
  </si>
  <si>
    <t>(d)</t>
  </si>
  <si>
    <t>(f)</t>
  </si>
  <si>
    <t>Total Residential</t>
  </si>
  <si>
    <t>Secondary Voltage</t>
  </si>
  <si>
    <t>Demand &lt;= 50 kW</t>
  </si>
  <si>
    <t>Demand &gt; 50 kW but &lt;= 350 kW</t>
  </si>
  <si>
    <t>Demand &gt; 350 kW</t>
  </si>
  <si>
    <t>Seasonal Irrigation &amp; Drainage Pumping</t>
  </si>
  <si>
    <t>Total Secondary Voltage</t>
  </si>
  <si>
    <t>Primary Voltage</t>
  </si>
  <si>
    <t>General Service</t>
  </si>
  <si>
    <t>Interruptible Total Electric Schools</t>
  </si>
  <si>
    <t>Total Primary Voltage</t>
  </si>
  <si>
    <t>High Voltage</t>
  </si>
  <si>
    <t>Interruptible</t>
  </si>
  <si>
    <t>Total High Voltage</t>
  </si>
  <si>
    <t>Lighting</t>
  </si>
  <si>
    <t>Retail Wheeling</t>
  </si>
  <si>
    <t>Total Jurisdictional Retail Sales</t>
  </si>
  <si>
    <t>Total Sales to Customers</t>
  </si>
  <si>
    <t>Schedule 137 - Renewable Energy Credit</t>
  </si>
  <si>
    <t>Proposed % to Forecast Revenue</t>
  </si>
  <si>
    <t>LINE 
NO.</t>
  </si>
  <si>
    <t>Electric</t>
  </si>
  <si>
    <t>Gas</t>
  </si>
  <si>
    <t xml:space="preserve">(c) </t>
  </si>
  <si>
    <t>(e)</t>
  </si>
  <si>
    <t>(g)</t>
  </si>
  <si>
    <t>(h)</t>
  </si>
  <si>
    <t>(i)</t>
  </si>
  <si>
    <t>Schedule 140 - Property Tax Rider</t>
  </si>
  <si>
    <t>Schedule 141 - ERF Rider - 1 Phase Basic Charge</t>
  </si>
  <si>
    <t>Schedule 141 - ERF Rider - First 600 kWh</t>
  </si>
  <si>
    <t>Schedule 141 - ERF Rider - Over 600 kWh</t>
  </si>
  <si>
    <t>Schedule 142 - Decoupling Rider</t>
  </si>
  <si>
    <t>Subtotal Base Monthly Charge</t>
  </si>
  <si>
    <t>Subtotal Base First 600 kWh Charge</t>
  </si>
  <si>
    <t>Subtotal Base Over 600 kWh Charge</t>
  </si>
  <si>
    <t>Estimated Proforma Revenue $ / kWh</t>
  </si>
  <si>
    <t>Notes</t>
  </si>
  <si>
    <t>8 / 24</t>
  </si>
  <si>
    <t>11 / 25 / 7A</t>
  </si>
  <si>
    <t>12 / 26 / 26P</t>
  </si>
  <si>
    <t>3, 50 - 59</t>
  </si>
  <si>
    <t>10 / 31</t>
  </si>
  <si>
    <t>449 / 459</t>
  </si>
  <si>
    <t>8&amp;24</t>
  </si>
  <si>
    <t>10&amp;31</t>
  </si>
  <si>
    <t>Note 1 -  Excludes Rider Schedules 95a, 120, 129,132, 137, 140 and 194
              - Includes Rider Schedules 95, 141 and 142 Revenue</t>
  </si>
  <si>
    <t>11,25 &amp; 7A</t>
  </si>
  <si>
    <t>12,26 &amp; 26P</t>
  </si>
  <si>
    <t>449&amp;459</t>
  </si>
  <si>
    <t>F=
B+(A*C)</t>
  </si>
  <si>
    <t>G=
B+(A*D)</t>
  </si>
  <si>
    <t>C=
(aa*B)/A</t>
  </si>
  <si>
    <t>Present Base Rates</t>
  </si>
  <si>
    <t>Sch 95</t>
  </si>
  <si>
    <t>Sch 95A</t>
  </si>
  <si>
    <t>Sch 120</t>
  </si>
  <si>
    <t>Sch 129</t>
  </si>
  <si>
    <t>Sch 132</t>
  </si>
  <si>
    <t>Sch 137</t>
  </si>
  <si>
    <t>Sch 140</t>
  </si>
  <si>
    <t>Sch 141</t>
  </si>
  <si>
    <t>Sch 142</t>
  </si>
  <si>
    <t>Sch 194</t>
  </si>
  <si>
    <t>Current Residential Bill</t>
  </si>
  <si>
    <t>Remove:  Schedule 129</t>
  </si>
  <si>
    <t>Add:  Schedule 129</t>
  </si>
  <si>
    <t>Proposed Residential Bill</t>
  </si>
  <si>
    <t xml:space="preserve">Typical Residential 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</si>
  <si>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</si>
  <si>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</si>
  <si>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</si>
  <si>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</si>
  <si>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</si>
  <si>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</si>
  <si>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</si>
  <si>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</si>
  <si>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</si>
  <si>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Average</t>
  </si>
  <si>
    <t>Summary Page Bill Calc</t>
  </si>
  <si>
    <t>Current Year Low Income Cap</t>
  </si>
  <si>
    <t>2018 Low Income Customer Charge</t>
  </si>
  <si>
    <t>Forecast Delivered kWh
Oct 2018 Through
Sept 2019</t>
  </si>
  <si>
    <t>$ Including Proposed 2018 Low Income</t>
  </si>
  <si>
    <t xml:space="preserve">Proposed Equal %
2018 Low Income Rider </t>
  </si>
  <si>
    <t>Proposed 2018 Low Income $</t>
  </si>
  <si>
    <t>Electric Rates Effective 6-1-2018</t>
  </si>
  <si>
    <t>(c)</t>
  </si>
  <si>
    <t>Per W charge</t>
  </si>
  <si>
    <t>57E</t>
  </si>
  <si>
    <t>Sch 57</t>
  </si>
  <si>
    <t>800.01 - 900</t>
  </si>
  <si>
    <t>Light Emitting Diode</t>
  </si>
  <si>
    <t>700.01 - 800</t>
  </si>
  <si>
    <t>600.01 - 700</t>
  </si>
  <si>
    <t>500.01 - 600</t>
  </si>
  <si>
    <t>400.01 - 500</t>
  </si>
  <si>
    <t>300.01 - 400</t>
  </si>
  <si>
    <t>270.01 - 300</t>
  </si>
  <si>
    <t>240.01 - 270</t>
  </si>
  <si>
    <t>210.01 - 240</t>
  </si>
  <si>
    <t>180.01 - 210</t>
  </si>
  <si>
    <t>150.01 - 180</t>
  </si>
  <si>
    <t>120.01 - 150</t>
  </si>
  <si>
    <t>90.01 - 120</t>
  </si>
  <si>
    <t>60.01 - 90</t>
  </si>
  <si>
    <t>30.01 - 60</t>
  </si>
  <si>
    <t>58E &amp; 59E</t>
  </si>
  <si>
    <t>Metal Halide</t>
  </si>
  <si>
    <t>58E &amp; 59E - Horizontal</t>
  </si>
  <si>
    <t>58E &amp; 59E - Directional</t>
  </si>
  <si>
    <t>Sch 58 &amp; 59</t>
  </si>
  <si>
    <t>55E &amp; 56E</t>
  </si>
  <si>
    <t>Sch 55 &amp; 56</t>
  </si>
  <si>
    <t>54E</t>
  </si>
  <si>
    <t>Sch 54E</t>
  </si>
  <si>
    <t>53E - Customer Owned</t>
  </si>
  <si>
    <t>53E - Company Owned</t>
  </si>
  <si>
    <t>Sch 53E</t>
  </si>
  <si>
    <t xml:space="preserve">52E </t>
  </si>
  <si>
    <t>Sch 52E</t>
  </si>
  <si>
    <t>51E</t>
  </si>
  <si>
    <t>Sch 51E</t>
  </si>
  <si>
    <t>50E-B</t>
  </si>
  <si>
    <t>50E-A</t>
  </si>
  <si>
    <t>Compact Flourescent</t>
  </si>
  <si>
    <t>003</t>
  </si>
  <si>
    <t>Sch 50E</t>
  </si>
  <si>
    <t>Wattage (W)</t>
  </si>
  <si>
    <t>= (a) * (d)</t>
  </si>
  <si>
    <t>= (b) * (d)</t>
  </si>
  <si>
    <t>Schedule 50</t>
  </si>
  <si>
    <t>Schedule 51</t>
  </si>
  <si>
    <t>Schedule 52</t>
  </si>
  <si>
    <t>Schedule 53</t>
  </si>
  <si>
    <t>Schedule 54</t>
  </si>
  <si>
    <t>Schedule 57</t>
  </si>
  <si>
    <t>Schedule 55-56</t>
  </si>
  <si>
    <t>Schedule 58-59</t>
  </si>
  <si>
    <t>All Lighting</t>
  </si>
  <si>
    <t>= (a) * (AA)</t>
  </si>
  <si>
    <t>AA</t>
  </si>
  <si>
    <t>Difference Due to Rounding</t>
  </si>
  <si>
    <t>50 - 59</t>
  </si>
  <si>
    <t>50-59</t>
  </si>
  <si>
    <t>Schedule 129 Lighting Revenue Requirement to Collect</t>
  </si>
  <si>
    <t>Total Lamp Revenue Requirement Based on Inventory</t>
  </si>
  <si>
    <t>Forecast Delivered Base Revenue
Oct 2018 Through
Sept 2019
(Note 1)</t>
  </si>
  <si>
    <t>Current Base Lamp Demand &amp; Energy Charges from COS Effective 
6-1-2018</t>
  </si>
  <si>
    <t>Demand-Related</t>
  </si>
  <si>
    <t>Energy-Related</t>
  </si>
  <si>
    <t>Low Income Revenue Requirement Ratio to Base Demand &amp; Energy Light Charge Cost</t>
  </si>
  <si>
    <t>OCTOBER 2019 THROUGH SEPTEMBER 2020</t>
  </si>
  <si>
    <t>For the Twelve Months ended September 2020</t>
  </si>
  <si>
    <t>2019 Low Income Customer Charge</t>
  </si>
  <si>
    <t>2018
Low Income
Rider Effective
10-1-18</t>
  </si>
  <si>
    <t xml:space="preserve">Proposed
2019
Low Income
Rider </t>
  </si>
  <si>
    <t>$ Including Proposed 2019 Low Income</t>
  </si>
  <si>
    <t>Proposed 2019 Low Income $</t>
  </si>
  <si>
    <t>Special Contract</t>
  </si>
  <si>
    <t>SC</t>
  </si>
  <si>
    <t>Sales less Special Contract &amp; Firm Resale</t>
  </si>
  <si>
    <t>Total Firm Resale</t>
  </si>
  <si>
    <t>Low Income Revenue Requirement, excluding Special Contract</t>
  </si>
  <si>
    <t>Low Income Electric Revenue Requirement Cap</t>
  </si>
  <si>
    <t>Sch 141x</t>
  </si>
  <si>
    <t>Sch 141y</t>
  </si>
  <si>
    <t>Schedule 141x - EDIT Rider - First 600 kWh</t>
  </si>
  <si>
    <t>Schedule 141y - Temp FIT Credit - First 600 kWh</t>
  </si>
  <si>
    <t>Schedule 141x - EDIT Rider - Over 600 kWh</t>
  </si>
  <si>
    <t>Schedule 141y - Temp FIT Credit - Over 600 kWh</t>
  </si>
  <si>
    <t>Low Income Revenue Requirement as % of Total Revenue Adj for Special Contact &amp; Firm Resale</t>
  </si>
  <si>
    <t>F2019 Average Residential Usage YE September 2020</t>
  </si>
  <si>
    <t>n/a</t>
  </si>
  <si>
    <t>Proposed Equal %
2019 Low Income Rider (Excl Special Contract)</t>
  </si>
  <si>
    <t>Special Contract Low Income Revenue Requirement</t>
  </si>
  <si>
    <t>Base Revenue includes Schedule 95 (PCA), Schedule 141 (ERF), Schedule 141x (Deferred Tax), Schedule 141y (Deferred Tax) &amp; Schedule 142 (Decoupling)</t>
  </si>
  <si>
    <t>(d) = ∑(e to j)</t>
  </si>
  <si>
    <t>(j)</t>
  </si>
  <si>
    <t>(k)</t>
  </si>
  <si>
    <t>(l)</t>
  </si>
  <si>
    <t>Less Sch 129 
(Rates Effective 10-1-2018)</t>
  </si>
  <si>
    <t>Used for allocation of Schedule 129 Revenue Requirement</t>
  </si>
  <si>
    <t>Used for Rate Impacts</t>
  </si>
  <si>
    <t>(m) = (k) - (l)</t>
  </si>
  <si>
    <t>Special Contract (Sch 129 rate set at $0.000614 per kWh per Contract)</t>
  </si>
  <si>
    <t>Total Retail Sales</t>
  </si>
  <si>
    <t>Subtotal before Special Contract</t>
  </si>
  <si>
    <t>Note 1 -  Includes all Rider Revenue and Revenue Credits from Schedules 95, 95a, 120, 132, 137, 140, 141, 141x, 141y, 142 and 194
           -  Excludes Sch 129 Low Income</t>
  </si>
  <si>
    <t>2019 Low Income Workpapers</t>
  </si>
  <si>
    <t>Test Year Ending September 30, 2020</t>
  </si>
  <si>
    <t>Annual Lamp Inventory @ 7/31/2019</t>
  </si>
  <si>
    <t>Prior Low Income Cap</t>
  </si>
  <si>
    <t>March 2019 ERF Residential bill impact UE-180899 and UG-180900</t>
  </si>
  <si>
    <t>Decoupling Residential Bill Impact</t>
  </si>
  <si>
    <t>Under / (Over) collection through September 2019 (Excludes Revenue Sensitive Items)</t>
  </si>
  <si>
    <t>Public Utility Tax Credits Received from Department of Revenue under RCW 82.16.0497</t>
  </si>
  <si>
    <t>Amount to be recovered October 2019 through September 2020 = Line 4 + Line 6 + Line 9</t>
  </si>
  <si>
    <t>Revenue Sensitive Items:</t>
  </si>
  <si>
    <t>Bad Debts Conversion Factor used in 2017 GRC UE-170033, et al</t>
  </si>
  <si>
    <t>Current Annual Filing Fee</t>
  </si>
  <si>
    <t xml:space="preserve">Current State Utility Tax </t>
  </si>
  <si>
    <t>Conversion Factor = 1 - Line 12 - Line 13 - Line 14</t>
  </si>
  <si>
    <t>Low income revenue requirement to be recovered in rates = Line 9 ÷ Line 16</t>
  </si>
  <si>
    <t>Low Income revenue requirement set in rates in October 2018 (Note 1)</t>
  </si>
  <si>
    <t>Change in Revenue Requirement</t>
  </si>
  <si>
    <t>(Note 1) - The amounts on line 1 and line 20 do not agree because there was a revised filing in UG-180740 that adjusted the caps for the Decoupling residential rate increase, but the change was not incorporated in the revenue requirement with the understanding that the true-up would be taken care of in this year's filing.  The true-up on line 7 includes the 2018 correction.</t>
  </si>
  <si>
    <t>Components of Whole Dollar Increase/(Decrease) in Low Income Requirement</t>
  </si>
  <si>
    <t>Effects of 2019 ERF and Decoupling for including full residential class increase and allocation change</t>
  </si>
  <si>
    <t xml:space="preserve">Increase due to LIHEAP Credits </t>
  </si>
  <si>
    <t xml:space="preserve">Total Whole Dollar Increase/(Decrease) </t>
  </si>
  <si>
    <t>Increase due to moving from a combined over-collection of $0.2M in the prior rate period to a combined under-collection of $1.6M in the current rate period</t>
  </si>
  <si>
    <t>F2019
Forecast Delivered kWh
Oct 12, 2019 Through
Sept 30, 2020</t>
  </si>
  <si>
    <t>Estimated Delivered Revenue
Oct 12, 2019 Through
Sept 30, 2020
(Note 1)</t>
  </si>
  <si>
    <t>kWh
October 12, 2019 to September 30, 2020</t>
  </si>
  <si>
    <t>Estimated Revenue October 12, 2019 to September 30, 2020</t>
  </si>
  <si>
    <t>Estimated Base Revenue October 12, 2019 to September 30, 2020</t>
  </si>
  <si>
    <t>Estimated Sch 95 Revenue October 12, 2019 to September 30, 2020</t>
  </si>
  <si>
    <t>Estimated Sch 141 Revenue October 12, 2019 to September 30, 2020</t>
  </si>
  <si>
    <t>Estimated Sch 141x Revenue October 12, 2019 to September 30, 2020</t>
  </si>
  <si>
    <t>Estimated Sch 141y Revenue October 12, 2019 to September 30, 2020</t>
  </si>
  <si>
    <t>Estimated Sch 142 Revenue October 12, 2019 to September 30, 2020</t>
  </si>
  <si>
    <t>Total Estimated Revenue less Schedule 129
(October 12, 2019 to September 30, 2020)</t>
  </si>
  <si>
    <t>October 12, 2019 to September 30, 2020</t>
  </si>
  <si>
    <t>Forecast Delivered Base Revenue
October 12, 2019 Through September 30, 2020
(Note 1)</t>
  </si>
  <si>
    <r>
      <t xml:space="preserve">Proposed Rates Effective 
</t>
    </r>
    <r>
      <rPr>
        <sz val="10"/>
        <color rgb="FF0000FF"/>
        <rFont val="Arial"/>
        <family val="2"/>
      </rPr>
      <t>10-12-19</t>
    </r>
  </si>
  <si>
    <r>
      <t xml:space="preserve">Present Rates Effective 
</t>
    </r>
    <r>
      <rPr>
        <sz val="10"/>
        <color rgb="FF0000FF"/>
        <rFont val="Arial"/>
        <family val="2"/>
      </rPr>
      <t>9-30-19</t>
    </r>
  </si>
  <si>
    <r>
      <rPr>
        <sz val="10"/>
        <color rgb="FF0000FF"/>
        <rFont val="Times New Roman"/>
        <family val="1"/>
      </rPr>
      <t>Estimated Revenue October 12, 2019 to September 30, 2020 (All Riders + Base) 
Rates Effective
9-30-2019</t>
    </r>
  </si>
  <si>
    <t>$ Including 2018 Low Income Effective
10-12-18</t>
  </si>
  <si>
    <r>
      <t xml:space="preserve">Proposed Schedule 129 Lamp Charge Effective 
</t>
    </r>
    <r>
      <rPr>
        <sz val="10"/>
        <color rgb="FF0000FF"/>
        <rFont val="Times New Roman"/>
        <family val="1"/>
      </rPr>
      <t>10-12-19</t>
    </r>
  </si>
  <si>
    <r>
      <t xml:space="preserve">Proposed Schedule 129 Lamp Revenue @ </t>
    </r>
    <r>
      <rPr>
        <sz val="10"/>
        <color rgb="FF0000FF"/>
        <rFont val="Times New Roman"/>
        <family val="1"/>
      </rPr>
      <t>10-12-2019</t>
    </r>
  </si>
  <si>
    <r>
      <t xml:space="preserve">Current Base Lamp Demand &amp; Energy Cost </t>
    </r>
    <r>
      <rPr>
        <sz val="10"/>
        <color rgb="FF0000FF"/>
        <rFont val="Times New Roman"/>
        <family val="1"/>
      </rPr>
      <t>@ 6-1-2018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</si>
</sst>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&quot;$&quot;* #,##0.000000_);_(&quot;$&quot;* \(#,##0.000000\);_(&quot;$&quot;* &quot;-&quot;??_);_(@_)"/>
    <numFmt numFmtId="167" formatCode="_(* #,##0_);_(* \(#,##0\);_(* &quot;-&quot;??_);_(@_)"/>
    <numFmt numFmtId="168" formatCode="_(* #,##0.0000000_);_(* \(#,##0.0000000\);_(* &quot;-&quot;??_);_(@_)"/>
    <numFmt numFmtId="169" formatCode="0.000%"/>
    <numFmt numFmtId="170" formatCode="0.0000\ \¢"/>
    <numFmt numFmtId="171" formatCode="&quot;$&quot;#,##0.00"/>
    <numFmt numFmtId="172" formatCode="0.0000000"/>
    <numFmt numFmtId="173" formatCode="#,##0.000000_);\(#,##0.000000\)"/>
    <numFmt numFmtId="174" formatCode="0.0000%"/>
    <numFmt numFmtId="175" formatCode="_(* #,##0.000000_);_(* \(#,##0.00000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sz val="10"/>
      <color theme="1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color rgb="FF008080"/>
      <name val="Times New Roman"/>
      <family val="1"/>
    </font>
    <font>
      <sz val="10"/>
      <color rgb="FF0000FF"/>
      <name val="Arial"/>
      <family val="2"/>
    </font>
    <font>
      <sz val="10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Fill="1" applyBorder="1" applyAlignment="1">
      <alignment horizontal="centerContinuous"/>
    </xf>
    <xf numFmtId="0" fontId="0" fillId="0" borderId="0" xfId="0" applyBorder="1"/>
    <xf numFmtId="0" fontId="0" fillId="0" borderId="6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 wrapText="1"/>
    </xf>
    <xf numFmtId="0" fontId="0" fillId="0" borderId="15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167" fontId="2" fillId="0" borderId="0" xfId="0" applyNumberFormat="1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7" fontId="2" fillId="0" borderId="6" xfId="0" quotePrefix="1" applyNumberFormat="1" applyFont="1" applyBorder="1" applyAlignment="1">
      <alignment horizontal="center" wrapText="1"/>
    </xf>
    <xf numFmtId="0" fontId="0" fillId="0" borderId="6" xfId="0" quotePrefix="1" applyBorder="1" applyAlignment="1">
      <alignment horizontal="center" wrapText="1"/>
    </xf>
    <xf numFmtId="0" fontId="0" fillId="0" borderId="18" xfId="0" quotePrefix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7" fontId="2" fillId="0" borderId="0" xfId="0" applyNumberFormat="1" applyFont="1" applyBorder="1"/>
    <xf numFmtId="0" fontId="0" fillId="0" borderId="16" xfId="0" applyBorder="1"/>
    <xf numFmtId="164" fontId="2" fillId="0" borderId="0" xfId="0" applyNumberFormat="1" applyFont="1" applyBorder="1"/>
    <xf numFmtId="170" fontId="0" fillId="0" borderId="0" xfId="0" applyNumberFormat="1" applyBorder="1"/>
    <xf numFmtId="0" fontId="0" fillId="0" borderId="6" xfId="0" applyBorder="1" applyAlignment="1">
      <alignment horizontal="center"/>
    </xf>
    <xf numFmtId="167" fontId="2" fillId="0" borderId="6" xfId="0" applyNumberFormat="1" applyFont="1" applyBorder="1"/>
    <xf numFmtId="0" fontId="0" fillId="0" borderId="6" xfId="0" applyBorder="1"/>
    <xf numFmtId="164" fontId="2" fillId="0" borderId="6" xfId="0" applyNumberFormat="1" applyFont="1" applyBorder="1"/>
    <xf numFmtId="0" fontId="0" fillId="0" borderId="0" xfId="0" applyBorder="1" applyAlignment="1">
      <alignment horizontal="left"/>
    </xf>
    <xf numFmtId="164" fontId="0" fillId="0" borderId="0" xfId="0" applyNumberFormat="1" applyBorder="1"/>
    <xf numFmtId="167" fontId="2" fillId="0" borderId="0" xfId="0" applyNumberFormat="1" applyFont="1" applyFill="1" applyBorder="1"/>
    <xf numFmtId="164" fontId="2" fillId="0" borderId="0" xfId="0" applyNumberFormat="1" applyFont="1" applyFill="1" applyBorder="1"/>
    <xf numFmtId="167" fontId="2" fillId="0" borderId="6" xfId="0" applyNumberFormat="1" applyFont="1" applyBorder="1" applyAlignment="1">
      <alignment horizontal="center" wrapText="1"/>
    </xf>
    <xf numFmtId="0" fontId="0" fillId="0" borderId="12" xfId="0" applyFill="1" applyBorder="1" applyAlignment="1">
      <alignment horizontal="centerContinuous"/>
    </xf>
    <xf numFmtId="0" fontId="0" fillId="0" borderId="13" xfId="0" applyFill="1" applyBorder="1" applyAlignment="1">
      <alignment horizontal="centerContinuous"/>
    </xf>
    <xf numFmtId="167" fontId="2" fillId="0" borderId="13" xfId="0" applyNumberFormat="1" applyFont="1" applyFill="1" applyBorder="1" applyAlignment="1">
      <alignment horizontal="centerContinuous"/>
    </xf>
    <xf numFmtId="0" fontId="0" fillId="0" borderId="14" xfId="0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167" fontId="2" fillId="0" borderId="0" xfId="0" applyNumberFormat="1" applyFont="1" applyFill="1" applyBorder="1" applyAlignment="1">
      <alignment horizontal="centerContinuous"/>
    </xf>
    <xf numFmtId="0" fontId="0" fillId="0" borderId="16" xfId="0" applyFill="1" applyBorder="1" applyAlignment="1">
      <alignment horizontal="centerContinuous"/>
    </xf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167" fontId="2" fillId="0" borderId="6" xfId="0" applyNumberFormat="1" applyFont="1" applyFill="1" applyBorder="1" applyAlignment="1">
      <alignment horizontal="center" wrapText="1"/>
    </xf>
    <xf numFmtId="0" fontId="0" fillId="0" borderId="6" xfId="0" quotePrefix="1" applyFill="1" applyBorder="1" applyAlignment="1">
      <alignment horizontal="center" wrapText="1"/>
    </xf>
    <xf numFmtId="170" fontId="0" fillId="0" borderId="0" xfId="0" applyNumberFormat="1" applyFill="1" applyBorder="1"/>
    <xf numFmtId="169" fontId="0" fillId="0" borderId="16" xfId="0" applyNumberFormat="1" applyFill="1" applyBorder="1"/>
    <xf numFmtId="0" fontId="0" fillId="0" borderId="6" xfId="0" applyFill="1" applyBorder="1" applyAlignment="1">
      <alignment horizontal="center"/>
    </xf>
    <xf numFmtId="167" fontId="2" fillId="0" borderId="6" xfId="0" applyNumberFormat="1" applyFont="1" applyFill="1" applyBorder="1"/>
    <xf numFmtId="164" fontId="2" fillId="0" borderId="6" xfId="0" applyNumberFormat="1" applyFont="1" applyFill="1" applyBorder="1"/>
    <xf numFmtId="0" fontId="0" fillId="0" borderId="18" xfId="0" applyFill="1" applyBorder="1"/>
    <xf numFmtId="0" fontId="5" fillId="0" borderId="0" xfId="0" applyFont="1" applyFill="1" applyBorder="1"/>
    <xf numFmtId="167" fontId="2" fillId="0" borderId="0" xfId="0" applyNumberFormat="1" applyFont="1" applyBorder="1"/>
    <xf numFmtId="164" fontId="2" fillId="0" borderId="0" xfId="0" applyNumberFormat="1" applyFont="1" applyBorder="1"/>
    <xf numFmtId="167" fontId="2" fillId="0" borderId="0" xfId="0" applyNumberFormat="1" applyFont="1" applyFill="1" applyBorder="1"/>
    <xf numFmtId="164" fontId="2" fillId="0" borderId="0" xfId="0" applyNumberFormat="1" applyFont="1" applyFill="1" applyBorder="1"/>
    <xf numFmtId="167" fontId="2" fillId="0" borderId="6" xfId="0" applyNumberFormat="1" applyFont="1" applyFill="1" applyBorder="1"/>
    <xf numFmtId="167" fontId="2" fillId="0" borderId="6" xfId="0" quotePrefix="1" applyNumberFormat="1" applyFont="1" applyFill="1" applyBorder="1" applyAlignment="1">
      <alignment horizontal="center" wrapText="1"/>
    </xf>
    <xf numFmtId="164" fontId="0" fillId="0" borderId="0" xfId="0" applyNumberFormat="1" applyFill="1" applyBorder="1"/>
    <xf numFmtId="0" fontId="0" fillId="0" borderId="0" xfId="0" quotePrefix="1" applyFill="1" applyBorder="1" applyAlignment="1">
      <alignment horizontal="left"/>
    </xf>
    <xf numFmtId="0" fontId="8" fillId="0" borderId="0" xfId="0" applyFont="1" applyFill="1"/>
    <xf numFmtId="0" fontId="8" fillId="0" borderId="8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quotePrefix="1" applyFont="1" applyFill="1" applyBorder="1" applyAlignment="1">
      <alignment horizontal="center" wrapText="1"/>
    </xf>
    <xf numFmtId="0" fontId="8" fillId="0" borderId="0" xfId="0" quotePrefix="1" applyFont="1" applyFill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164" fontId="8" fillId="0" borderId="0" xfId="0" quotePrefix="1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164" fontId="8" fillId="0" borderId="2" xfId="0" applyNumberFormat="1" applyFont="1" applyFill="1" applyBorder="1"/>
    <xf numFmtId="164" fontId="8" fillId="0" borderId="0" xfId="0" applyNumberFormat="1" applyFont="1" applyFill="1" applyBorder="1"/>
    <xf numFmtId="0" fontId="8" fillId="0" borderId="0" xfId="0" quotePrefix="1" applyFont="1" applyFill="1" applyAlignment="1">
      <alignment horizontal="left" indent="1"/>
    </xf>
    <xf numFmtId="0" fontId="8" fillId="0" borderId="0" xfId="0" quotePrefix="1" applyFont="1" applyFill="1" applyAlignment="1">
      <alignment horizontal="left"/>
    </xf>
    <xf numFmtId="164" fontId="8" fillId="0" borderId="7" xfId="0" applyNumberFormat="1" applyFont="1" applyFill="1" applyBorder="1"/>
    <xf numFmtId="164" fontId="8" fillId="0" borderId="9" xfId="0" applyNumberFormat="1" applyFont="1" applyFill="1" applyBorder="1"/>
    <xf numFmtId="0" fontId="0" fillId="0" borderId="0" xfId="0" applyFill="1" applyBorder="1" applyAlignment="1">
      <alignment horizontal="left"/>
    </xf>
    <xf numFmtId="41" fontId="0" fillId="0" borderId="0" xfId="0" applyNumberFormat="1" applyFill="1" applyBorder="1"/>
    <xf numFmtId="167" fontId="0" fillId="0" borderId="0" xfId="0" applyNumberFormat="1" applyFill="1" applyBorder="1"/>
    <xf numFmtId="0" fontId="0" fillId="0" borderId="18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41" fontId="0" fillId="0" borderId="0" xfId="0" applyNumberFormat="1" applyFill="1" applyBorder="1" applyAlignment="1">
      <alignment wrapText="1"/>
    </xf>
    <xf numFmtId="169" fontId="0" fillId="0" borderId="18" xfId="0" applyNumberFormat="1" applyBorder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16" fontId="0" fillId="0" borderId="0" xfId="0" quotePrefix="1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8" fillId="0" borderId="0" xfId="0" quotePrefix="1" applyFont="1" applyFill="1" applyAlignment="1">
      <alignment horizontal="center"/>
    </xf>
    <xf numFmtId="166" fontId="0" fillId="0" borderId="0" xfId="0" applyNumberFormat="1" applyFont="1" applyBorder="1"/>
    <xf numFmtId="166" fontId="0" fillId="0" borderId="0" xfId="0" applyNumberFormat="1" applyFont="1" applyFill="1" applyBorder="1"/>
    <xf numFmtId="164" fontId="8" fillId="0" borderId="0" xfId="0" applyNumberFormat="1" applyFont="1" applyFill="1"/>
    <xf numFmtId="44" fontId="2" fillId="0" borderId="0" xfId="0" applyNumberFormat="1" applyFont="1" applyFill="1"/>
    <xf numFmtId="0" fontId="2" fillId="0" borderId="0" xfId="0" applyFont="1" applyFill="1"/>
    <xf numFmtId="43" fontId="0" fillId="0" borderId="0" xfId="0" applyNumberFormat="1" applyFont="1" applyFill="1"/>
    <xf numFmtId="0" fontId="0" fillId="0" borderId="0" xfId="0" quotePrefix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quotePrefix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quotePrefix="1" applyBorder="1" applyAlignment="1">
      <alignment vertical="top" wrapText="1"/>
    </xf>
    <xf numFmtId="0" fontId="0" fillId="0" borderId="17" xfId="0" applyBorder="1" applyAlignment="1">
      <alignment horizontal="center"/>
    </xf>
    <xf numFmtId="0" fontId="0" fillId="0" borderId="0" xfId="0" quotePrefix="1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1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/>
    <xf numFmtId="164" fontId="11" fillId="0" borderId="0" xfId="0" applyNumberFormat="1" applyFont="1" applyFill="1"/>
    <xf numFmtId="0" fontId="11" fillId="0" borderId="0" xfId="0" applyFont="1" applyFill="1"/>
    <xf numFmtId="0" fontId="8" fillId="0" borderId="0" xfId="0" applyFont="1" applyFill="1" applyBorder="1"/>
    <xf numFmtId="0" fontId="11" fillId="0" borderId="0" xfId="0" applyFont="1" applyFill="1" applyAlignment="1">
      <alignment horizontal="center"/>
    </xf>
    <xf numFmtId="0" fontId="8" fillId="0" borderId="0" xfId="0" quotePrefix="1" applyFont="1" applyFill="1" applyBorder="1" applyAlignment="1">
      <alignment horizontal="left"/>
    </xf>
    <xf numFmtId="0" fontId="11" fillId="0" borderId="0" xfId="0" quotePrefix="1" applyFont="1" applyFill="1" applyAlignment="1">
      <alignment horizontal="left"/>
    </xf>
    <xf numFmtId="41" fontId="11" fillId="0" borderId="0" xfId="0" applyNumberFormat="1" applyFont="1" applyFill="1"/>
    <xf numFmtId="167" fontId="11" fillId="0" borderId="0" xfId="0" applyNumberFormat="1" applyFont="1" applyFill="1"/>
    <xf numFmtId="171" fontId="11" fillId="0" borderId="0" xfId="0" applyNumberFormat="1" applyFont="1" applyFill="1" applyBorder="1"/>
    <xf numFmtId="167" fontId="8" fillId="0" borderId="0" xfId="0" applyNumberFormat="1" applyFont="1" applyFill="1" applyBorder="1"/>
    <xf numFmtId="0" fontId="8" fillId="0" borderId="0" xfId="0" quotePrefix="1" applyFont="1" applyFill="1" applyBorder="1" applyAlignment="1">
      <alignment horizontal="left" indent="1"/>
    </xf>
    <xf numFmtId="0" fontId="11" fillId="0" borderId="0" xfId="0" applyFont="1" applyFill="1" applyBorder="1"/>
    <xf numFmtId="0" fontId="8" fillId="0" borderId="0" xfId="0" applyFont="1" applyFill="1" applyBorder="1" applyAlignment="1">
      <alignment horizontal="left" indent="1"/>
    </xf>
    <xf numFmtId="167" fontId="8" fillId="0" borderId="0" xfId="0" applyNumberFormat="1" applyFont="1" applyFill="1" applyBorder="1" applyAlignment="1">
      <alignment horizontal="center"/>
    </xf>
    <xf numFmtId="167" fontId="12" fillId="0" borderId="0" xfId="0" applyNumberFormat="1" applyFont="1" applyFill="1" applyBorder="1"/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167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8" fillId="0" borderId="0" xfId="0" quotePrefix="1" applyFont="1" applyFill="1" applyBorder="1" applyAlignment="1">
      <alignment horizontal="center" wrapText="1"/>
    </xf>
    <xf numFmtId="0" fontId="8" fillId="0" borderId="0" xfId="0" quotePrefix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quotePrefix="1" applyFont="1" applyFill="1" applyBorder="1" applyAlignment="1">
      <alignment horizontal="right" wrapText="1"/>
    </xf>
    <xf numFmtId="0" fontId="11" fillId="0" borderId="0" xfId="0" quotePrefix="1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11" fillId="0" borderId="0" xfId="0" quotePrefix="1" applyFont="1" applyFill="1" applyAlignment="1">
      <alignment horizontal="center"/>
    </xf>
    <xf numFmtId="0" fontId="8" fillId="0" borderId="8" xfId="0" applyFont="1" applyFill="1" applyBorder="1" applyAlignment="1">
      <alignment horizontal="center" wrapText="1"/>
    </xf>
    <xf numFmtId="0" fontId="8" fillId="0" borderId="8" xfId="0" quotePrefix="1" applyFont="1" applyFill="1" applyBorder="1" applyAlignment="1">
      <alignment horizontal="center" wrapText="1"/>
    </xf>
    <xf numFmtId="0" fontId="11" fillId="0" borderId="0" xfId="0" quotePrefix="1" applyFont="1" applyFill="1" applyAlignment="1">
      <alignment horizontal="center"/>
    </xf>
    <xf numFmtId="44" fontId="1" fillId="0" borderId="0" xfId="0" applyNumberFormat="1" applyFont="1"/>
    <xf numFmtId="165" fontId="1" fillId="0" borderId="0" xfId="0" applyNumberFormat="1" applyFont="1"/>
    <xf numFmtId="0" fontId="11" fillId="0" borderId="0" xfId="0" applyFont="1" applyFill="1" applyAlignment="1">
      <alignment horizontal="center"/>
    </xf>
    <xf numFmtId="164" fontId="11" fillId="0" borderId="0" xfId="0" applyNumberFormat="1" applyFont="1" applyFill="1"/>
    <xf numFmtId="164" fontId="1" fillId="0" borderId="0" xfId="0" applyNumberFormat="1" applyFont="1"/>
    <xf numFmtId="0" fontId="9" fillId="0" borderId="40" xfId="0" applyFont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/>
    <xf numFmtId="0" fontId="4" fillId="0" borderId="1" xfId="0" quotePrefix="1" applyFont="1" applyFill="1" applyBorder="1" applyAlignment="1">
      <alignment horizontal="left"/>
    </xf>
    <xf numFmtId="169" fontId="4" fillId="0" borderId="1" xfId="0" applyNumberFormat="1" applyFont="1" applyFill="1" applyBorder="1"/>
    <xf numFmtId="167" fontId="2" fillId="0" borderId="1" xfId="0" applyNumberFormat="1" applyFont="1" applyFill="1" applyBorder="1"/>
    <xf numFmtId="0" fontId="0" fillId="0" borderId="1" xfId="0" applyFill="1" applyBorder="1"/>
    <xf numFmtId="0" fontId="0" fillId="0" borderId="43" xfId="0" applyFill="1" applyBorder="1"/>
    <xf numFmtId="0" fontId="0" fillId="0" borderId="10" xfId="0" applyFill="1" applyBorder="1"/>
    <xf numFmtId="0" fontId="0" fillId="0" borderId="0" xfId="0" applyFill="1" applyAlignment="1">
      <alignment horizontal="centerContinuous"/>
    </xf>
    <xf numFmtId="0" fontId="0" fillId="0" borderId="8" xfId="0" applyFill="1" applyBorder="1" applyAlignment="1">
      <alignment horizontal="center" wrapText="1"/>
    </xf>
    <xf numFmtId="0" fontId="0" fillId="0" borderId="8" xfId="0" quotePrefix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167" fontId="2" fillId="0" borderId="0" xfId="0" applyNumberFormat="1" applyFont="1" applyFill="1"/>
    <xf numFmtId="10" fontId="2" fillId="0" borderId="0" xfId="0" applyNumberFormat="1" applyFont="1" applyFill="1"/>
    <xf numFmtId="0" fontId="0" fillId="0" borderId="0" xfId="0" quotePrefix="1" applyFill="1" applyAlignment="1">
      <alignment horizontal="left"/>
    </xf>
    <xf numFmtId="167" fontId="0" fillId="0" borderId="7" xfId="0" applyNumberFormat="1" applyFill="1" applyBorder="1"/>
    <xf numFmtId="44" fontId="2" fillId="0" borderId="7" xfId="0" applyNumberFormat="1" applyFont="1" applyFill="1" applyBorder="1"/>
    <xf numFmtId="10" fontId="2" fillId="0" borderId="7" xfId="0" applyNumberFormat="1" applyFont="1" applyFill="1" applyBorder="1"/>
    <xf numFmtId="44" fontId="0" fillId="0" borderId="0" xfId="0" applyNumberFormat="1" applyFont="1" applyFill="1"/>
    <xf numFmtId="10" fontId="0" fillId="0" borderId="0" xfId="0" applyNumberFormat="1" applyFont="1" applyFill="1"/>
    <xf numFmtId="0" fontId="0" fillId="0" borderId="8" xfId="0" quotePrefix="1" applyFill="1" applyBorder="1" applyAlignment="1">
      <alignment horizontal="left"/>
    </xf>
    <xf numFmtId="0" fontId="0" fillId="0" borderId="8" xfId="0" applyFill="1" applyBorder="1"/>
    <xf numFmtId="0" fontId="0" fillId="0" borderId="19" xfId="0" quotePrefix="1" applyFill="1" applyBorder="1" applyAlignment="1">
      <alignment horizontal="center" wrapText="1"/>
    </xf>
    <xf numFmtId="0" fontId="0" fillId="0" borderId="36" xfId="0" quotePrefix="1" applyFill="1" applyBorder="1" applyAlignment="1">
      <alignment horizontal="center" wrapText="1"/>
    </xf>
    <xf numFmtId="166" fontId="2" fillId="0" borderId="19" xfId="0" applyNumberFormat="1" applyFont="1" applyFill="1" applyBorder="1"/>
    <xf numFmtId="166" fontId="2" fillId="0" borderId="36" xfId="0" applyNumberFormat="1" applyFont="1" applyFill="1" applyBorder="1"/>
    <xf numFmtId="166" fontId="2" fillId="0" borderId="10" xfId="0" applyNumberFormat="1" applyFont="1" applyFill="1" applyBorder="1"/>
    <xf numFmtId="166" fontId="2" fillId="0" borderId="37" xfId="0" applyNumberFormat="1" applyFont="1" applyFill="1" applyBorder="1"/>
    <xf numFmtId="166" fontId="2" fillId="0" borderId="34" xfId="0" applyNumberFormat="1" applyFont="1" applyFill="1" applyBorder="1"/>
    <xf numFmtId="166" fontId="2" fillId="0" borderId="38" xfId="0" applyNumberFormat="1" applyFont="1" applyFill="1" applyBorder="1"/>
    <xf numFmtId="0" fontId="0" fillId="0" borderId="37" xfId="0" applyFill="1" applyBorder="1"/>
    <xf numFmtId="166" fontId="2" fillId="0" borderId="10" xfId="0" quotePrefix="1" applyNumberFormat="1" applyFont="1" applyFill="1" applyBorder="1" applyAlignment="1"/>
    <xf numFmtId="166" fontId="2" fillId="0" borderId="37" xfId="0" quotePrefix="1" applyNumberFormat="1" applyFont="1" applyFill="1" applyBorder="1" applyAlignment="1"/>
    <xf numFmtId="166" fontId="2" fillId="0" borderId="34" xfId="0" quotePrefix="1" applyNumberFormat="1" applyFont="1" applyFill="1" applyBorder="1" applyAlignment="1"/>
    <xf numFmtId="166" fontId="2" fillId="0" borderId="38" xfId="0" quotePrefix="1" applyNumberFormat="1" applyFont="1" applyFill="1" applyBorder="1" applyAlignment="1"/>
    <xf numFmtId="166" fontId="0" fillId="0" borderId="10" xfId="0" applyNumberFormat="1" applyFill="1" applyBorder="1"/>
    <xf numFmtId="166" fontId="0" fillId="0" borderId="37" xfId="0" applyNumberFormat="1" applyFill="1" applyBorder="1"/>
    <xf numFmtId="166" fontId="0" fillId="0" borderId="11" xfId="0" applyNumberFormat="1" applyFill="1" applyBorder="1"/>
    <xf numFmtId="166" fontId="0" fillId="0" borderId="39" xfId="0" applyNumberFormat="1" applyFill="1" applyBorder="1"/>
    <xf numFmtId="167" fontId="0" fillId="0" borderId="0" xfId="0" applyNumberFormat="1" applyFont="1" applyFill="1"/>
    <xf numFmtId="166" fontId="2" fillId="2" borderId="37" xfId="0" quotePrefix="1" applyNumberFormat="1" applyFont="1" applyFill="1" applyBorder="1" applyAlignment="1"/>
    <xf numFmtId="10" fontId="0" fillId="0" borderId="16" xfId="0" applyNumberFormat="1" applyBorder="1"/>
    <xf numFmtId="44" fontId="1" fillId="0" borderId="0" xfId="1" applyFont="1"/>
    <xf numFmtId="0" fontId="1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quotePrefix="1" applyFill="1" applyAlignment="1">
      <alignment horizontal="left" indent="2"/>
    </xf>
    <xf numFmtId="0" fontId="0" fillId="3" borderId="0" xfId="0" applyFill="1"/>
    <xf numFmtId="0" fontId="0" fillId="3" borderId="0" xfId="0" quotePrefix="1" applyFill="1" applyAlignment="1">
      <alignment horizontal="left"/>
    </xf>
    <xf numFmtId="0" fontId="0" fillId="3" borderId="0" xfId="0" applyFill="1" applyAlignment="1">
      <alignment horizontal="center" wrapText="1"/>
    </xf>
    <xf numFmtId="167" fontId="0" fillId="3" borderId="0" xfId="0" applyNumberFormat="1" applyFont="1" applyFill="1"/>
    <xf numFmtId="169" fontId="4" fillId="0" borderId="1" xfId="2" applyNumberFormat="1" applyFont="1" applyFill="1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9" fontId="0" fillId="0" borderId="16" xfId="0" applyNumberFormat="1" applyFill="1" applyBorder="1" applyAlignment="1">
      <alignment horizontal="right"/>
    </xf>
    <xf numFmtId="167" fontId="8" fillId="0" borderId="2" xfId="5" applyNumberFormat="1" applyFont="1" applyFill="1" applyBorder="1"/>
    <xf numFmtId="167" fontId="8" fillId="0" borderId="0" xfId="5" applyNumberFormat="1" applyFont="1" applyFill="1" applyBorder="1"/>
    <xf numFmtId="167" fontId="8" fillId="0" borderId="0" xfId="5" applyNumberFormat="1" applyFont="1" applyFill="1"/>
    <xf numFmtId="167" fontId="8" fillId="0" borderId="7" xfId="5" applyNumberFormat="1" applyFont="1" applyFill="1" applyBorder="1"/>
    <xf numFmtId="167" fontId="8" fillId="0" borderId="9" xfId="5" applyNumberFormat="1" applyFont="1" applyFill="1" applyBorder="1"/>
    <xf numFmtId="164" fontId="2" fillId="0" borderId="0" xfId="1" applyNumberFormat="1" applyFont="1" applyFill="1" applyBorder="1"/>
    <xf numFmtId="175" fontId="9" fillId="0" borderId="41" xfId="5" applyNumberFormat="1" applyFont="1" applyBorder="1" applyAlignment="1">
      <alignment horizontal="center"/>
    </xf>
    <xf numFmtId="175" fontId="1" fillId="0" borderId="0" xfId="5" applyNumberFormat="1" applyFont="1" applyAlignment="1">
      <alignment horizontal="center"/>
    </xf>
    <xf numFmtId="175" fontId="1" fillId="2" borderId="0" xfId="5" applyNumberFormat="1" applyFont="1" applyFill="1" applyAlignment="1">
      <alignment horizontal="center"/>
    </xf>
    <xf numFmtId="167" fontId="1" fillId="0" borderId="0" xfId="0" applyNumberFormat="1" applyFont="1" applyFill="1"/>
    <xf numFmtId="0" fontId="1" fillId="0" borderId="0" xfId="0" applyFont="1" applyFill="1"/>
    <xf numFmtId="0" fontId="6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10" fillId="0" borderId="0" xfId="0" applyFont="1" applyBorder="1"/>
    <xf numFmtId="0" fontId="10" fillId="0" borderId="0" xfId="0" applyFont="1"/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/>
    </xf>
    <xf numFmtId="0" fontId="10" fillId="0" borderId="24" xfId="0" applyFont="1" applyFill="1" applyBorder="1" applyAlignment="1">
      <alignment horizontal="centerContinuous"/>
    </xf>
    <xf numFmtId="0" fontId="10" fillId="0" borderId="24" xfId="0" applyFont="1" applyFill="1" applyBorder="1"/>
    <xf numFmtId="0" fontId="10" fillId="0" borderId="0" xfId="0" applyFont="1" applyFill="1"/>
    <xf numFmtId="0" fontId="4" fillId="0" borderId="28" xfId="0" applyFont="1" applyFill="1" applyBorder="1" applyAlignment="1">
      <alignment horizontal="center" wrapText="1"/>
    </xf>
    <xf numFmtId="0" fontId="4" fillId="0" borderId="29" xfId="0" applyFont="1" applyFill="1" applyBorder="1" applyAlignment="1">
      <alignment horizontal="center"/>
    </xf>
    <xf numFmtId="0" fontId="0" fillId="0" borderId="30" xfId="0" applyFill="1" applyBorder="1"/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9" fontId="4" fillId="0" borderId="35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2" fillId="0" borderId="21" xfId="0" applyFont="1" applyFill="1" applyBorder="1" applyAlignment="1">
      <alignment horizontal="left"/>
    </xf>
    <xf numFmtId="42" fontId="0" fillId="0" borderId="23" xfId="0" applyNumberFormat="1" applyFill="1" applyBorder="1" applyAlignment="1">
      <alignment horizontal="center"/>
    </xf>
    <xf numFmtId="0" fontId="0" fillId="0" borderId="21" xfId="0" applyBorder="1"/>
    <xf numFmtId="10" fontId="0" fillId="0" borderId="0" xfId="2" applyNumberFormat="1" applyFont="1" applyFill="1" applyBorder="1" applyAlignment="1">
      <alignment horizontal="center"/>
    </xf>
    <xf numFmtId="10" fontId="0" fillId="0" borderId="5" xfId="2" applyNumberFormat="1" applyFont="1" applyFill="1" applyBorder="1" applyAlignment="1">
      <alignment horizontal="center"/>
    </xf>
    <xf numFmtId="41" fontId="0" fillId="0" borderId="23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1" fontId="0" fillId="0" borderId="27" xfId="0" applyNumberFormat="1" applyFill="1" applyBorder="1" applyAlignment="1">
      <alignment horizontal="center"/>
    </xf>
    <xf numFmtId="174" fontId="0" fillId="0" borderId="0" xfId="0" applyNumberFormat="1" applyFont="1" applyFill="1" applyBorder="1"/>
    <xf numFmtId="174" fontId="0" fillId="0" borderId="5" xfId="0" applyNumberFormat="1" applyFont="1" applyFill="1" applyBorder="1"/>
    <xf numFmtId="42" fontId="2" fillId="0" borderId="23" xfId="0" applyNumberFormat="1" applyFont="1" applyFill="1" applyBorder="1" applyAlignment="1"/>
    <xf numFmtId="0" fontId="0" fillId="0" borderId="23" xfId="0" applyFill="1" applyBorder="1"/>
    <xf numFmtId="164" fontId="2" fillId="0" borderId="23" xfId="0" applyNumberFormat="1" applyFont="1" applyFill="1" applyBorder="1" applyAlignment="1"/>
    <xf numFmtId="164" fontId="0" fillId="0" borderId="23" xfId="0" applyNumberFormat="1" applyFill="1" applyBorder="1" applyAlignment="1">
      <alignment horizontal="center"/>
    </xf>
    <xf numFmtId="0" fontId="2" fillId="0" borderId="21" xfId="0" applyFont="1" applyFill="1" applyBorder="1"/>
    <xf numFmtId="0" fontId="0" fillId="0" borderId="5" xfId="0" applyFill="1" applyBorder="1" applyAlignment="1">
      <alignment horizontal="left"/>
    </xf>
    <xf numFmtId="41" fontId="2" fillId="0" borderId="23" xfId="0" applyNumberFormat="1" applyFont="1" applyFill="1" applyBorder="1" applyAlignment="1"/>
    <xf numFmtId="0" fontId="0" fillId="0" borderId="21" xfId="0" applyFill="1" applyBorder="1"/>
    <xf numFmtId="9" fontId="0" fillId="0" borderId="0" xfId="0" applyNumberFormat="1" applyFill="1" applyBorder="1"/>
    <xf numFmtId="9" fontId="0" fillId="0" borderId="5" xfId="0" applyNumberFormat="1" applyFill="1" applyBorder="1"/>
    <xf numFmtId="167" fontId="2" fillId="0" borderId="27" xfId="0" applyNumberFormat="1" applyFont="1" applyFill="1" applyBorder="1" applyAlignment="1"/>
    <xf numFmtId="41" fontId="2" fillId="0" borderId="27" xfId="0" applyNumberFormat="1" applyFont="1" applyFill="1" applyBorder="1"/>
    <xf numFmtId="0" fontId="0" fillId="0" borderId="5" xfId="0" applyFill="1" applyBorder="1"/>
    <xf numFmtId="37" fontId="2" fillId="0" borderId="23" xfId="0" applyNumberFormat="1" applyFont="1" applyFill="1" applyBorder="1" applyAlignment="1">
      <alignment horizontal="right"/>
    </xf>
    <xf numFmtId="42" fontId="2" fillId="0" borderId="23" xfId="0" applyNumberFormat="1" applyFont="1" applyFill="1" applyBorder="1"/>
    <xf numFmtId="164" fontId="2" fillId="0" borderId="23" xfId="0" applyNumberFormat="1" applyFont="1" applyFill="1" applyBorder="1"/>
    <xf numFmtId="0" fontId="7" fillId="0" borderId="21" xfId="0" applyFont="1" applyFill="1" applyBorder="1"/>
    <xf numFmtId="173" fontId="2" fillId="0" borderId="23" xfId="0" applyNumberFormat="1" applyFont="1" applyFill="1" applyBorder="1"/>
    <xf numFmtId="172" fontId="2" fillId="0" borderId="23" xfId="0" applyNumberFormat="1" applyFont="1" applyFill="1" applyBorder="1"/>
    <xf numFmtId="173" fontId="2" fillId="0" borderId="27" xfId="0" applyNumberFormat="1" applyFont="1" applyFill="1" applyBorder="1"/>
    <xf numFmtId="168" fontId="2" fillId="0" borderId="27" xfId="0" applyNumberFormat="1" applyFont="1" applyFill="1" applyBorder="1"/>
    <xf numFmtId="9" fontId="2" fillId="0" borderId="23" xfId="0" applyNumberFormat="1" applyFont="1" applyFill="1" applyBorder="1" applyAlignment="1">
      <alignment horizontal="center"/>
    </xf>
    <xf numFmtId="37" fontId="2" fillId="0" borderId="27" xfId="0" applyNumberFormat="1" applyFont="1" applyFill="1" applyBorder="1"/>
    <xf numFmtId="42" fontId="2" fillId="0" borderId="27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32" xfId="0" applyFill="1" applyBorder="1"/>
    <xf numFmtId="0" fontId="2" fillId="0" borderId="26" xfId="0" applyFont="1" applyFill="1" applyBorder="1" applyAlignment="1">
      <alignment horizontal="center"/>
    </xf>
    <xf numFmtId="0" fontId="2" fillId="0" borderId="44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42" fontId="4" fillId="0" borderId="33" xfId="0" applyNumberFormat="1" applyFont="1" applyFill="1" applyBorder="1"/>
    <xf numFmtId="0" fontId="0" fillId="0" borderId="26" xfId="0" applyFill="1" applyBorder="1"/>
    <xf numFmtId="43" fontId="2" fillId="0" borderId="0" xfId="0" applyNumberFormat="1" applyFont="1" applyFill="1" applyBorder="1"/>
    <xf numFmtId="4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6" xfId="0" applyFont="1" applyFill="1" applyBorder="1" applyAlignment="1">
      <alignment horizontal="center"/>
    </xf>
    <xf numFmtId="43" fontId="4" fillId="0" borderId="6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173" fontId="2" fillId="0" borderId="0" xfId="0" applyNumberFormat="1" applyFont="1" applyFill="1" applyBorder="1"/>
    <xf numFmtId="41" fontId="2" fillId="0" borderId="0" xfId="0" applyNumberFormat="1" applyFont="1" applyFill="1" applyBorder="1"/>
    <xf numFmtId="41" fontId="2" fillId="0" borderId="0" xfId="0" applyNumberFormat="1" applyFont="1" applyFill="1" applyBorder="1" applyAlignment="1">
      <alignment vertical="top"/>
    </xf>
    <xf numFmtId="41" fontId="2" fillId="0" borderId="0" xfId="0" applyNumberFormat="1" applyFont="1" applyFill="1"/>
    <xf numFmtId="0" fontId="4" fillId="0" borderId="0" xfId="0" applyFont="1" applyAlignment="1"/>
    <xf numFmtId="42" fontId="4" fillId="0" borderId="7" xfId="0" applyNumberFormat="1" applyFont="1" applyFill="1" applyBorder="1"/>
    <xf numFmtId="164" fontId="0" fillId="0" borderId="0" xfId="1" applyNumberFormat="1" applyFont="1" applyFill="1" applyBorder="1"/>
    <xf numFmtId="167" fontId="0" fillId="0" borderId="0" xfId="5" applyNumberFormat="1" applyFont="1" applyFill="1" applyBorder="1"/>
    <xf numFmtId="167" fontId="18" fillId="0" borderId="0" xfId="5" quotePrefix="1" applyNumberFormat="1" applyFont="1" applyFill="1" applyAlignment="1">
      <alignment horizontal="left"/>
    </xf>
    <xf numFmtId="167" fontId="18" fillId="0" borderId="2" xfId="5" applyNumberFormat="1" applyFont="1" applyFill="1" applyBorder="1"/>
    <xf numFmtId="0" fontId="2" fillId="0" borderId="20" xfId="0" quotePrefix="1" applyFont="1" applyFill="1" applyBorder="1" applyAlignment="1">
      <alignment horizontal="center" wrapText="1"/>
    </xf>
    <xf numFmtId="0" fontId="2" fillId="0" borderId="3" xfId="0" quotePrefix="1" applyFont="1" applyFill="1" applyBorder="1" applyAlignment="1">
      <alignment horizontal="center" wrapText="1"/>
    </xf>
    <xf numFmtId="0" fontId="0" fillId="0" borderId="45" xfId="0" applyFill="1" applyBorder="1" applyAlignment="1">
      <alignment horizontal="center" wrapText="1"/>
    </xf>
    <xf numFmtId="0" fontId="0" fillId="0" borderId="46" xfId="0" quotePrefix="1" applyFill="1" applyBorder="1" applyAlignment="1">
      <alignment horizontal="center" wrapText="1"/>
    </xf>
    <xf numFmtId="44" fontId="2" fillId="0" borderId="15" xfId="0" applyNumberFormat="1" applyFont="1" applyFill="1" applyBorder="1"/>
    <xf numFmtId="44" fontId="2" fillId="0" borderId="16" xfId="0" applyNumberFormat="1" applyFont="1" applyFill="1" applyBorder="1"/>
    <xf numFmtId="44" fontId="2" fillId="0" borderId="47" xfId="0" applyNumberFormat="1" applyFont="1" applyFill="1" applyBorder="1"/>
    <xf numFmtId="44" fontId="2" fillId="0" borderId="48" xfId="0" applyNumberFormat="1" applyFont="1" applyFill="1" applyBorder="1"/>
    <xf numFmtId="44" fontId="0" fillId="0" borderId="15" xfId="0" applyNumberFormat="1" applyFont="1" applyFill="1" applyBorder="1"/>
    <xf numFmtId="44" fontId="0" fillId="0" borderId="16" xfId="0" applyNumberFormat="1" applyFont="1" applyFill="1" applyBorder="1"/>
    <xf numFmtId="43" fontId="0" fillId="0" borderId="15" xfId="0" applyNumberFormat="1" applyFont="1" applyFill="1" applyBorder="1"/>
    <xf numFmtId="43" fontId="0" fillId="0" borderId="16" xfId="0" applyNumberFormat="1" applyFont="1" applyFill="1" applyBorder="1"/>
    <xf numFmtId="44" fontId="2" fillId="0" borderId="49" xfId="0" applyNumberFormat="1" applyFont="1" applyFill="1" applyBorder="1"/>
    <xf numFmtId="44" fontId="2" fillId="0" borderId="50" xfId="0" applyNumberFormat="1" applyFont="1" applyFill="1" applyBorder="1"/>
    <xf numFmtId="164" fontId="18" fillId="0" borderId="0" xfId="0" quotePrefix="1" applyNumberFormat="1" applyFont="1" applyFill="1" applyAlignment="1">
      <alignment horizontal="left"/>
    </xf>
    <xf numFmtId="0" fontId="18" fillId="0" borderId="0" xfId="0" applyFont="1" applyFill="1"/>
    <xf numFmtId="164" fontId="18" fillId="0" borderId="2" xfId="0" applyNumberFormat="1" applyFont="1" applyFill="1" applyBorder="1"/>
    <xf numFmtId="0" fontId="20" fillId="0" borderId="8" xfId="0" quotePrefix="1" applyFont="1" applyFill="1" applyBorder="1" applyAlignment="1">
      <alignment horizontal="center" wrapText="1"/>
    </xf>
    <xf numFmtId="167" fontId="19" fillId="0" borderId="6" xfId="0" quotePrefix="1" applyNumberFormat="1" applyFont="1" applyBorder="1" applyAlignment="1">
      <alignment horizontal="center" wrapText="1"/>
    </xf>
    <xf numFmtId="167" fontId="19" fillId="0" borderId="6" xfId="0" applyNumberFormat="1" applyFont="1" applyFill="1" applyBorder="1" applyAlignment="1">
      <alignment horizontal="center" wrapText="1"/>
    </xf>
    <xf numFmtId="167" fontId="19" fillId="0" borderId="6" xfId="0" quotePrefix="1" applyNumberFormat="1" applyFont="1" applyFill="1" applyBorder="1" applyAlignment="1">
      <alignment horizontal="center" wrapText="1"/>
    </xf>
    <xf numFmtId="0" fontId="0" fillId="2" borderId="0" xfId="0" applyFill="1"/>
    <xf numFmtId="166" fontId="2" fillId="2" borderId="10" xfId="0" quotePrefix="1" applyNumberFormat="1" applyFont="1" applyFill="1" applyBorder="1" applyAlignment="1"/>
    <xf numFmtId="0" fontId="0" fillId="0" borderId="0" xfId="0" quotePrefix="1" applyBorder="1" applyAlignment="1">
      <alignment horizontal="left" vertical="top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quotePrefix="1" applyFont="1" applyFill="1" applyAlignment="1">
      <alignment horizontal="center"/>
    </xf>
    <xf numFmtId="0" fontId="0" fillId="0" borderId="0" xfId="0" quotePrefix="1" applyFill="1" applyAlignment="1">
      <alignment horizontal="left" indent="3"/>
    </xf>
    <xf numFmtId="0" fontId="0" fillId="0" borderId="8" xfId="0" applyFill="1" applyBorder="1" applyAlignment="1">
      <alignment horizontal="center"/>
    </xf>
    <xf numFmtId="0" fontId="0" fillId="0" borderId="0" xfId="0" quotePrefix="1" applyFill="1" applyAlignment="1">
      <alignment horizontal="left" indent="1"/>
    </xf>
    <xf numFmtId="0" fontId="0" fillId="0" borderId="0" xfId="0" quotePrefix="1" applyFill="1" applyAlignment="1">
      <alignment horizontal="left" indent="2"/>
    </xf>
    <xf numFmtId="0" fontId="0" fillId="2" borderId="0" xfId="0" quotePrefix="1" applyFill="1" applyAlignment="1">
      <alignment horizontal="left" indent="2"/>
    </xf>
    <xf numFmtId="0" fontId="16" fillId="0" borderId="4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4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Fill="1" applyBorder="1" applyAlignment="1">
      <alignment horizontal="left" wrapText="1"/>
    </xf>
  </cellXfs>
  <cellStyles count="6">
    <cellStyle name="Comma" xfId="5" builtinId="3"/>
    <cellStyle name="Comma 3" xfId="4"/>
    <cellStyle name="Currency" xfId="1" builtinId="4"/>
    <cellStyle name="Normal" xfId="0" builtinId="0"/>
    <cellStyle name="Normal 4" xfId="3"/>
    <cellStyle name="Percent" xfId="2" builtinId="5"/>
  </cellStyles>
  <dxfs count="0"/>
  <tableStyles count="0" defaultTableStyle="TableStyleMedium9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49</xdr:row>
      <xdr:rowOff>1</xdr:rowOff>
    </xdr:from>
    <xdr:to>
      <xdr:col>4</xdr:col>
      <xdr:colOff>215901</xdr:colOff>
      <xdr:row>60</xdr:row>
      <xdr:rowOff>118534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4" y="10955868"/>
          <a:ext cx="6438900" cy="1981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160020</xdr:colOff>
      <xdr:row>37</xdr:row>
      <xdr:rowOff>152401</xdr:rowOff>
    </xdr:from>
    <xdr:to>
      <xdr:col>21</xdr:col>
      <xdr:colOff>20726</xdr:colOff>
      <xdr:row>68</xdr:row>
      <xdr:rowOff>30481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3780" y="7269481"/>
          <a:ext cx="7732166" cy="51206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177680</xdr:colOff>
      <xdr:row>4</xdr:row>
      <xdr:rowOff>178884</xdr:rowOff>
    </xdr:from>
    <xdr:ext cx="9004773" cy="2628220"/>
    <xdr:sp macro="" textlink="">
      <xdr:nvSpPr>
        <xdr:cNvPr id="2" name="Rectangle 1"/>
        <xdr:cNvSpPr/>
      </xdr:nvSpPr>
      <xdr:spPr>
        <a:xfrm rot="20397266">
          <a:off x="177680" y="1719817"/>
          <a:ext cx="9004773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Source:</a:t>
          </a:r>
        </a:p>
        <a:p>
          <a:pPr algn="ctr"/>
          <a:r>
            <a:rPr lang="en-U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2018 Electric Low Income Filing</a:t>
          </a:r>
        </a:p>
        <a:p>
          <a:pPr algn="ctr"/>
          <a:r>
            <a:rPr lang="en-U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Docket No. UE-18xxxx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438150</xdr:colOff>
      <xdr:row>0</xdr:row>
      <xdr:rowOff>0</xdr:rowOff>
    </xdr:from>
    <xdr:ext cx="4038600" cy="5164106"/>
    <xdr:sp macro="" textlink="">
      <xdr:nvSpPr>
        <xdr:cNvPr id="2" name="Rectangle 1"/>
        <xdr:cNvSpPr/>
      </xdr:nvSpPr>
      <xdr:spPr>
        <a:xfrm>
          <a:off x="10182225" y="0"/>
          <a:ext cx="4038600" cy="516410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Source: </a:t>
          </a:r>
        </a:p>
        <a:p>
          <a:pPr algn="ctr"/>
          <a:r>
            <a:rPr lang="en-U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2019</a:t>
          </a:r>
          <a:r>
            <a:rPr lang="en-US" sz="5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Revenue Revenue </a:t>
          </a:r>
        </a:p>
        <a:p>
          <a:pPr algn="ctr"/>
          <a:r>
            <a:rPr lang="en-US" sz="5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Requirement Workpapers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L188"/>
  <sheetViews>
    <sheetView tabSelected="1" zoomScale="90" workbookViewId="0">
      <pane xSplit="3" ySplit="6" topLeftCell="D7" activePane="bottomRight" state="frozen"/>
      <selection activeCell="B13" sqref="B13"/>
      <selection pane="topRight" activeCell="B13" sqref="B13"/>
      <selection pane="bottomLeft" activeCell="B13" sqref="B13"/>
      <selection pane="bottomRight" activeCell="F15" sqref="F15"/>
    </sheetView>
  </sheetViews>
  <sheetFormatPr defaultColWidth="9.140625" defaultRowHeight="12.75" x14ac:dyDescent="0.2"/>
  <cols>
    <col min="1" max="1" width="5.7109375" style="2" customWidth="1"/>
    <col min="2" max="2" width="31.85546875" style="2" customWidth="1"/>
    <col min="3" max="3" width="11.7109375" style="18" bestFit="1" customWidth="1"/>
    <col min="4" max="4" width="16.140625" style="19" bestFit="1" customWidth="1"/>
    <col min="5" max="5" width="17.7109375" style="19" bestFit="1" customWidth="1"/>
    <col min="6" max="6" width="13.28515625" style="2" bestFit="1" customWidth="1"/>
    <col min="7" max="7" width="12.85546875" style="2" bestFit="1" customWidth="1"/>
    <col min="8" max="8" width="12.85546875" style="2" customWidth="1"/>
    <col min="9" max="9" width="16.140625" style="19" bestFit="1" customWidth="1"/>
    <col min="10" max="10" width="16.5703125" style="19" customWidth="1"/>
    <col min="11" max="11" width="13.5703125" style="2" bestFit="1" customWidth="1"/>
    <col min="12" max="12" width="15.5703125" style="2" bestFit="1" customWidth="1"/>
    <col min="13" max="13" width="9.140625" style="2"/>
    <col min="14" max="15" width="9.85546875" style="2" bestFit="1" customWidth="1"/>
    <col min="16" max="16" width="6.85546875" style="2" bestFit="1" customWidth="1"/>
    <col min="17" max="18" width="14" style="2" bestFit="1" customWidth="1"/>
    <col min="19" max="16384" width="9.140625" style="2"/>
  </cols>
  <sheetData>
    <row r="1" spans="1:12" x14ac:dyDescent="0.2">
      <c r="A1" s="315" t="s">
        <v>246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7"/>
    </row>
    <row r="2" spans="1:12" x14ac:dyDescent="0.2">
      <c r="A2" s="318" t="s">
        <v>8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20"/>
    </row>
    <row r="3" spans="1:12" x14ac:dyDescent="0.2">
      <c r="A3" s="318" t="s">
        <v>68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20"/>
    </row>
    <row r="4" spans="1:12" x14ac:dyDescent="0.2">
      <c r="A4" s="318" t="s">
        <v>245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20"/>
    </row>
    <row r="5" spans="1:12" x14ac:dyDescent="0.2">
      <c r="A5" s="8"/>
      <c r="B5" s="9"/>
      <c r="C5" s="9"/>
      <c r="D5" s="10"/>
      <c r="E5" s="10"/>
      <c r="F5" s="9"/>
      <c r="G5" s="9"/>
      <c r="H5" s="9"/>
      <c r="I5" s="10"/>
      <c r="J5" s="10"/>
      <c r="K5" s="9"/>
      <c r="L5" s="11"/>
    </row>
    <row r="6" spans="1:12" s="17" customFormat="1" ht="77.25" thickBot="1" x14ac:dyDescent="0.25">
      <c r="A6" s="12" t="s">
        <v>9</v>
      </c>
      <c r="B6" s="13" t="s">
        <v>69</v>
      </c>
      <c r="C6" s="13" t="s">
        <v>0</v>
      </c>
      <c r="D6" s="309" t="s">
        <v>304</v>
      </c>
      <c r="E6" s="309" t="s">
        <v>305</v>
      </c>
      <c r="F6" s="15" t="s">
        <v>247</v>
      </c>
      <c r="G6" s="15" t="s">
        <v>248</v>
      </c>
      <c r="H6" s="15" t="s">
        <v>84</v>
      </c>
      <c r="I6" s="309" t="s">
        <v>320</v>
      </c>
      <c r="J6" s="14" t="s">
        <v>249</v>
      </c>
      <c r="K6" s="15" t="s">
        <v>70</v>
      </c>
      <c r="L6" s="16" t="s">
        <v>71</v>
      </c>
    </row>
    <row r="7" spans="1:12" s="17" customFormat="1" ht="26.25" thickBot="1" x14ac:dyDescent="0.25">
      <c r="A7" s="12"/>
      <c r="B7" s="13"/>
      <c r="C7" s="13"/>
      <c r="D7" s="31" t="s">
        <v>14</v>
      </c>
      <c r="E7" s="31" t="s">
        <v>15</v>
      </c>
      <c r="F7" s="13" t="s">
        <v>16</v>
      </c>
      <c r="G7" s="13" t="s">
        <v>48</v>
      </c>
      <c r="H7" s="15" t="s">
        <v>80</v>
      </c>
      <c r="I7" s="14" t="s">
        <v>142</v>
      </c>
      <c r="J7" s="14" t="s">
        <v>143</v>
      </c>
      <c r="K7" s="15" t="s">
        <v>81</v>
      </c>
      <c r="L7" s="16" t="s">
        <v>82</v>
      </c>
    </row>
    <row r="8" spans="1:12" x14ac:dyDescent="0.2">
      <c r="A8" s="99"/>
      <c r="L8" s="20"/>
    </row>
    <row r="9" spans="1:12" x14ac:dyDescent="0.2">
      <c r="A9" s="99">
        <v>1</v>
      </c>
      <c r="B9" s="27" t="s">
        <v>1</v>
      </c>
      <c r="C9" s="18">
        <v>7</v>
      </c>
      <c r="D9" s="54">
        <f>+'2019 Equal % Allocation'!D7</f>
        <v>10602809000</v>
      </c>
      <c r="E9" s="55">
        <f>+'Estimated Base Revenue'!O11</f>
        <v>1060874000</v>
      </c>
      <c r="F9" s="89">
        <f>+'2018 Equal % Allocation '!F7</f>
        <v>8.9541873144173675E-4</v>
      </c>
      <c r="G9" s="89">
        <f>ROUND(+'2019 Equal % Allocation'!F7,6)</f>
        <v>1.0679999999999999E-3</v>
      </c>
      <c r="H9" s="89">
        <f>G9-F9</f>
        <v>1.7258126855826319E-4</v>
      </c>
      <c r="I9" s="21">
        <f>+F9*D9+E9</f>
        <v>1070367953.784499</v>
      </c>
      <c r="J9" s="21">
        <f>+G9*D9+E9</f>
        <v>1072197800.012</v>
      </c>
      <c r="K9" s="21">
        <f>+J9-I9</f>
        <v>1829846.2275009155</v>
      </c>
      <c r="L9" s="186">
        <f>IF(I9&gt;0,+K9/I9,0)</f>
        <v>1.7095487780918045E-3</v>
      </c>
    </row>
    <row r="10" spans="1:12" x14ac:dyDescent="0.2">
      <c r="A10" s="99">
        <f>+A9+1</f>
        <v>2</v>
      </c>
      <c r="B10" s="27"/>
      <c r="D10" s="54"/>
      <c r="E10" s="55"/>
      <c r="F10" s="22"/>
      <c r="G10" s="22"/>
      <c r="H10" s="89" t="s">
        <v>78</v>
      </c>
      <c r="I10" s="21"/>
      <c r="J10" s="21"/>
      <c r="K10" s="21"/>
      <c r="L10" s="186"/>
    </row>
    <row r="11" spans="1:12" x14ac:dyDescent="0.2">
      <c r="A11" s="99">
        <f t="shared" ref="A11:A42" si="0">+A10+1</f>
        <v>3</v>
      </c>
      <c r="B11" s="95" t="s">
        <v>49</v>
      </c>
      <c r="C11" s="86" t="s">
        <v>130</v>
      </c>
      <c r="D11" s="54">
        <f>+'2019 Equal % Allocation'!D9</f>
        <v>2812057000</v>
      </c>
      <c r="E11" s="55">
        <f>+'Estimated Base Revenue'!O15</f>
        <v>285939000</v>
      </c>
      <c r="F11" s="89">
        <f>+'2018 Equal % Allocation '!F9</f>
        <v>8.5670150255354833E-4</v>
      </c>
      <c r="G11" s="89">
        <f>ROUND(+'2019 Equal % Allocation'!F9,6)</f>
        <v>1.026E-3</v>
      </c>
      <c r="H11" s="89">
        <f t="shared" ref="H11:H37" si="1">G11-F11</f>
        <v>1.6929849744645167E-4</v>
      </c>
      <c r="I11" s="21">
        <f t="shared" ref="I11:I14" si="2">+F11*D11+E11</f>
        <v>288348093.45716619</v>
      </c>
      <c r="J11" s="21">
        <f t="shared" ref="J11:J14" si="3">+G11*D11+E11</f>
        <v>288824170.48199999</v>
      </c>
      <c r="K11" s="21">
        <f>+J11-I11</f>
        <v>476077.02483379841</v>
      </c>
      <c r="L11" s="186">
        <f>IF(I11&gt;0,+K11/I11,0)</f>
        <v>1.6510496709926023E-3</v>
      </c>
    </row>
    <row r="12" spans="1:12" x14ac:dyDescent="0.2">
      <c r="A12" s="99">
        <f t="shared" si="0"/>
        <v>4</v>
      </c>
      <c r="B12" s="96" t="s">
        <v>50</v>
      </c>
      <c r="C12" s="87" t="s">
        <v>131</v>
      </c>
      <c r="D12" s="54">
        <f>+'2019 Equal % Allocation'!D10</f>
        <v>2964787000</v>
      </c>
      <c r="E12" s="55">
        <f>+'Estimated Base Revenue'!O16</f>
        <v>270147000</v>
      </c>
      <c r="F12" s="89">
        <f>+'2018 Equal % Allocation '!F10</f>
        <v>7.9633783587359575E-4</v>
      </c>
      <c r="G12" s="89">
        <f>ROUND(+'2019 Equal % Allocation'!F10,6)</f>
        <v>9.1699999999999995E-4</v>
      </c>
      <c r="H12" s="89">
        <f t="shared" si="1"/>
        <v>1.206621641264042E-4</v>
      </c>
      <c r="I12" s="21">
        <f t="shared" si="2"/>
        <v>272507972.06340617</v>
      </c>
      <c r="J12" s="21">
        <f t="shared" si="3"/>
        <v>272865709.67900002</v>
      </c>
      <c r="K12" s="21">
        <f>+J12-I12</f>
        <v>357737.61559385061</v>
      </c>
      <c r="L12" s="186">
        <f>IF(I12&gt;0,+K12/I12,0)</f>
        <v>1.312760184170368E-3</v>
      </c>
    </row>
    <row r="13" spans="1:12" x14ac:dyDescent="0.2">
      <c r="A13" s="99">
        <f t="shared" si="0"/>
        <v>5</v>
      </c>
      <c r="B13" s="96" t="s">
        <v>51</v>
      </c>
      <c r="C13" s="87" t="s">
        <v>132</v>
      </c>
      <c r="D13" s="54">
        <f>+'2019 Equal % Allocation'!D11</f>
        <v>1755234000</v>
      </c>
      <c r="E13" s="55">
        <f>+'Estimated Base Revenue'!O17</f>
        <v>150171000</v>
      </c>
      <c r="F13" s="89">
        <f>+'2018 Equal % Allocation '!F11</f>
        <v>7.1686514806344444E-4</v>
      </c>
      <c r="G13" s="89">
        <f>ROUND(+'2019 Equal % Allocation'!F11,6)</f>
        <v>8.5400000000000005E-4</v>
      </c>
      <c r="H13" s="89">
        <f t="shared" si="1"/>
        <v>1.3713485193655561E-4</v>
      </c>
      <c r="I13" s="21">
        <f t="shared" si="2"/>
        <v>151429266.081296</v>
      </c>
      <c r="J13" s="21">
        <f t="shared" si="3"/>
        <v>151669969.836</v>
      </c>
      <c r="K13" s="21">
        <f>+J13-I13</f>
        <v>240703.75470399857</v>
      </c>
      <c r="L13" s="186">
        <f>IF(I13&gt;0,+K13/I13,0)</f>
        <v>1.5895458053318099E-3</v>
      </c>
    </row>
    <row r="14" spans="1:12" x14ac:dyDescent="0.2">
      <c r="A14" s="99">
        <f t="shared" si="0"/>
        <v>6</v>
      </c>
      <c r="B14" s="96" t="s">
        <v>52</v>
      </c>
      <c r="C14" s="18">
        <v>29</v>
      </c>
      <c r="D14" s="54">
        <f>+'2019 Equal % Allocation'!D12</f>
        <v>14656000</v>
      </c>
      <c r="E14" s="55">
        <f>+'Estimated Base Revenue'!O18</f>
        <v>1072000</v>
      </c>
      <c r="F14" s="89">
        <f>+'2018 Equal % Allocation '!F12</f>
        <v>7.1249170972888752E-4</v>
      </c>
      <c r="G14" s="89">
        <f>ROUND(+'2019 Equal % Allocation'!F12,6)</f>
        <v>8.0699999999999999E-4</v>
      </c>
      <c r="H14" s="89">
        <f t="shared" si="1"/>
        <v>9.4508290271112468E-5</v>
      </c>
      <c r="I14" s="21">
        <f t="shared" si="2"/>
        <v>1082442.2784977865</v>
      </c>
      <c r="J14" s="21">
        <f t="shared" si="3"/>
        <v>1083827.392</v>
      </c>
      <c r="K14" s="21">
        <f>+J14-I14</f>
        <v>1385.1135022134986</v>
      </c>
      <c r="L14" s="186">
        <f>IF(I14&gt;0,+K14/I14,0)</f>
        <v>1.279618811763117E-3</v>
      </c>
    </row>
    <row r="15" spans="1:12" x14ac:dyDescent="0.2">
      <c r="A15" s="99">
        <f t="shared" si="0"/>
        <v>7</v>
      </c>
      <c r="B15" s="27"/>
      <c r="D15" s="54"/>
      <c r="E15" s="55"/>
      <c r="F15" s="22"/>
      <c r="G15" s="22"/>
      <c r="H15" s="89" t="s">
        <v>78</v>
      </c>
      <c r="I15" s="21"/>
      <c r="J15" s="21"/>
      <c r="K15" s="21"/>
      <c r="L15" s="186"/>
    </row>
    <row r="16" spans="1:12" x14ac:dyDescent="0.2">
      <c r="A16" s="99">
        <f t="shared" si="0"/>
        <v>8</v>
      </c>
      <c r="B16" s="27" t="s">
        <v>53</v>
      </c>
      <c r="D16" s="54">
        <f>SUM(D11:D15)</f>
        <v>7546734000</v>
      </c>
      <c r="E16" s="55">
        <f>SUM(E11:E15)</f>
        <v>707329000</v>
      </c>
      <c r="F16" s="89">
        <f>($I16-$E16)/$D16</f>
        <v>8.0018374575892119E-4</v>
      </c>
      <c r="G16" s="89">
        <f>($J16-$E16)/$D16</f>
        <v>9.4274919309464715E-4</v>
      </c>
      <c r="H16" s="89">
        <f t="shared" si="1"/>
        <v>1.4256544733572596E-4</v>
      </c>
      <c r="I16" s="21">
        <f>SUM(I11:I15)</f>
        <v>713367773.88036621</v>
      </c>
      <c r="J16" s="21">
        <f>SUM(J11:J15)</f>
        <v>714443677.38899994</v>
      </c>
      <c r="K16" s="21">
        <f>SUM(K11:K14)</f>
        <v>1075903.5086338611</v>
      </c>
      <c r="L16" s="186">
        <f>IF(I16&gt;0,+K16/I16,0)</f>
        <v>1.5082031289155111E-3</v>
      </c>
    </row>
    <row r="17" spans="1:12" x14ac:dyDescent="0.2">
      <c r="A17" s="99">
        <f t="shared" si="0"/>
        <v>9</v>
      </c>
      <c r="B17" s="27"/>
      <c r="D17" s="54"/>
      <c r="E17" s="55"/>
      <c r="F17" s="22"/>
      <c r="G17" s="22"/>
      <c r="H17" s="89" t="s">
        <v>78</v>
      </c>
      <c r="I17" s="21"/>
      <c r="J17" s="21"/>
      <c r="K17" s="21"/>
      <c r="L17" s="186"/>
    </row>
    <row r="18" spans="1:12" x14ac:dyDescent="0.2">
      <c r="A18" s="99">
        <f t="shared" si="0"/>
        <v>10</v>
      </c>
      <c r="B18" s="96" t="s">
        <v>54</v>
      </c>
      <c r="C18" s="86" t="s">
        <v>134</v>
      </c>
      <c r="D18" s="54">
        <f>+'2019 Equal % Allocation'!D15</f>
        <v>1293218000</v>
      </c>
      <c r="E18" s="55">
        <f>+'Estimated Base Revenue'!O22</f>
        <v>107222000</v>
      </c>
      <c r="F18" s="89">
        <f>+'2018 Equal % Allocation '!F16</f>
        <v>7.0438565912385356E-4</v>
      </c>
      <c r="G18" s="89">
        <f>ROUND(+'2019 Equal % Allocation'!F15,6)</f>
        <v>8.3100000000000003E-4</v>
      </c>
      <c r="H18" s="89">
        <f t="shared" si="1"/>
        <v>1.2661434087614647E-4</v>
      </c>
      <c r="I18" s="21">
        <f t="shared" ref="I18:I20" si="4">+F18*D18+E18</f>
        <v>108132924.21332084</v>
      </c>
      <c r="J18" s="21">
        <f t="shared" ref="J18:J20" si="5">+G18*D18+E18</f>
        <v>108296664.15800001</v>
      </c>
      <c r="K18" s="21">
        <f>+J18-I18</f>
        <v>163739.94467917085</v>
      </c>
      <c r="L18" s="186">
        <f>IF(I18&gt;0,+K18/I18,0)</f>
        <v>1.5142468944625083E-3</v>
      </c>
    </row>
    <row r="19" spans="1:12" x14ac:dyDescent="0.2">
      <c r="A19" s="99">
        <f t="shared" si="0"/>
        <v>11</v>
      </c>
      <c r="B19" s="96" t="s">
        <v>55</v>
      </c>
      <c r="C19" s="18">
        <v>35</v>
      </c>
      <c r="D19" s="54">
        <f>+'2019 Equal % Allocation'!D16</f>
        <v>4316000</v>
      </c>
      <c r="E19" s="55">
        <f>+'Estimated Base Revenue'!O23</f>
        <v>229000</v>
      </c>
      <c r="F19" s="89">
        <f>+'2018 Equal % Allocation '!F17</f>
        <v>5.1178469031804496E-4</v>
      </c>
      <c r="G19" s="89">
        <f>ROUND(+'2019 Equal % Allocation'!F16,6)</f>
        <v>5.9800000000000001E-4</v>
      </c>
      <c r="H19" s="89">
        <f t="shared" si="1"/>
        <v>8.6215309681955048E-5</v>
      </c>
      <c r="I19" s="21">
        <f t="shared" si="4"/>
        <v>231208.86272341269</v>
      </c>
      <c r="J19" s="21">
        <f t="shared" si="5"/>
        <v>231580.96799999999</v>
      </c>
      <c r="K19" s="21">
        <f>+J19-I19</f>
        <v>372.1052765873028</v>
      </c>
      <c r="L19" s="186">
        <f>IF(I19&gt;0,+K19/I19,0)</f>
        <v>1.6093901946675794E-3</v>
      </c>
    </row>
    <row r="20" spans="1:12" x14ac:dyDescent="0.2">
      <c r="A20" s="99">
        <f t="shared" si="0"/>
        <v>12</v>
      </c>
      <c r="B20" s="96" t="s">
        <v>56</v>
      </c>
      <c r="C20" s="18">
        <v>43</v>
      </c>
      <c r="D20" s="54">
        <f>+'2019 Equal % Allocation'!D17</f>
        <v>116239000</v>
      </c>
      <c r="E20" s="55">
        <f>+'Estimated Base Revenue'!O24</f>
        <v>10378000</v>
      </c>
      <c r="F20" s="89">
        <f>+'2018 Equal % Allocation '!F18</f>
        <v>7.7894692769778901E-4</v>
      </c>
      <c r="G20" s="89">
        <f>ROUND(+'2019 Equal % Allocation'!F17,6)</f>
        <v>8.8999999999999995E-4</v>
      </c>
      <c r="H20" s="89">
        <f t="shared" si="1"/>
        <v>1.1105307230221094E-4</v>
      </c>
      <c r="I20" s="21">
        <f t="shared" si="4"/>
        <v>10468544.011928663</v>
      </c>
      <c r="J20" s="21">
        <f t="shared" si="5"/>
        <v>10481452.710000001</v>
      </c>
      <c r="K20" s="21">
        <f>+J20-I20</f>
        <v>12908.698071338236</v>
      </c>
      <c r="L20" s="186">
        <f>IF(I20&gt;0,+K20/I20,0)</f>
        <v>1.2330939294546667E-3</v>
      </c>
    </row>
    <row r="21" spans="1:12" x14ac:dyDescent="0.2">
      <c r="A21" s="99">
        <f t="shared" si="0"/>
        <v>13</v>
      </c>
      <c r="B21" s="97"/>
      <c r="D21" s="54"/>
      <c r="E21" s="55"/>
      <c r="F21" s="22"/>
      <c r="G21" s="22"/>
      <c r="H21" s="89" t="s">
        <v>78</v>
      </c>
      <c r="I21" s="21"/>
      <c r="J21" s="21"/>
      <c r="K21" s="21"/>
      <c r="L21" s="186"/>
    </row>
    <row r="22" spans="1:12" x14ac:dyDescent="0.2">
      <c r="A22" s="99">
        <f t="shared" si="0"/>
        <v>14</v>
      </c>
      <c r="B22" s="97" t="s">
        <v>57</v>
      </c>
      <c r="D22" s="54">
        <f>SUM(D18:D21)</f>
        <v>1413773000</v>
      </c>
      <c r="E22" s="55">
        <f>SUM(E18:E21)</f>
        <v>117829000</v>
      </c>
      <c r="F22" s="89">
        <f>($I22-$E22)/$D22</f>
        <v>7.0992803510387399E-4</v>
      </c>
      <c r="G22" s="89">
        <f>($J22-$E22)/$D22</f>
        <v>8.3513961293644415E-4</v>
      </c>
      <c r="H22" s="89">
        <f t="shared" si="1"/>
        <v>1.2521157783257017E-4</v>
      </c>
      <c r="I22" s="21">
        <f>SUM(I18:I20)</f>
        <v>118832677.08797291</v>
      </c>
      <c r="J22" s="21">
        <f>SUM(J18:J20)</f>
        <v>119009697.836</v>
      </c>
      <c r="K22" s="21">
        <f>SUM(K18:K20)</f>
        <v>177020.74802709639</v>
      </c>
      <c r="L22" s="186">
        <f>IF(I22&gt;0,+K22/I22,0)</f>
        <v>1.4896638901440073E-3</v>
      </c>
    </row>
    <row r="23" spans="1:12" x14ac:dyDescent="0.2">
      <c r="A23" s="99">
        <f t="shared" si="0"/>
        <v>15</v>
      </c>
      <c r="B23" s="97"/>
      <c r="D23" s="54"/>
      <c r="E23" s="55"/>
      <c r="F23" s="22"/>
      <c r="G23" s="22"/>
      <c r="H23" s="89" t="s">
        <v>78</v>
      </c>
      <c r="I23" s="21"/>
      <c r="J23" s="21"/>
      <c r="K23" s="21"/>
      <c r="L23" s="186"/>
    </row>
    <row r="24" spans="1:12" x14ac:dyDescent="0.2">
      <c r="A24" s="99">
        <f t="shared" si="0"/>
        <v>16</v>
      </c>
      <c r="B24" s="27" t="s">
        <v>58</v>
      </c>
      <c r="C24" s="18">
        <v>40</v>
      </c>
      <c r="D24" s="54">
        <f>+'2019 Equal % Allocation'!D20</f>
        <v>122776000</v>
      </c>
      <c r="E24" s="55">
        <f>+'Estimated Base Revenue'!O27</f>
        <v>9003000</v>
      </c>
      <c r="F24" s="89">
        <f>+'2018 Equal % Allocation '!F22</f>
        <v>6.4786860124145041E-4</v>
      </c>
      <c r="G24" s="89">
        <f>ROUND(+'2019 Equal % Allocation'!F20,6)</f>
        <v>7.2400000000000003E-4</v>
      </c>
      <c r="H24" s="89">
        <f t="shared" si="1"/>
        <v>7.6131398758549624E-5</v>
      </c>
      <c r="I24" s="21">
        <f t="shared" ref="I24" si="6">+F24*D24+E24</f>
        <v>9082542.71538602</v>
      </c>
      <c r="J24" s="21">
        <f>+G24*D24+E24</f>
        <v>9091889.8239999991</v>
      </c>
      <c r="K24" s="21">
        <f>+J24-I24</f>
        <v>9347.1086139790714</v>
      </c>
      <c r="L24" s="186">
        <f>IF(I24&gt;0,+K24/I24,0)</f>
        <v>1.0291290563538855E-3</v>
      </c>
    </row>
    <row r="25" spans="1:12" x14ac:dyDescent="0.2">
      <c r="A25" s="99">
        <f t="shared" si="0"/>
        <v>17</v>
      </c>
      <c r="B25" s="97"/>
      <c r="D25" s="54"/>
      <c r="E25" s="55"/>
      <c r="F25" s="22"/>
      <c r="G25" s="22"/>
      <c r="H25" s="89" t="s">
        <v>78</v>
      </c>
      <c r="I25" s="21"/>
      <c r="J25" s="21"/>
      <c r="K25" s="21"/>
      <c r="L25" s="186"/>
    </row>
    <row r="26" spans="1:12" x14ac:dyDescent="0.2">
      <c r="A26" s="99">
        <f t="shared" si="0"/>
        <v>18</v>
      </c>
      <c r="B26" s="96" t="s">
        <v>59</v>
      </c>
      <c r="C26" s="18">
        <v>46</v>
      </c>
      <c r="D26" s="54">
        <f>+'2019 Equal % Allocation'!D22</f>
        <v>71567000</v>
      </c>
      <c r="E26" s="55">
        <f>+'Estimated Base Revenue'!O30</f>
        <v>4906000</v>
      </c>
      <c r="F26" s="89">
        <f>+'2018 Equal % Allocation '!F24</f>
        <v>5.8830128525407031E-4</v>
      </c>
      <c r="G26" s="89">
        <f>ROUND(+'2019 Equal % Allocation'!F22,6)</f>
        <v>6.8900000000000005E-4</v>
      </c>
      <c r="H26" s="89">
        <f t="shared" si="1"/>
        <v>1.0069871474592974E-4</v>
      </c>
      <c r="I26" s="21">
        <f t="shared" ref="I26:I27" si="7">+F26*D26+E26</f>
        <v>4948102.9580817781</v>
      </c>
      <c r="J26" s="21">
        <f t="shared" ref="J26:J27" si="8">+G26*D26+E26</f>
        <v>4955309.6629999997</v>
      </c>
      <c r="K26" s="21">
        <f>+J26-I26</f>
        <v>7206.7049182215706</v>
      </c>
      <c r="L26" s="186">
        <f>IF(I26&gt;0,+K26/I26,0)</f>
        <v>1.4564581576563193E-3</v>
      </c>
    </row>
    <row r="27" spans="1:12" x14ac:dyDescent="0.2">
      <c r="A27" s="99">
        <f t="shared" si="0"/>
        <v>19</v>
      </c>
      <c r="B27" s="95" t="s">
        <v>60</v>
      </c>
      <c r="C27" s="18">
        <v>49</v>
      </c>
      <c r="D27" s="54">
        <f>+'2019 Equal % Allocation'!D23</f>
        <v>543143000</v>
      </c>
      <c r="E27" s="55">
        <f>+'Estimated Base Revenue'!O31</f>
        <v>36560000</v>
      </c>
      <c r="F27" s="89">
        <f>+'2018 Equal % Allocation '!F25</f>
        <v>5.7282963247128971E-4</v>
      </c>
      <c r="G27" s="89">
        <f>ROUND(+'2019 Equal % Allocation'!F23,6)</f>
        <v>6.7100000000000005E-4</v>
      </c>
      <c r="H27" s="89">
        <f t="shared" si="1"/>
        <v>9.8170367528710336E-5</v>
      </c>
      <c r="I27" s="21">
        <f t="shared" si="7"/>
        <v>36871128.405069351</v>
      </c>
      <c r="J27" s="21">
        <f t="shared" si="8"/>
        <v>36924448.953000002</v>
      </c>
      <c r="K27" s="21">
        <f>+J27-I27</f>
        <v>53320.547930650413</v>
      </c>
      <c r="L27" s="186">
        <f>IF(I27&gt;0,+K27/I27,0)</f>
        <v>1.4461327937910209E-3</v>
      </c>
    </row>
    <row r="28" spans="1:12" x14ac:dyDescent="0.2">
      <c r="A28" s="99">
        <f t="shared" si="0"/>
        <v>20</v>
      </c>
      <c r="B28" s="27"/>
      <c r="D28" s="54"/>
      <c r="E28" s="55"/>
      <c r="F28" s="22"/>
      <c r="G28" s="22"/>
      <c r="H28" s="89" t="s">
        <v>78</v>
      </c>
      <c r="I28" s="21"/>
      <c r="J28" s="21"/>
      <c r="K28" s="21"/>
      <c r="L28" s="186"/>
    </row>
    <row r="29" spans="1:12" x14ac:dyDescent="0.2">
      <c r="A29" s="99">
        <f t="shared" si="0"/>
        <v>21</v>
      </c>
      <c r="B29" s="27" t="s">
        <v>61</v>
      </c>
      <c r="D29" s="54">
        <f>SUM(D26:D28)</f>
        <v>614710000</v>
      </c>
      <c r="E29" s="55">
        <f>SUM(E26:E28)</f>
        <v>41466000</v>
      </c>
      <c r="F29" s="89">
        <f>($I29-$E29)/$D29</f>
        <v>5.7463090424937462E-4</v>
      </c>
      <c r="G29" s="89">
        <f>($J29-$E29)/$D29</f>
        <v>6.7309563208668168E-4</v>
      </c>
      <c r="H29" s="89">
        <f t="shared" si="1"/>
        <v>9.8464727837307064E-5</v>
      </c>
      <c r="I29" s="19">
        <f>SUM(I26:I28)</f>
        <v>41819231.363151133</v>
      </c>
      <c r="J29" s="19">
        <f>SUM(J26:J28)</f>
        <v>41879758.616000004</v>
      </c>
      <c r="K29" s="21">
        <f>SUM(K26:K28)</f>
        <v>60527.252848871984</v>
      </c>
      <c r="L29" s="186">
        <f>IF(I29&gt;0,+K29/I29,0)</f>
        <v>1.4473545035599425E-3</v>
      </c>
    </row>
    <row r="30" spans="1:12" x14ac:dyDescent="0.2">
      <c r="A30" s="99">
        <f t="shared" si="0"/>
        <v>22</v>
      </c>
      <c r="B30" s="27"/>
      <c r="D30" s="54"/>
      <c r="E30" s="55"/>
      <c r="F30" s="22"/>
      <c r="G30" s="22"/>
      <c r="H30" s="89"/>
      <c r="K30" s="21"/>
      <c r="L30" s="186"/>
    </row>
    <row r="31" spans="1:12" x14ac:dyDescent="0.2">
      <c r="A31" s="99">
        <f t="shared" si="0"/>
        <v>23</v>
      </c>
      <c r="B31" s="27" t="s">
        <v>62</v>
      </c>
      <c r="C31" s="87" t="s">
        <v>133</v>
      </c>
      <c r="D31" s="54">
        <f>+'2019 Equal % Allocation'!D26</f>
        <v>66443000</v>
      </c>
      <c r="E31" s="55">
        <f>+'Estimated Base Revenue'!O34</f>
        <v>15992000</v>
      </c>
      <c r="F31" s="89">
        <f>+'2018 Equal % Allocation '!F29</f>
        <v>1.9510671388880511E-3</v>
      </c>
      <c r="G31" s="89">
        <f>ROUND(+'2019 Equal % Allocation'!F26,6)</f>
        <v>2.3999999999999998E-3</v>
      </c>
      <c r="H31" s="89">
        <f>G31-F31</f>
        <v>4.4893286111194865E-4</v>
      </c>
      <c r="I31" s="21">
        <f t="shared" ref="I31" si="9">+F31*D31+E31</f>
        <v>16121634.753909139</v>
      </c>
      <c r="J31" s="21">
        <f>+G31*D31+E31</f>
        <v>16151463.199999999</v>
      </c>
      <c r="K31" s="21">
        <f>+J31-I31</f>
        <v>29828.446090860292</v>
      </c>
      <c r="L31" s="186">
        <f>IF(I31&gt;0,+K31/I31,0)</f>
        <v>1.8502122487068227E-3</v>
      </c>
    </row>
    <row r="32" spans="1:12" x14ac:dyDescent="0.2">
      <c r="A32" s="99">
        <f t="shared" si="0"/>
        <v>24</v>
      </c>
      <c r="B32" s="27"/>
      <c r="D32" s="54"/>
      <c r="E32" s="55"/>
      <c r="F32" s="89"/>
      <c r="H32" s="89" t="s">
        <v>78</v>
      </c>
      <c r="I32" s="21"/>
      <c r="J32" s="21"/>
      <c r="K32" s="21"/>
      <c r="L32" s="186"/>
    </row>
    <row r="33" spans="1:12" x14ac:dyDescent="0.2">
      <c r="A33" s="99">
        <f t="shared" si="0"/>
        <v>25</v>
      </c>
      <c r="B33" s="27" t="s">
        <v>107</v>
      </c>
      <c r="C33" s="87" t="s">
        <v>135</v>
      </c>
      <c r="D33" s="54">
        <f>+'2019 Equal % Allocation'!D28</f>
        <v>1971862000</v>
      </c>
      <c r="E33" s="55">
        <f>+'Estimated Base Revenue'!O36</f>
        <v>9677000</v>
      </c>
      <c r="F33" s="89">
        <f>+'2018 Equal % Allocation '!F31</f>
        <v>3.2992589690401861E-5</v>
      </c>
      <c r="G33" s="89">
        <f>ROUND(+'2019 Equal % Allocation'!F28,6)</f>
        <v>4.3000000000000002E-5</v>
      </c>
      <c r="H33" s="89">
        <f>G33-F33</f>
        <v>1.0007410309598141E-5</v>
      </c>
      <c r="I33" s="21">
        <f t="shared" ref="I33" si="10">+F33*D33+E33</f>
        <v>9742056.8338920958</v>
      </c>
      <c r="J33" s="21">
        <f>+G33*D33+E33</f>
        <v>9761790.0659999996</v>
      </c>
      <c r="K33" s="21">
        <f>+J33-I33</f>
        <v>19733.232107903808</v>
      </c>
      <c r="L33" s="186">
        <f>IF(I33&gt;0,+K33/I33,0)</f>
        <v>2.025571441880009E-3</v>
      </c>
    </row>
    <row r="34" spans="1:12" x14ac:dyDescent="0.2">
      <c r="A34" s="99">
        <f t="shared" si="0"/>
        <v>26</v>
      </c>
      <c r="B34" s="27"/>
      <c r="D34" s="54"/>
      <c r="E34" s="55"/>
      <c r="F34" s="22"/>
      <c r="G34" s="22"/>
      <c r="H34" s="89" t="s">
        <v>78</v>
      </c>
      <c r="I34" s="21"/>
      <c r="J34" s="21"/>
      <c r="K34" s="21"/>
      <c r="L34" s="186"/>
    </row>
    <row r="35" spans="1:12" x14ac:dyDescent="0.2">
      <c r="A35" s="99">
        <f t="shared" si="0"/>
        <v>27</v>
      </c>
      <c r="B35" s="27" t="s">
        <v>251</v>
      </c>
      <c r="C35" s="87" t="s">
        <v>252</v>
      </c>
      <c r="D35" s="54">
        <f>+'2019 Equal % Allocation'!D31</f>
        <v>469522000</v>
      </c>
      <c r="E35" s="55">
        <f>+'Estimated Base Revenue'!O38</f>
        <v>6064000</v>
      </c>
      <c r="F35" s="89">
        <f>+G35</f>
        <v>6.1399999999999996E-4</v>
      </c>
      <c r="G35" s="89">
        <f>ROUND(+'2019 Equal % Allocation'!F31,6)</f>
        <v>6.1399999999999996E-4</v>
      </c>
      <c r="H35" s="89">
        <f>G35-F35</f>
        <v>0</v>
      </c>
      <c r="I35" s="53">
        <f t="shared" ref="I35" si="11">+F35*D35+E35</f>
        <v>6352286.5080000004</v>
      </c>
      <c r="J35" s="53">
        <f>+G35*D35+E35</f>
        <v>6352286.5080000004</v>
      </c>
      <c r="K35" s="53">
        <f>+J35-I35</f>
        <v>0</v>
      </c>
      <c r="L35" s="186">
        <f>IF(I35&gt;0,+K35/I35,0)</f>
        <v>0</v>
      </c>
    </row>
    <row r="36" spans="1:12" x14ac:dyDescent="0.2">
      <c r="A36" s="99">
        <f t="shared" si="0"/>
        <v>28</v>
      </c>
      <c r="B36" s="27"/>
      <c r="D36" s="54"/>
      <c r="E36" s="55"/>
      <c r="F36" s="22"/>
      <c r="G36" s="22"/>
      <c r="H36" s="89" t="s">
        <v>78</v>
      </c>
      <c r="I36" s="53"/>
      <c r="J36" s="53"/>
      <c r="K36" s="53"/>
      <c r="L36" s="186"/>
    </row>
    <row r="37" spans="1:12" x14ac:dyDescent="0.2">
      <c r="A37" s="99">
        <f t="shared" si="0"/>
        <v>29</v>
      </c>
      <c r="B37" s="27" t="s">
        <v>63</v>
      </c>
      <c r="D37" s="54">
        <f>SUM(D9,D16,D22,D24,D29,D31,D33,D35)</f>
        <v>22808629000</v>
      </c>
      <c r="E37" s="204">
        <f>SUM(E9,E16,E22,E24,E29,E31,E33,E35)</f>
        <v>1968234000</v>
      </c>
      <c r="F37" s="89">
        <f>($I37-$E37)/$D37</f>
        <v>7.6515589460358349E-4</v>
      </c>
      <c r="G37" s="89">
        <f>($J37-$E37)/$D37</f>
        <v>9.0555041475749102E-4</v>
      </c>
      <c r="H37" s="89">
        <f t="shared" si="1"/>
        <v>1.4039452015390753E-4</v>
      </c>
      <c r="I37" s="53">
        <f>SUM(I9,I16,I22,I24,I29,I31,I33,I35)</f>
        <v>1985686156.9271762</v>
      </c>
      <c r="J37" s="53">
        <f>SUM(J9,J16,J22,J24,J29,J31,J33,J35)</f>
        <v>1988888363.4509997</v>
      </c>
      <c r="K37" s="53">
        <f>SUM(K9,K16,K22,K24,K29,K31,K33,K35)</f>
        <v>3202206.5238234885</v>
      </c>
      <c r="L37" s="186">
        <f>IF(I37&gt;0,+K37/I37,0)</f>
        <v>1.6126448344580605E-3</v>
      </c>
    </row>
    <row r="38" spans="1:12" ht="13.5" thickBot="1" x14ac:dyDescent="0.25">
      <c r="A38" s="101">
        <f t="shared" si="0"/>
        <v>30</v>
      </c>
      <c r="B38" s="98"/>
      <c r="C38" s="23"/>
      <c r="D38" s="24"/>
      <c r="E38" s="24"/>
      <c r="F38" s="25"/>
      <c r="G38" s="25"/>
      <c r="H38" s="25"/>
      <c r="I38" s="24"/>
      <c r="J38" s="24"/>
      <c r="K38" s="26"/>
      <c r="L38" s="83"/>
    </row>
    <row r="39" spans="1:12" x14ac:dyDescent="0.2">
      <c r="A39" s="18">
        <f t="shared" si="0"/>
        <v>31</v>
      </c>
      <c r="B39" s="27"/>
    </row>
    <row r="40" spans="1:12" x14ac:dyDescent="0.2">
      <c r="A40" s="18">
        <f t="shared" si="0"/>
        <v>32</v>
      </c>
      <c r="B40" s="27" t="s">
        <v>64</v>
      </c>
      <c r="D40" s="52">
        <f>+'2019 Equal % Allocation'!D35</f>
        <v>7247000</v>
      </c>
      <c r="E40" s="53">
        <f>+'Estimated Base Revenue'!O42</f>
        <v>325000</v>
      </c>
    </row>
    <row r="41" spans="1:12" x14ac:dyDescent="0.2">
      <c r="A41" s="18">
        <f t="shared" si="0"/>
        <v>33</v>
      </c>
      <c r="B41" s="27"/>
      <c r="E41" s="21"/>
    </row>
    <row r="42" spans="1:12" x14ac:dyDescent="0.2">
      <c r="A42" s="18">
        <f t="shared" si="0"/>
        <v>34</v>
      </c>
      <c r="B42" s="27" t="s">
        <v>65</v>
      </c>
      <c r="D42" s="19">
        <f>+D40+D37</f>
        <v>22815876000</v>
      </c>
      <c r="E42" s="21">
        <f>+E40+E37</f>
        <v>1968559000</v>
      </c>
    </row>
    <row r="43" spans="1:12" x14ac:dyDescent="0.2">
      <c r="A43" s="27"/>
      <c r="B43" s="27"/>
      <c r="K43" s="28"/>
    </row>
    <row r="44" spans="1:12" ht="30.6" customHeight="1" x14ac:dyDescent="0.2">
      <c r="A44" s="100"/>
      <c r="B44" s="314" t="s">
        <v>280</v>
      </c>
      <c r="C44" s="314"/>
      <c r="D44" s="314"/>
      <c r="E44" s="314"/>
      <c r="F44" s="314"/>
      <c r="G44" s="314"/>
      <c r="H44" s="314"/>
      <c r="I44" s="314"/>
      <c r="J44" s="314"/>
      <c r="K44" s="314"/>
      <c r="L44" s="314"/>
    </row>
    <row r="45" spans="1:12" x14ac:dyDescent="0.2">
      <c r="A45" s="27"/>
      <c r="B45" s="27"/>
    </row>
    <row r="46" spans="1:12" x14ac:dyDescent="0.2">
      <c r="A46" s="27"/>
      <c r="B46" s="27"/>
    </row>
    <row r="47" spans="1:12" x14ac:dyDescent="0.2">
      <c r="A47" s="27"/>
      <c r="B47" s="27"/>
    </row>
    <row r="48" spans="1:12" x14ac:dyDescent="0.2">
      <c r="A48" s="27"/>
      <c r="B48" s="27"/>
    </row>
    <row r="49" spans="1:2" x14ac:dyDescent="0.2">
      <c r="A49" s="27"/>
      <c r="B49" s="27"/>
    </row>
    <row r="50" spans="1:2" x14ac:dyDescent="0.2">
      <c r="A50" s="27"/>
      <c r="B50" s="27"/>
    </row>
    <row r="51" spans="1:2" x14ac:dyDescent="0.2">
      <c r="A51" s="27"/>
      <c r="B51" s="27"/>
    </row>
    <row r="52" spans="1:2" x14ac:dyDescent="0.2">
      <c r="A52" s="27"/>
      <c r="B52" s="27"/>
    </row>
    <row r="53" spans="1:2" x14ac:dyDescent="0.2">
      <c r="A53" s="27"/>
      <c r="B53" s="27"/>
    </row>
    <row r="54" spans="1:2" x14ac:dyDescent="0.2">
      <c r="A54" s="27"/>
      <c r="B54" s="27"/>
    </row>
    <row r="55" spans="1:2" x14ac:dyDescent="0.2">
      <c r="A55" s="27"/>
      <c r="B55" s="27"/>
    </row>
    <row r="56" spans="1:2" x14ac:dyDescent="0.2">
      <c r="A56" s="27"/>
      <c r="B56" s="27"/>
    </row>
    <row r="57" spans="1:2" x14ac:dyDescent="0.2">
      <c r="A57" s="27"/>
      <c r="B57" s="27"/>
    </row>
    <row r="58" spans="1:2" x14ac:dyDescent="0.2">
      <c r="A58" s="27"/>
      <c r="B58" s="27"/>
    </row>
    <row r="59" spans="1:2" x14ac:dyDescent="0.2">
      <c r="A59" s="27"/>
      <c r="B59" s="27"/>
    </row>
    <row r="60" spans="1:2" x14ac:dyDescent="0.2">
      <c r="A60" s="27"/>
      <c r="B60" s="27"/>
    </row>
    <row r="61" spans="1:2" x14ac:dyDescent="0.2">
      <c r="A61" s="27"/>
      <c r="B61" s="27"/>
    </row>
    <row r="62" spans="1:2" x14ac:dyDescent="0.2">
      <c r="A62" s="27"/>
      <c r="B62" s="27"/>
    </row>
    <row r="63" spans="1:2" x14ac:dyDescent="0.2">
      <c r="A63" s="27"/>
      <c r="B63" s="27"/>
    </row>
    <row r="64" spans="1:2" x14ac:dyDescent="0.2">
      <c r="A64" s="27"/>
      <c r="B64" s="27"/>
    </row>
    <row r="65" spans="1:2" x14ac:dyDescent="0.2">
      <c r="A65" s="27"/>
      <c r="B65" s="27"/>
    </row>
    <row r="66" spans="1:2" x14ac:dyDescent="0.2">
      <c r="A66" s="27"/>
      <c r="B66" s="27"/>
    </row>
    <row r="67" spans="1:2" x14ac:dyDescent="0.2">
      <c r="A67" s="27"/>
      <c r="B67" s="27"/>
    </row>
    <row r="68" spans="1:2" x14ac:dyDescent="0.2">
      <c r="A68" s="27"/>
      <c r="B68" s="27"/>
    </row>
    <row r="69" spans="1:2" x14ac:dyDescent="0.2">
      <c r="A69" s="27"/>
      <c r="B69" s="27"/>
    </row>
    <row r="70" spans="1:2" x14ac:dyDescent="0.2">
      <c r="A70" s="27"/>
      <c r="B70" s="27"/>
    </row>
    <row r="71" spans="1:2" x14ac:dyDescent="0.2">
      <c r="A71" s="27"/>
      <c r="B71" s="27"/>
    </row>
    <row r="72" spans="1:2" x14ac:dyDescent="0.2">
      <c r="A72" s="27"/>
      <c r="B72" s="27"/>
    </row>
    <row r="73" spans="1:2" x14ac:dyDescent="0.2">
      <c r="A73" s="27"/>
      <c r="B73" s="27"/>
    </row>
    <row r="74" spans="1:2" x14ac:dyDescent="0.2">
      <c r="A74" s="27"/>
      <c r="B74" s="27"/>
    </row>
    <row r="75" spans="1:2" x14ac:dyDescent="0.2">
      <c r="A75" s="27"/>
      <c r="B75" s="27"/>
    </row>
    <row r="76" spans="1:2" x14ac:dyDescent="0.2">
      <c r="A76" s="27"/>
      <c r="B76" s="27"/>
    </row>
    <row r="77" spans="1:2" x14ac:dyDescent="0.2">
      <c r="A77" s="27"/>
      <c r="B77" s="27"/>
    </row>
    <row r="78" spans="1:2" x14ac:dyDescent="0.2">
      <c r="A78" s="27"/>
      <c r="B78" s="27"/>
    </row>
    <row r="79" spans="1:2" x14ac:dyDescent="0.2">
      <c r="A79" s="27"/>
      <c r="B79" s="27"/>
    </row>
    <row r="80" spans="1:2" x14ac:dyDescent="0.2">
      <c r="A80" s="27"/>
      <c r="B80" s="27"/>
    </row>
    <row r="81" spans="1:2" x14ac:dyDescent="0.2">
      <c r="A81" s="27"/>
      <c r="B81" s="27"/>
    </row>
    <row r="82" spans="1:2" x14ac:dyDescent="0.2">
      <c r="A82" s="27"/>
      <c r="B82" s="27"/>
    </row>
    <row r="83" spans="1:2" x14ac:dyDescent="0.2">
      <c r="A83" s="27"/>
      <c r="B83" s="27"/>
    </row>
    <row r="84" spans="1:2" x14ac:dyDescent="0.2">
      <c r="A84" s="27"/>
      <c r="B84" s="27"/>
    </row>
    <row r="85" spans="1:2" x14ac:dyDescent="0.2">
      <c r="A85" s="27"/>
      <c r="B85" s="27"/>
    </row>
    <row r="86" spans="1:2" x14ac:dyDescent="0.2">
      <c r="A86" s="27"/>
      <c r="B86" s="27"/>
    </row>
    <row r="87" spans="1:2" x14ac:dyDescent="0.2">
      <c r="A87" s="27"/>
      <c r="B87" s="27"/>
    </row>
    <row r="88" spans="1:2" x14ac:dyDescent="0.2">
      <c r="A88" s="27"/>
      <c r="B88" s="27"/>
    </row>
    <row r="89" spans="1:2" x14ac:dyDescent="0.2">
      <c r="A89" s="27"/>
      <c r="B89" s="27"/>
    </row>
    <row r="90" spans="1:2" x14ac:dyDescent="0.2">
      <c r="A90" s="27"/>
      <c r="B90" s="27"/>
    </row>
    <row r="91" spans="1:2" x14ac:dyDescent="0.2">
      <c r="A91" s="27"/>
      <c r="B91" s="27"/>
    </row>
    <row r="92" spans="1:2" x14ac:dyDescent="0.2">
      <c r="A92" s="27"/>
      <c r="B92" s="27"/>
    </row>
    <row r="93" spans="1:2" x14ac:dyDescent="0.2">
      <c r="A93" s="27"/>
      <c r="B93" s="27"/>
    </row>
    <row r="94" spans="1:2" x14ac:dyDescent="0.2">
      <c r="A94" s="27"/>
      <c r="B94" s="27"/>
    </row>
    <row r="95" spans="1:2" x14ac:dyDescent="0.2">
      <c r="A95" s="27"/>
      <c r="B95" s="27"/>
    </row>
    <row r="96" spans="1:2" x14ac:dyDescent="0.2">
      <c r="A96" s="27"/>
      <c r="B96" s="27"/>
    </row>
    <row r="97" spans="1:2" x14ac:dyDescent="0.2">
      <c r="A97" s="27"/>
      <c r="B97" s="27"/>
    </row>
    <row r="98" spans="1:2" x14ac:dyDescent="0.2">
      <c r="A98" s="27"/>
      <c r="B98" s="27"/>
    </row>
    <row r="99" spans="1:2" x14ac:dyDescent="0.2">
      <c r="A99" s="27"/>
      <c r="B99" s="27"/>
    </row>
    <row r="100" spans="1:2" x14ac:dyDescent="0.2">
      <c r="A100" s="27"/>
      <c r="B100" s="27"/>
    </row>
    <row r="101" spans="1:2" x14ac:dyDescent="0.2">
      <c r="A101" s="27"/>
      <c r="B101" s="27"/>
    </row>
    <row r="102" spans="1:2" x14ac:dyDescent="0.2">
      <c r="A102" s="27"/>
      <c r="B102" s="27"/>
    </row>
    <row r="103" spans="1:2" x14ac:dyDescent="0.2">
      <c r="A103" s="27"/>
      <c r="B103" s="27"/>
    </row>
    <row r="104" spans="1:2" x14ac:dyDescent="0.2">
      <c r="A104" s="27"/>
      <c r="B104" s="27"/>
    </row>
    <row r="105" spans="1:2" x14ac:dyDescent="0.2">
      <c r="A105" s="27"/>
      <c r="B105" s="27"/>
    </row>
    <row r="106" spans="1:2" x14ac:dyDescent="0.2">
      <c r="A106" s="27"/>
      <c r="B106" s="27"/>
    </row>
    <row r="107" spans="1:2" x14ac:dyDescent="0.2">
      <c r="A107" s="27"/>
      <c r="B107" s="27"/>
    </row>
    <row r="108" spans="1:2" x14ac:dyDescent="0.2">
      <c r="A108" s="27"/>
      <c r="B108" s="27"/>
    </row>
    <row r="109" spans="1:2" x14ac:dyDescent="0.2">
      <c r="A109" s="27"/>
      <c r="B109" s="27"/>
    </row>
    <row r="110" spans="1:2" x14ac:dyDescent="0.2">
      <c r="A110" s="27"/>
      <c r="B110" s="27"/>
    </row>
    <row r="111" spans="1:2" x14ac:dyDescent="0.2">
      <c r="A111" s="27"/>
      <c r="B111" s="27"/>
    </row>
    <row r="112" spans="1:2" x14ac:dyDescent="0.2">
      <c r="A112" s="27"/>
      <c r="B112" s="27"/>
    </row>
    <row r="113" spans="1:2" x14ac:dyDescent="0.2">
      <c r="A113" s="27"/>
      <c r="B113" s="27"/>
    </row>
    <row r="114" spans="1:2" x14ac:dyDescent="0.2">
      <c r="A114" s="27"/>
      <c r="B114" s="27"/>
    </row>
    <row r="115" spans="1:2" x14ac:dyDescent="0.2">
      <c r="A115" s="27"/>
      <c r="B115" s="27"/>
    </row>
    <row r="116" spans="1:2" x14ac:dyDescent="0.2">
      <c r="A116" s="27"/>
      <c r="B116" s="27"/>
    </row>
    <row r="117" spans="1:2" x14ac:dyDescent="0.2">
      <c r="A117" s="27"/>
      <c r="B117" s="27"/>
    </row>
    <row r="118" spans="1:2" x14ac:dyDescent="0.2">
      <c r="A118" s="27"/>
      <c r="B118" s="27"/>
    </row>
    <row r="119" spans="1:2" x14ac:dyDescent="0.2">
      <c r="A119" s="27"/>
      <c r="B119" s="27"/>
    </row>
    <row r="120" spans="1:2" x14ac:dyDescent="0.2">
      <c r="A120" s="27"/>
      <c r="B120" s="27"/>
    </row>
    <row r="121" spans="1:2" x14ac:dyDescent="0.2">
      <c r="A121" s="27"/>
      <c r="B121" s="27"/>
    </row>
    <row r="122" spans="1:2" x14ac:dyDescent="0.2">
      <c r="A122" s="27"/>
      <c r="B122" s="27"/>
    </row>
    <row r="123" spans="1:2" x14ac:dyDescent="0.2">
      <c r="A123" s="27"/>
      <c r="B123" s="27"/>
    </row>
    <row r="124" spans="1:2" x14ac:dyDescent="0.2">
      <c r="A124" s="27"/>
      <c r="B124" s="27"/>
    </row>
    <row r="125" spans="1:2" x14ac:dyDescent="0.2">
      <c r="A125" s="27"/>
      <c r="B125" s="27"/>
    </row>
    <row r="126" spans="1:2" x14ac:dyDescent="0.2">
      <c r="A126" s="27"/>
      <c r="B126" s="27"/>
    </row>
    <row r="127" spans="1:2" x14ac:dyDescent="0.2">
      <c r="A127" s="27"/>
      <c r="B127" s="27"/>
    </row>
    <row r="128" spans="1:2" x14ac:dyDescent="0.2">
      <c r="A128" s="27"/>
      <c r="B128" s="27"/>
    </row>
    <row r="129" spans="1:2" x14ac:dyDescent="0.2">
      <c r="A129" s="27"/>
      <c r="B129" s="27"/>
    </row>
    <row r="130" spans="1:2" x14ac:dyDescent="0.2">
      <c r="A130" s="27"/>
      <c r="B130" s="27"/>
    </row>
    <row r="131" spans="1:2" x14ac:dyDescent="0.2">
      <c r="A131" s="27"/>
      <c r="B131" s="27"/>
    </row>
    <row r="132" spans="1:2" x14ac:dyDescent="0.2">
      <c r="A132" s="27"/>
      <c r="B132" s="27"/>
    </row>
    <row r="133" spans="1:2" x14ac:dyDescent="0.2">
      <c r="A133" s="27"/>
      <c r="B133" s="27"/>
    </row>
    <row r="134" spans="1:2" x14ac:dyDescent="0.2">
      <c r="A134" s="27"/>
      <c r="B134" s="27"/>
    </row>
    <row r="135" spans="1:2" x14ac:dyDescent="0.2">
      <c r="A135" s="27"/>
      <c r="B135" s="27"/>
    </row>
    <row r="136" spans="1:2" x14ac:dyDescent="0.2">
      <c r="A136" s="27"/>
      <c r="B136" s="27"/>
    </row>
    <row r="137" spans="1:2" x14ac:dyDescent="0.2">
      <c r="A137" s="27"/>
      <c r="B137" s="27"/>
    </row>
    <row r="138" spans="1:2" x14ac:dyDescent="0.2">
      <c r="A138" s="27"/>
      <c r="B138" s="27"/>
    </row>
    <row r="139" spans="1:2" x14ac:dyDescent="0.2">
      <c r="A139" s="27"/>
      <c r="B139" s="27"/>
    </row>
    <row r="140" spans="1:2" x14ac:dyDescent="0.2">
      <c r="A140" s="27"/>
      <c r="B140" s="27"/>
    </row>
    <row r="141" spans="1:2" x14ac:dyDescent="0.2">
      <c r="A141" s="27"/>
      <c r="B141" s="27"/>
    </row>
    <row r="142" spans="1:2" x14ac:dyDescent="0.2">
      <c r="A142" s="27"/>
      <c r="B142" s="27"/>
    </row>
    <row r="143" spans="1:2" x14ac:dyDescent="0.2">
      <c r="A143" s="27"/>
      <c r="B143" s="27"/>
    </row>
    <row r="144" spans="1:2" x14ac:dyDescent="0.2">
      <c r="A144" s="27"/>
      <c r="B144" s="27"/>
    </row>
    <row r="145" spans="1:2" x14ac:dyDescent="0.2">
      <c r="A145" s="27"/>
      <c r="B145" s="27"/>
    </row>
    <row r="146" spans="1:2" x14ac:dyDescent="0.2">
      <c r="A146" s="27"/>
      <c r="B146" s="27"/>
    </row>
    <row r="147" spans="1:2" x14ac:dyDescent="0.2">
      <c r="A147" s="27"/>
      <c r="B147" s="27"/>
    </row>
    <row r="148" spans="1:2" x14ac:dyDescent="0.2">
      <c r="A148" s="27"/>
      <c r="B148" s="27"/>
    </row>
    <row r="149" spans="1:2" x14ac:dyDescent="0.2">
      <c r="A149" s="27"/>
      <c r="B149" s="27"/>
    </row>
    <row r="150" spans="1:2" x14ac:dyDescent="0.2">
      <c r="A150" s="27"/>
      <c r="B150" s="27"/>
    </row>
    <row r="151" spans="1:2" x14ac:dyDescent="0.2">
      <c r="A151" s="27"/>
      <c r="B151" s="27"/>
    </row>
    <row r="152" spans="1:2" x14ac:dyDescent="0.2">
      <c r="A152" s="27"/>
      <c r="B152" s="27"/>
    </row>
    <row r="153" spans="1:2" x14ac:dyDescent="0.2">
      <c r="A153" s="27"/>
      <c r="B153" s="27"/>
    </row>
    <row r="154" spans="1:2" x14ac:dyDescent="0.2">
      <c r="A154" s="27"/>
      <c r="B154" s="27"/>
    </row>
    <row r="155" spans="1:2" x14ac:dyDescent="0.2">
      <c r="A155" s="27"/>
      <c r="B155" s="27"/>
    </row>
    <row r="156" spans="1:2" x14ac:dyDescent="0.2">
      <c r="A156" s="27"/>
      <c r="B156" s="27"/>
    </row>
    <row r="157" spans="1:2" x14ac:dyDescent="0.2">
      <c r="A157" s="27"/>
      <c r="B157" s="27"/>
    </row>
    <row r="158" spans="1:2" x14ac:dyDescent="0.2">
      <c r="A158" s="27"/>
      <c r="B158" s="27"/>
    </row>
    <row r="159" spans="1:2" x14ac:dyDescent="0.2">
      <c r="A159" s="27"/>
      <c r="B159" s="27"/>
    </row>
    <row r="160" spans="1:2" x14ac:dyDescent="0.2">
      <c r="A160" s="27"/>
      <c r="B160" s="27"/>
    </row>
    <row r="161" spans="1:2" x14ac:dyDescent="0.2">
      <c r="A161" s="27"/>
      <c r="B161" s="27"/>
    </row>
    <row r="162" spans="1:2" x14ac:dyDescent="0.2">
      <c r="A162" s="27"/>
      <c r="B162" s="27"/>
    </row>
    <row r="163" spans="1:2" x14ac:dyDescent="0.2">
      <c r="A163" s="27"/>
      <c r="B163" s="27"/>
    </row>
    <row r="164" spans="1:2" x14ac:dyDescent="0.2">
      <c r="A164" s="27"/>
      <c r="B164" s="27"/>
    </row>
    <row r="165" spans="1:2" x14ac:dyDescent="0.2">
      <c r="A165" s="27"/>
      <c r="B165" s="27"/>
    </row>
    <row r="166" spans="1:2" x14ac:dyDescent="0.2">
      <c r="A166" s="27"/>
      <c r="B166" s="27"/>
    </row>
    <row r="167" spans="1:2" x14ac:dyDescent="0.2">
      <c r="A167" s="27"/>
      <c r="B167" s="27"/>
    </row>
    <row r="168" spans="1:2" x14ac:dyDescent="0.2">
      <c r="A168" s="27"/>
      <c r="B168" s="27"/>
    </row>
    <row r="169" spans="1:2" x14ac:dyDescent="0.2">
      <c r="A169" s="27"/>
      <c r="B169" s="27"/>
    </row>
    <row r="170" spans="1:2" x14ac:dyDescent="0.2">
      <c r="A170" s="27"/>
      <c r="B170" s="27"/>
    </row>
    <row r="171" spans="1:2" x14ac:dyDescent="0.2">
      <c r="A171" s="27"/>
      <c r="B171" s="27"/>
    </row>
    <row r="172" spans="1:2" x14ac:dyDescent="0.2">
      <c r="A172" s="27"/>
      <c r="B172" s="27"/>
    </row>
    <row r="173" spans="1:2" x14ac:dyDescent="0.2">
      <c r="A173" s="27"/>
      <c r="B173" s="27"/>
    </row>
    <row r="174" spans="1:2" x14ac:dyDescent="0.2">
      <c r="A174" s="27"/>
      <c r="B174" s="27"/>
    </row>
    <row r="175" spans="1:2" x14ac:dyDescent="0.2">
      <c r="A175" s="27"/>
      <c r="B175" s="27"/>
    </row>
    <row r="176" spans="1:2" x14ac:dyDescent="0.2">
      <c r="A176" s="27"/>
      <c r="B176" s="27"/>
    </row>
    <row r="177" spans="1:2" x14ac:dyDescent="0.2">
      <c r="A177" s="27"/>
      <c r="B177" s="27"/>
    </row>
    <row r="178" spans="1:2" x14ac:dyDescent="0.2">
      <c r="A178" s="27"/>
      <c r="B178" s="27"/>
    </row>
    <row r="179" spans="1:2" x14ac:dyDescent="0.2">
      <c r="A179" s="27"/>
      <c r="B179" s="27"/>
    </row>
    <row r="180" spans="1:2" x14ac:dyDescent="0.2">
      <c r="A180" s="27"/>
      <c r="B180" s="27"/>
    </row>
    <row r="181" spans="1:2" x14ac:dyDescent="0.2">
      <c r="A181" s="27"/>
      <c r="B181" s="27"/>
    </row>
    <row r="182" spans="1:2" x14ac:dyDescent="0.2">
      <c r="A182" s="27"/>
      <c r="B182" s="27"/>
    </row>
    <row r="183" spans="1:2" x14ac:dyDescent="0.2">
      <c r="A183" s="27"/>
      <c r="B183" s="27"/>
    </row>
    <row r="184" spans="1:2" x14ac:dyDescent="0.2">
      <c r="A184" s="27"/>
      <c r="B184" s="27"/>
    </row>
    <row r="185" spans="1:2" x14ac:dyDescent="0.2">
      <c r="A185" s="27"/>
      <c r="B185" s="27"/>
    </row>
    <row r="186" spans="1:2" x14ac:dyDescent="0.2">
      <c r="A186" s="27"/>
      <c r="B186" s="27"/>
    </row>
    <row r="187" spans="1:2" x14ac:dyDescent="0.2">
      <c r="A187" s="27"/>
      <c r="B187" s="27"/>
    </row>
    <row r="188" spans="1:2" x14ac:dyDescent="0.2">
      <c r="A188" s="27"/>
      <c r="B188" s="27"/>
    </row>
  </sheetData>
  <mergeCells count="5">
    <mergeCell ref="B44:L44"/>
    <mergeCell ref="A1:L1"/>
    <mergeCell ref="A2:L2"/>
    <mergeCell ref="A3:L3"/>
    <mergeCell ref="A4:L4"/>
  </mergeCells>
  <phoneticPr fontId="3" type="noConversion"/>
  <printOptions horizontalCentered="1"/>
  <pageMargins left="0.7" right="0.7" top="0.75" bottom="0.75" header="0.3" footer="0.3"/>
  <pageSetup scale="69" orientation="landscape" r:id="rId1"/>
  <headerFooter alignWithMargins="0">
    <oddHeader>&amp;R2018 Low Income Filing
Advice 2018-xx
Page &amp;P of &amp;N</oddHeader>
    <oddFooter>&amp;L&amp;F
&amp;A&amp;R&amp;D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L48"/>
  <sheetViews>
    <sheetView zoomScale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20" sqref="D20"/>
    </sheetView>
  </sheetViews>
  <sheetFormatPr defaultColWidth="9.140625" defaultRowHeight="12.75" x14ac:dyDescent="0.2"/>
  <cols>
    <col min="1" max="1" width="6.28515625" style="4" customWidth="1"/>
    <col min="2" max="2" width="59.42578125" style="4" customWidth="1"/>
    <col min="3" max="3" width="14.5703125" style="5" bestFit="1" customWidth="1"/>
    <col min="4" max="4" width="16.7109375" style="29" bestFit="1" customWidth="1"/>
    <col min="5" max="5" width="17.7109375" style="29" bestFit="1" customWidth="1"/>
    <col min="6" max="6" width="12.85546875" style="4" bestFit="1" customWidth="1"/>
    <col min="7" max="7" width="16.42578125" style="29" bestFit="1" customWidth="1"/>
    <col min="8" max="8" width="14.42578125" style="4" bestFit="1" customWidth="1"/>
    <col min="9" max="9" width="12.85546875" style="4" bestFit="1" customWidth="1"/>
    <col min="10" max="10" width="9.140625" style="4"/>
    <col min="11" max="11" width="16.140625" style="4" bestFit="1" customWidth="1"/>
    <col min="12" max="12" width="13.28515625" style="4" bestFit="1" customWidth="1"/>
    <col min="13" max="13" width="15" style="4" bestFit="1" customWidth="1"/>
    <col min="14" max="16384" width="9.140625" style="4"/>
  </cols>
  <sheetData>
    <row r="1" spans="1:9" x14ac:dyDescent="0.2">
      <c r="A1" s="32" t="str">
        <f>+'2019 Proposed Impacts'!A1</f>
        <v>2019 Low Income Customer Charge</v>
      </c>
      <c r="B1" s="33"/>
      <c r="C1" s="33"/>
      <c r="D1" s="34"/>
      <c r="E1" s="34"/>
      <c r="F1" s="33"/>
      <c r="G1" s="34"/>
      <c r="H1" s="33"/>
      <c r="I1" s="35"/>
    </row>
    <row r="2" spans="1:9" x14ac:dyDescent="0.2">
      <c r="A2" s="36" t="str">
        <f>+'2019 Proposed Impacts'!A2</f>
        <v>Settlement Methodology</v>
      </c>
      <c r="B2" s="1"/>
      <c r="C2" s="1"/>
      <c r="D2" s="37"/>
      <c r="E2" s="37"/>
      <c r="F2" s="1"/>
      <c r="G2" s="37"/>
      <c r="H2" s="1"/>
      <c r="I2" s="38"/>
    </row>
    <row r="3" spans="1:9" x14ac:dyDescent="0.2">
      <c r="A3" s="39"/>
      <c r="I3" s="40"/>
    </row>
    <row r="4" spans="1:9" s="7" customFormat="1" ht="77.25" thickBot="1" x14ac:dyDescent="0.25">
      <c r="A4" s="41" t="s">
        <v>9</v>
      </c>
      <c r="B4" s="42" t="s">
        <v>69</v>
      </c>
      <c r="C4" s="42" t="s">
        <v>0</v>
      </c>
      <c r="D4" s="310" t="str">
        <f>+'2019 Proposed Impacts'!D6</f>
        <v>F2019
Forecast Delivered kWh
Oct 12, 2019 Through
Sept 30, 2020</v>
      </c>
      <c r="E4" s="311" t="s">
        <v>316</v>
      </c>
      <c r="F4" s="44" t="s">
        <v>266</v>
      </c>
      <c r="G4" s="57" t="s">
        <v>249</v>
      </c>
      <c r="H4" s="44" t="s">
        <v>250</v>
      </c>
      <c r="I4" s="80" t="s">
        <v>111</v>
      </c>
    </row>
    <row r="5" spans="1:9" s="7" customFormat="1" ht="26.25" thickBot="1" x14ac:dyDescent="0.25">
      <c r="A5" s="41"/>
      <c r="B5" s="42"/>
      <c r="C5" s="42"/>
      <c r="D5" s="43" t="s">
        <v>14</v>
      </c>
      <c r="E5" s="43" t="s">
        <v>15</v>
      </c>
      <c r="F5" s="44" t="s">
        <v>144</v>
      </c>
      <c r="G5" s="42" t="s">
        <v>72</v>
      </c>
      <c r="H5" s="43" t="s">
        <v>73</v>
      </c>
      <c r="I5" s="80" t="s">
        <v>74</v>
      </c>
    </row>
    <row r="6" spans="1:9" x14ac:dyDescent="0.2">
      <c r="A6" s="39"/>
      <c r="D6" s="54"/>
      <c r="E6" s="54"/>
      <c r="I6" s="40"/>
    </row>
    <row r="7" spans="1:9" x14ac:dyDescent="0.2">
      <c r="A7" s="104">
        <v>1</v>
      </c>
      <c r="B7" s="77" t="s">
        <v>1</v>
      </c>
      <c r="C7" s="18">
        <v>7</v>
      </c>
      <c r="D7" s="54">
        <f>+'Estimated Base Revenue'!D11</f>
        <v>10602809000</v>
      </c>
      <c r="E7" s="55">
        <f>+'Estimated Base Revenue'!E11</f>
        <v>1084824000</v>
      </c>
      <c r="F7" s="90">
        <f>(IF(D7&gt;0,E7*$E$44/D7,0))</f>
        <v>1.0684564411183413E-3</v>
      </c>
      <c r="G7" s="30">
        <f>+H7+E7</f>
        <v>1096152639.5699975</v>
      </c>
      <c r="H7" s="30">
        <f>+F7*D7</f>
        <v>11328639.569997519</v>
      </c>
      <c r="I7" s="46">
        <f>IF(E7&gt;0,+H7/E7,0)</f>
        <v>1.0442836414015102E-2</v>
      </c>
    </row>
    <row r="8" spans="1:9" x14ac:dyDescent="0.2">
      <c r="A8" s="104">
        <f>+A7+1</f>
        <v>2</v>
      </c>
      <c r="B8" s="77"/>
      <c r="C8" s="18"/>
      <c r="D8" s="54"/>
      <c r="E8" s="55"/>
      <c r="F8" s="45"/>
      <c r="G8" s="30"/>
      <c r="H8" s="30"/>
      <c r="I8" s="46"/>
    </row>
    <row r="9" spans="1:9" x14ac:dyDescent="0.2">
      <c r="A9" s="104">
        <f t="shared" ref="A9:A44" si="0">+A8+1</f>
        <v>3</v>
      </c>
      <c r="B9" s="102" t="s">
        <v>49</v>
      </c>
      <c r="C9" s="86" t="s">
        <v>130</v>
      </c>
      <c r="D9" s="54">
        <f>+'Estimated Base Revenue'!D15</f>
        <v>2812057000</v>
      </c>
      <c r="E9" s="55">
        <f>+'Estimated Base Revenue'!E15</f>
        <v>276328000</v>
      </c>
      <c r="F9" s="90">
        <f>(IF(D9&gt;0,E9*$E$44/D9,0))</f>
        <v>1.0261698467036639E-3</v>
      </c>
      <c r="G9" s="55">
        <f>+H9+E9</f>
        <v>279213648.10061198</v>
      </c>
      <c r="H9" s="30">
        <f t="shared" ref="H9:H12" si="1">+F9*D9</f>
        <v>2885648.1006119652</v>
      </c>
      <c r="I9" s="46">
        <f>IF(E9&gt;0,+H9/E9,0)</f>
        <v>1.0442836414015102E-2</v>
      </c>
    </row>
    <row r="10" spans="1:9" x14ac:dyDescent="0.2">
      <c r="A10" s="104">
        <f t="shared" si="0"/>
        <v>4</v>
      </c>
      <c r="B10" s="102" t="s">
        <v>50</v>
      </c>
      <c r="C10" s="87" t="s">
        <v>131</v>
      </c>
      <c r="D10" s="54">
        <f>+'Estimated Base Revenue'!D16</f>
        <v>2964787000</v>
      </c>
      <c r="E10" s="55">
        <f>+'Estimated Base Revenue'!E16</f>
        <v>260322000</v>
      </c>
      <c r="F10" s="90">
        <f>(IF(D10&gt;0,E10*$E$44/D10,0))</f>
        <v>9.1692929743999812E-4</v>
      </c>
      <c r="G10" s="55">
        <f t="shared" ref="G10:G12" si="2">+H10+E10</f>
        <v>263040500.06096923</v>
      </c>
      <c r="H10" s="30">
        <f t="shared" si="1"/>
        <v>2718500.0609692396</v>
      </c>
      <c r="I10" s="46">
        <f>IF(E10&gt;0,+H10/E10,0)</f>
        <v>1.0442836414015102E-2</v>
      </c>
    </row>
    <row r="11" spans="1:9" x14ac:dyDescent="0.2">
      <c r="A11" s="104">
        <f t="shared" si="0"/>
        <v>5</v>
      </c>
      <c r="B11" s="102" t="s">
        <v>51</v>
      </c>
      <c r="C11" s="87" t="s">
        <v>132</v>
      </c>
      <c r="D11" s="54">
        <f>+'Estimated Base Revenue'!D17</f>
        <v>1755234000</v>
      </c>
      <c r="E11" s="55">
        <f>+'Estimated Base Revenue'!E17</f>
        <v>143614000</v>
      </c>
      <c r="F11" s="90">
        <f>(IF(D11&gt;0,E11*$E$44/D11,0))</f>
        <v>8.5443736206247429E-4</v>
      </c>
      <c r="G11" s="55">
        <f t="shared" si="2"/>
        <v>145113737.50876236</v>
      </c>
      <c r="H11" s="30">
        <f t="shared" si="1"/>
        <v>1499737.508762365</v>
      </c>
      <c r="I11" s="46">
        <f>IF(E11&gt;0,+H11/E11,0)</f>
        <v>1.0442836414015102E-2</v>
      </c>
    </row>
    <row r="12" spans="1:9" x14ac:dyDescent="0.2">
      <c r="A12" s="104">
        <f t="shared" si="0"/>
        <v>6</v>
      </c>
      <c r="B12" s="103" t="s">
        <v>52</v>
      </c>
      <c r="C12" s="18">
        <v>29</v>
      </c>
      <c r="D12" s="54">
        <f>+'Estimated Base Revenue'!D18</f>
        <v>14656000</v>
      </c>
      <c r="E12" s="55">
        <f>+'Estimated Base Revenue'!E18</f>
        <v>1132000</v>
      </c>
      <c r="F12" s="90">
        <f>(IF(D12&gt;0,E12*$E$44/D12,0))</f>
        <v>8.0658370774188695E-4</v>
      </c>
      <c r="G12" s="55">
        <f t="shared" si="2"/>
        <v>1143821.2908206652</v>
      </c>
      <c r="H12" s="30">
        <f t="shared" si="1"/>
        <v>11821.290820665095</v>
      </c>
      <c r="I12" s="46">
        <f>IF(E12&gt;0,+H12/E12,0)</f>
        <v>1.0442836414015102E-2</v>
      </c>
    </row>
    <row r="13" spans="1:9" x14ac:dyDescent="0.2">
      <c r="A13" s="104">
        <f t="shared" si="0"/>
        <v>7</v>
      </c>
      <c r="B13" s="77" t="s">
        <v>53</v>
      </c>
      <c r="C13" s="18"/>
      <c r="D13" s="54">
        <f>SUM(D9:D12)</f>
        <v>7546734000</v>
      </c>
      <c r="E13" s="55">
        <f>SUM(E9:E12)</f>
        <v>681396000</v>
      </c>
      <c r="F13" s="90">
        <f>+H13/D13</f>
        <v>9.4288561928434675E-4</v>
      </c>
      <c r="G13" s="30">
        <f>SUM(G9:G12)</f>
        <v>688511706.96116436</v>
      </c>
      <c r="H13" s="30">
        <f>SUM(H9:H12)</f>
        <v>7115706.9611642351</v>
      </c>
      <c r="I13" s="46">
        <f>IF(E13&gt;0,+H13/E13,0)</f>
        <v>1.0442836414015102E-2</v>
      </c>
    </row>
    <row r="14" spans="1:9" x14ac:dyDescent="0.2">
      <c r="A14" s="104">
        <f t="shared" si="0"/>
        <v>8</v>
      </c>
      <c r="B14" s="77"/>
      <c r="C14" s="18"/>
      <c r="D14" s="54"/>
      <c r="E14" s="55"/>
      <c r="F14" s="45"/>
      <c r="G14" s="30"/>
      <c r="H14" s="30"/>
      <c r="I14" s="46"/>
    </row>
    <row r="15" spans="1:9" x14ac:dyDescent="0.2">
      <c r="A15" s="104">
        <f t="shared" si="0"/>
        <v>9</v>
      </c>
      <c r="B15" s="102" t="s">
        <v>54</v>
      </c>
      <c r="C15" s="87" t="s">
        <v>134</v>
      </c>
      <c r="D15" s="54">
        <f>+'Estimated Base Revenue'!D22</f>
        <v>1293218000</v>
      </c>
      <c r="E15" s="55">
        <f>+'Estimated Base Revenue'!E22</f>
        <v>102905000</v>
      </c>
      <c r="F15" s="90">
        <f>(IF(D15&gt;0,E15*$E$44/D15,0))</f>
        <v>8.3096591694843713E-4</v>
      </c>
      <c r="G15" s="55">
        <f t="shared" ref="G15:G17" si="3">+H15+E15</f>
        <v>103979620.08118422</v>
      </c>
      <c r="H15" s="30">
        <f t="shared" ref="H15:H17" si="4">+F15*D15</f>
        <v>1074620.081184224</v>
      </c>
      <c r="I15" s="46">
        <f>IF(E15&gt;0,+H15/E15,0)</f>
        <v>1.04428364140151E-2</v>
      </c>
    </row>
    <row r="16" spans="1:9" x14ac:dyDescent="0.2">
      <c r="A16" s="104">
        <f t="shared" si="0"/>
        <v>10</v>
      </c>
      <c r="B16" s="103" t="s">
        <v>55</v>
      </c>
      <c r="C16" s="18">
        <v>35</v>
      </c>
      <c r="D16" s="54">
        <f>+'Estimated Base Revenue'!D23</f>
        <v>4316000</v>
      </c>
      <c r="E16" s="55">
        <f>+'Estimated Base Revenue'!E23</f>
        <v>247000</v>
      </c>
      <c r="F16" s="90">
        <f>(IF(D16&gt;0,E16*$E$44/D16,0))</f>
        <v>5.9763220441652685E-4</v>
      </c>
      <c r="G16" s="55">
        <f t="shared" si="3"/>
        <v>249579.38059426172</v>
      </c>
      <c r="H16" s="30">
        <f t="shared" si="4"/>
        <v>2579.38059426173</v>
      </c>
      <c r="I16" s="46">
        <f>IF(E16&gt;0,+H16/E16,0)</f>
        <v>1.0442836414015102E-2</v>
      </c>
    </row>
    <row r="17" spans="1:12" x14ac:dyDescent="0.2">
      <c r="A17" s="104">
        <f t="shared" si="0"/>
        <v>11</v>
      </c>
      <c r="B17" s="103" t="s">
        <v>56</v>
      </c>
      <c r="C17" s="18">
        <v>43</v>
      </c>
      <c r="D17" s="54">
        <f>+'Estimated Base Revenue'!D24</f>
        <v>116239000</v>
      </c>
      <c r="E17" s="55">
        <f>+'Estimated Base Revenue'!E24</f>
        <v>9903000</v>
      </c>
      <c r="F17" s="90">
        <f>(IF(D17&gt;0,E17*$E$44/D17,0))</f>
        <v>8.8967910088689301E-4</v>
      </c>
      <c r="G17" s="55">
        <f t="shared" si="3"/>
        <v>10006415.409007991</v>
      </c>
      <c r="H17" s="30">
        <f t="shared" si="4"/>
        <v>103415.40900799156</v>
      </c>
      <c r="I17" s="46">
        <f>IF(E17&gt;0,+H17/E17,0)</f>
        <v>1.0442836414015102E-2</v>
      </c>
    </row>
    <row r="18" spans="1:12" x14ac:dyDescent="0.2">
      <c r="A18" s="104">
        <f t="shared" si="0"/>
        <v>12</v>
      </c>
      <c r="B18" s="59" t="s">
        <v>57</v>
      </c>
      <c r="C18" s="18"/>
      <c r="D18" s="54">
        <f>SUM(D15:D17)</f>
        <v>1413773000</v>
      </c>
      <c r="E18" s="55">
        <f>SUM(E15:E17)</f>
        <v>113055000</v>
      </c>
      <c r="F18" s="90">
        <f>+H18/D18</f>
        <v>8.3508092938999214E-4</v>
      </c>
      <c r="G18" s="30">
        <f>SUM(G15:G17)</f>
        <v>114235614.87078649</v>
      </c>
      <c r="H18" s="30">
        <f>SUM(H15:H17)</f>
        <v>1180614.8707864773</v>
      </c>
      <c r="I18" s="46">
        <f>IF(E18&gt;0,+H18/E18,0)</f>
        <v>1.0442836414015102E-2</v>
      </c>
    </row>
    <row r="19" spans="1:12" x14ac:dyDescent="0.2">
      <c r="A19" s="104">
        <f t="shared" si="0"/>
        <v>13</v>
      </c>
      <c r="B19" s="59"/>
      <c r="C19" s="18"/>
      <c r="D19" s="54"/>
      <c r="E19" s="55"/>
      <c r="F19" s="45"/>
      <c r="G19" s="30"/>
      <c r="H19" s="30"/>
      <c r="I19" s="46"/>
    </row>
    <row r="20" spans="1:12" x14ac:dyDescent="0.2">
      <c r="A20" s="104">
        <f t="shared" si="0"/>
        <v>14</v>
      </c>
      <c r="B20" s="77" t="s">
        <v>77</v>
      </c>
      <c r="C20" s="18">
        <v>40</v>
      </c>
      <c r="D20" s="54">
        <f>+'Estimated Base Revenue'!D27</f>
        <v>122776000</v>
      </c>
      <c r="E20" s="55">
        <f>+'Estimated Base Revenue'!E27</f>
        <v>8517000</v>
      </c>
      <c r="F20" s="90">
        <f>(IF(D20&gt;0,E20*$E$44/D20,0))</f>
        <v>7.2442201845773302E-4</v>
      </c>
      <c r="G20" s="55">
        <f t="shared" ref="G20:G23" si="5">+H20+E20</f>
        <v>8605941.6377381664</v>
      </c>
      <c r="H20" s="30">
        <f>+F20*D20</f>
        <v>88941.637738166624</v>
      </c>
      <c r="I20" s="46">
        <f>IF(E20&gt;0,+H20/E20,0)</f>
        <v>1.0442836414015102E-2</v>
      </c>
    </row>
    <row r="21" spans="1:12" x14ac:dyDescent="0.2">
      <c r="A21" s="104">
        <f t="shared" si="0"/>
        <v>15</v>
      </c>
      <c r="B21" s="59"/>
      <c r="C21" s="18"/>
      <c r="D21" s="54"/>
      <c r="E21" s="55"/>
      <c r="F21" s="45"/>
      <c r="G21" s="30"/>
      <c r="H21" s="30"/>
      <c r="I21" s="46"/>
    </row>
    <row r="22" spans="1:12" x14ac:dyDescent="0.2">
      <c r="A22" s="104">
        <f t="shared" si="0"/>
        <v>16</v>
      </c>
      <c r="B22" s="103" t="s">
        <v>59</v>
      </c>
      <c r="C22" s="18">
        <v>46</v>
      </c>
      <c r="D22" s="54">
        <f>+'Estimated Base Revenue'!D30</f>
        <v>71567000</v>
      </c>
      <c r="E22" s="55">
        <f>+'Estimated Base Revenue'!E30</f>
        <v>4721000</v>
      </c>
      <c r="F22" s="90">
        <f>(IF(D22&gt;0,E22*$E$44/D22,0))</f>
        <v>6.8887379253797557E-4</v>
      </c>
      <c r="G22" s="55">
        <f t="shared" si="5"/>
        <v>4770300.6307105655</v>
      </c>
      <c r="H22" s="30">
        <f t="shared" ref="H22:H23" si="6">+F22*D22</f>
        <v>49300.630710565296</v>
      </c>
      <c r="I22" s="46">
        <f>IF(E22&gt;0,+H22/E22,0)</f>
        <v>1.0442836414015102E-2</v>
      </c>
    </row>
    <row r="23" spans="1:12" x14ac:dyDescent="0.2">
      <c r="A23" s="104">
        <f t="shared" si="0"/>
        <v>17</v>
      </c>
      <c r="B23" s="102" t="s">
        <v>60</v>
      </c>
      <c r="C23" s="18">
        <v>49</v>
      </c>
      <c r="D23" s="54">
        <f>+'Estimated Base Revenue'!D31</f>
        <v>543143000</v>
      </c>
      <c r="E23" s="55">
        <f>+'Estimated Base Revenue'!E31</f>
        <v>34894000</v>
      </c>
      <c r="F23" s="90">
        <f>(IF(D23&gt;0,E23*$E$44/D23,0))</f>
        <v>6.7089575642260502E-4</v>
      </c>
      <c r="G23" s="55">
        <f t="shared" si="5"/>
        <v>35258392.33383064</v>
      </c>
      <c r="H23" s="30">
        <f t="shared" si="6"/>
        <v>364392.33383064298</v>
      </c>
      <c r="I23" s="46">
        <f>IF(E23&gt;0,+H23/E23,0)</f>
        <v>1.0442836414015102E-2</v>
      </c>
    </row>
    <row r="24" spans="1:12" x14ac:dyDescent="0.2">
      <c r="A24" s="104">
        <f t="shared" si="0"/>
        <v>18</v>
      </c>
      <c r="B24" s="77" t="s">
        <v>61</v>
      </c>
      <c r="C24" s="18"/>
      <c r="D24" s="54">
        <f>SUM(D22:D23)</f>
        <v>614710000</v>
      </c>
      <c r="E24" s="55">
        <f>SUM(E22:E23)</f>
        <v>39615000</v>
      </c>
      <c r="F24" s="90">
        <f>+H24/D24</f>
        <v>6.7298883138587021E-4</v>
      </c>
      <c r="G24" s="29">
        <f>SUM(G22:G23)</f>
        <v>40028692.964541204</v>
      </c>
      <c r="H24" s="30">
        <f>SUM(H22:H23)</f>
        <v>413692.96454120829</v>
      </c>
      <c r="I24" s="46">
        <f>IF(E24&gt;0,+H24/E24,0)</f>
        <v>1.0442836414015102E-2</v>
      </c>
    </row>
    <row r="25" spans="1:12" x14ac:dyDescent="0.2">
      <c r="A25" s="104">
        <f t="shared" si="0"/>
        <v>19</v>
      </c>
      <c r="B25" s="77"/>
      <c r="C25" s="18"/>
      <c r="D25" s="54"/>
      <c r="E25" s="55"/>
      <c r="F25" s="45"/>
      <c r="G25" s="30"/>
      <c r="H25" s="30"/>
      <c r="I25" s="46"/>
    </row>
    <row r="26" spans="1:12" x14ac:dyDescent="0.2">
      <c r="A26" s="104">
        <f t="shared" si="0"/>
        <v>20</v>
      </c>
      <c r="B26" s="77" t="s">
        <v>62</v>
      </c>
      <c r="C26" s="87" t="s">
        <v>235</v>
      </c>
      <c r="D26" s="54">
        <f>+'Estimated Base Revenue'!D34</f>
        <v>66443000</v>
      </c>
      <c r="E26" s="55">
        <f>+'Estimated Base Revenue'!E34</f>
        <v>15267000</v>
      </c>
      <c r="F26" s="90">
        <f>(IF(D26&gt;0,E26*$E$44/D26,0))</f>
        <v>2.3995121161411821E-3</v>
      </c>
      <c r="G26" s="55">
        <f t="shared" ref="G26:G31" si="7">+H26+E26</f>
        <v>15426430.783532768</v>
      </c>
      <c r="H26" s="30">
        <f>+F26*D26</f>
        <v>159430.78353276858</v>
      </c>
      <c r="I26" s="46">
        <f>IF(E26&gt;0,+H26/E26,0)</f>
        <v>1.0442836414015102E-2</v>
      </c>
      <c r="K26" s="78"/>
      <c r="L26" s="79"/>
    </row>
    <row r="27" spans="1:12" x14ac:dyDescent="0.2">
      <c r="A27" s="104">
        <f t="shared" si="0"/>
        <v>21</v>
      </c>
      <c r="B27" s="77"/>
      <c r="C27" s="87"/>
      <c r="D27" s="54"/>
      <c r="E27" s="55"/>
      <c r="F27" s="45"/>
      <c r="G27" s="30"/>
      <c r="H27" s="30"/>
      <c r="I27" s="46"/>
      <c r="K27" s="78"/>
      <c r="L27" s="79"/>
    </row>
    <row r="28" spans="1:12" x14ac:dyDescent="0.2">
      <c r="A28" s="104">
        <f t="shared" si="0"/>
        <v>22</v>
      </c>
      <c r="B28" s="77" t="s">
        <v>107</v>
      </c>
      <c r="C28" s="87" t="s">
        <v>135</v>
      </c>
      <c r="D28" s="54">
        <f>+'Estimated Base Revenue'!D36</f>
        <v>1971862000</v>
      </c>
      <c r="E28" s="55">
        <f>+'Estimated Base Revenue'!E36</f>
        <v>8066000</v>
      </c>
      <c r="F28" s="90">
        <f>(IF(D28&gt;0,E28*$E$44/D28,0))</f>
        <v>4.2716943942043517E-5</v>
      </c>
      <c r="G28" s="55">
        <f t="shared" si="7"/>
        <v>8150231.9185154457</v>
      </c>
      <c r="H28" s="30">
        <f>+F28*D28</f>
        <v>84231.91851544581</v>
      </c>
      <c r="I28" s="46">
        <f>IF(E28&gt;0,+H28/E28,0)</f>
        <v>1.0442836414015102E-2</v>
      </c>
    </row>
    <row r="29" spans="1:12" x14ac:dyDescent="0.2">
      <c r="A29" s="104">
        <f t="shared" si="0"/>
        <v>23</v>
      </c>
      <c r="B29" s="59" t="s">
        <v>279</v>
      </c>
      <c r="C29" s="87"/>
      <c r="D29" s="54">
        <f>SUM(D28,D26,D24,D20,D18,D13,D7)</f>
        <v>22339107000</v>
      </c>
      <c r="E29" s="54">
        <f>SUM(E28,E26,E24,E20,E18,E13,E7)</f>
        <v>1950740000</v>
      </c>
      <c r="F29" s="90">
        <f>(IF(D29&gt;0,E29*$E$44/D29,0))</f>
        <v>9.1191016302826346E-4</v>
      </c>
      <c r="G29" s="55">
        <f>SUM(G28,G26,G24,G20,G18,G13,G7)</f>
        <v>1971111258.7062759</v>
      </c>
      <c r="H29" s="55">
        <f>SUM(H28,H26,H24,H20,H18,H13,H7)</f>
        <v>20371258.706275821</v>
      </c>
      <c r="I29" s="46">
        <f>IF(E29&gt;0,+H29/E29,0)</f>
        <v>1.0442836414015102E-2</v>
      </c>
    </row>
    <row r="30" spans="1:12" x14ac:dyDescent="0.2">
      <c r="A30" s="104">
        <f t="shared" si="0"/>
        <v>24</v>
      </c>
      <c r="B30" s="77"/>
      <c r="D30" s="54"/>
      <c r="E30" s="55"/>
      <c r="G30" s="30"/>
      <c r="H30" s="30"/>
      <c r="I30" s="40"/>
    </row>
    <row r="31" spans="1:12" x14ac:dyDescent="0.2">
      <c r="A31" s="104">
        <f t="shared" si="0"/>
        <v>25</v>
      </c>
      <c r="B31" s="59" t="s">
        <v>277</v>
      </c>
      <c r="C31" s="87" t="s">
        <v>252</v>
      </c>
      <c r="D31" s="54">
        <f>+'Estimated Base Revenue'!D38</f>
        <v>469522000</v>
      </c>
      <c r="E31" s="55">
        <f>+'Estimated Base Revenue'!E38</f>
        <v>3351000</v>
      </c>
      <c r="F31" s="90">
        <v>6.1399999999999996E-4</v>
      </c>
      <c r="G31" s="55">
        <f t="shared" si="7"/>
        <v>3639286.5079999999</v>
      </c>
      <c r="H31" s="55">
        <f>+F31*D31</f>
        <v>288286.50799999997</v>
      </c>
      <c r="I31" s="198" t="s">
        <v>265</v>
      </c>
    </row>
    <row r="32" spans="1:12" x14ac:dyDescent="0.2">
      <c r="A32" s="104">
        <f t="shared" si="0"/>
        <v>26</v>
      </c>
      <c r="B32" s="59" t="s">
        <v>278</v>
      </c>
      <c r="D32" s="54">
        <f>SUM(D29,D31)</f>
        <v>22808629000</v>
      </c>
      <c r="E32" s="204">
        <f>SUM(E29,E31)</f>
        <v>1954091000</v>
      </c>
      <c r="F32" s="90">
        <f>+H32/D32</f>
        <v>9.0577759909531705E-4</v>
      </c>
      <c r="G32" s="55">
        <f>SUM(G29,G31)</f>
        <v>1974750545.2142758</v>
      </c>
      <c r="H32" s="55">
        <f>SUM(H29,H31)</f>
        <v>20659545.214275822</v>
      </c>
      <c r="I32" s="46">
        <f>IF(E32&gt;0,+H32/E32,0)</f>
        <v>1.057245809651435E-2</v>
      </c>
    </row>
    <row r="33" spans="1:11" ht="13.5" thickBot="1" x14ac:dyDescent="0.25">
      <c r="A33" s="105">
        <f t="shared" si="0"/>
        <v>27</v>
      </c>
      <c r="B33" s="3"/>
      <c r="C33" s="47"/>
      <c r="D33" s="56"/>
      <c r="E33" s="56"/>
      <c r="F33" s="3"/>
      <c r="G33" s="48"/>
      <c r="H33" s="49"/>
      <c r="I33" s="50"/>
    </row>
    <row r="34" spans="1:11" x14ac:dyDescent="0.2">
      <c r="A34" s="5">
        <f t="shared" si="0"/>
        <v>28</v>
      </c>
      <c r="D34" s="54"/>
      <c r="E34" s="54"/>
    </row>
    <row r="35" spans="1:11" x14ac:dyDescent="0.2">
      <c r="A35" s="5">
        <f t="shared" si="0"/>
        <v>29</v>
      </c>
      <c r="B35" s="4" t="s">
        <v>64</v>
      </c>
      <c r="D35" s="54">
        <f>+'Estimated Base Revenue'!D42</f>
        <v>7247000</v>
      </c>
      <c r="E35" s="55">
        <f>+'Estimated Base Revenue'!E42</f>
        <v>326000</v>
      </c>
      <c r="K35" s="78"/>
    </row>
    <row r="36" spans="1:11" x14ac:dyDescent="0.2">
      <c r="A36" s="5">
        <f t="shared" si="0"/>
        <v>30</v>
      </c>
      <c r="B36" s="4" t="s">
        <v>65</v>
      </c>
      <c r="D36" s="54">
        <f>+D35+D32</f>
        <v>22815876000</v>
      </c>
      <c r="E36" s="55">
        <f>+E35+E32</f>
        <v>1954417000</v>
      </c>
      <c r="K36" s="78"/>
    </row>
    <row r="37" spans="1:11" x14ac:dyDescent="0.2">
      <c r="A37" s="5">
        <f t="shared" si="0"/>
        <v>31</v>
      </c>
      <c r="D37" s="54"/>
      <c r="E37" s="204"/>
      <c r="K37" s="78"/>
    </row>
    <row r="38" spans="1:11" x14ac:dyDescent="0.2">
      <c r="A38" s="5">
        <f t="shared" si="0"/>
        <v>32</v>
      </c>
      <c r="B38" s="59" t="s">
        <v>256</v>
      </c>
      <c r="D38" s="54"/>
      <c r="E38" s="55">
        <f>+'Revenue Req 2019-2020 '!F26</f>
        <v>20659545.214275822</v>
      </c>
      <c r="F38" s="51"/>
      <c r="K38" s="78"/>
    </row>
    <row r="39" spans="1:11" x14ac:dyDescent="0.2">
      <c r="A39" s="5">
        <f t="shared" si="0"/>
        <v>33</v>
      </c>
      <c r="B39" s="59" t="s">
        <v>267</v>
      </c>
      <c r="D39" s="54"/>
      <c r="E39" s="55">
        <f>-H31</f>
        <v>-288286.50799999997</v>
      </c>
      <c r="F39" s="51"/>
      <c r="G39" s="54"/>
      <c r="K39" s="78"/>
    </row>
    <row r="40" spans="1:11" x14ac:dyDescent="0.2">
      <c r="A40" s="5">
        <f t="shared" si="0"/>
        <v>34</v>
      </c>
      <c r="B40" s="59" t="s">
        <v>255</v>
      </c>
      <c r="D40" s="54"/>
      <c r="E40" s="55">
        <f>SUM(E38:E39)</f>
        <v>20371258.706275821</v>
      </c>
      <c r="F40" s="51"/>
      <c r="G40" s="54"/>
      <c r="K40" s="78"/>
    </row>
    <row r="41" spans="1:11" x14ac:dyDescent="0.2">
      <c r="A41" s="5">
        <f t="shared" si="0"/>
        <v>35</v>
      </c>
      <c r="B41" s="59"/>
      <c r="D41" s="54"/>
      <c r="E41" s="55"/>
      <c r="F41" s="51"/>
      <c r="G41" s="54"/>
      <c r="K41" s="78"/>
    </row>
    <row r="42" spans="1:11" x14ac:dyDescent="0.2">
      <c r="A42" s="5">
        <f t="shared" si="0"/>
        <v>36</v>
      </c>
      <c r="B42" s="4" t="s">
        <v>253</v>
      </c>
      <c r="D42" s="54"/>
      <c r="E42" s="55">
        <f>+E29</f>
        <v>1950740000</v>
      </c>
      <c r="F42" s="51"/>
      <c r="G42" s="54"/>
      <c r="K42" s="78"/>
    </row>
    <row r="43" spans="1:11" ht="13.5" thickBot="1" x14ac:dyDescent="0.25">
      <c r="A43" s="5">
        <f t="shared" si="0"/>
        <v>37</v>
      </c>
      <c r="D43" s="54"/>
      <c r="E43" s="54"/>
      <c r="K43" s="78"/>
    </row>
    <row r="44" spans="1:11" ht="13.5" thickBot="1" x14ac:dyDescent="0.25">
      <c r="A44" s="143">
        <f t="shared" si="0"/>
        <v>38</v>
      </c>
      <c r="B44" s="147" t="s">
        <v>263</v>
      </c>
      <c r="C44" s="145"/>
      <c r="D44" s="146"/>
      <c r="E44" s="195">
        <f>+E40/E42</f>
        <v>1.0442836414015102E-2</v>
      </c>
      <c r="F44" s="144" t="s">
        <v>76</v>
      </c>
      <c r="G44" s="149"/>
      <c r="H44" s="150"/>
      <c r="I44" s="151"/>
      <c r="K44" s="78"/>
    </row>
    <row r="45" spans="1:11" x14ac:dyDescent="0.2">
      <c r="D45" s="54"/>
      <c r="E45" s="54"/>
      <c r="K45" s="78"/>
    </row>
    <row r="46" spans="1:11" x14ac:dyDescent="0.2">
      <c r="D46" s="54"/>
      <c r="E46" s="54"/>
      <c r="K46" s="78"/>
    </row>
    <row r="47" spans="1:11" s="81" customFormat="1" ht="33" customHeight="1" x14ac:dyDescent="0.2">
      <c r="A47" s="314" t="s">
        <v>138</v>
      </c>
      <c r="B47" s="314"/>
      <c r="C47" s="314"/>
      <c r="D47" s="314"/>
      <c r="E47" s="314"/>
      <c r="F47" s="314"/>
      <c r="G47" s="314"/>
      <c r="H47" s="314"/>
      <c r="I47" s="314"/>
      <c r="K47" s="82"/>
    </row>
    <row r="48" spans="1:11" x14ac:dyDescent="0.2">
      <c r="D48" s="54"/>
      <c r="E48" s="54"/>
    </row>
  </sheetData>
  <mergeCells count="1">
    <mergeCell ref="A47:I47"/>
  </mergeCells>
  <phoneticPr fontId="3" type="noConversion"/>
  <printOptions horizontalCentered="1"/>
  <pageMargins left="0.7" right="0.7" top="0.75" bottom="0.75" header="0.3" footer="0.3"/>
  <pageSetup scale="71" orientation="landscape" r:id="rId1"/>
  <headerFooter alignWithMargins="0">
    <oddHeader>&amp;R2018 Low Income Filing
Advice 2018-xx
Page &amp;P of &amp;N</oddHeader>
    <oddFooter>&amp;L&amp;F
&amp;A&amp;R&amp;D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M208"/>
  <sheetViews>
    <sheetView workbookViewId="0">
      <pane xSplit="4" ySplit="7" topLeftCell="E122" activePane="bottomRight" state="frozen"/>
      <selection activeCell="E8" sqref="E8"/>
      <selection pane="topRight" activeCell="E8" sqref="E8"/>
      <selection pane="bottomLeft" activeCell="E8" sqref="E8"/>
      <selection pane="bottomRight" activeCell="C5" sqref="C5"/>
    </sheetView>
  </sheetViews>
  <sheetFormatPr defaultColWidth="8.85546875" defaultRowHeight="15" x14ac:dyDescent="0.25"/>
  <cols>
    <col min="1" max="1" width="4.42578125" style="107" bestFit="1" customWidth="1"/>
    <col min="2" max="2" width="44.28515625" style="107" bestFit="1" customWidth="1"/>
    <col min="3" max="3" width="18.7109375" style="107" bestFit="1" customWidth="1"/>
    <col min="4" max="4" width="12.28515625" style="107" bestFit="1" customWidth="1"/>
    <col min="5" max="5" width="11.85546875" style="107" bestFit="1" customWidth="1"/>
    <col min="6" max="7" width="11.28515625" style="107" bestFit="1" customWidth="1"/>
    <col min="8" max="8" width="12.7109375" style="107" bestFit="1" customWidth="1"/>
    <col min="9" max="9" width="12" style="107" bestFit="1" customWidth="1"/>
    <col min="10" max="10" width="13" style="107" customWidth="1"/>
    <col min="11" max="11" width="9.7109375" style="137" bestFit="1" customWidth="1"/>
    <col min="12" max="13" width="9.7109375" style="107" bestFit="1" customWidth="1"/>
    <col min="14" max="16384" width="8.85546875" style="107"/>
  </cols>
  <sheetData>
    <row r="1" spans="1:13" x14ac:dyDescent="0.25">
      <c r="A1" s="322" t="s">
        <v>7</v>
      </c>
      <c r="B1" s="322"/>
      <c r="C1" s="322"/>
      <c r="D1" s="322"/>
      <c r="E1" s="322"/>
      <c r="F1" s="322"/>
      <c r="G1" s="322"/>
      <c r="H1" s="322"/>
      <c r="I1" s="322"/>
      <c r="J1" s="322"/>
    </row>
    <row r="2" spans="1:13" x14ac:dyDescent="0.25">
      <c r="A2" s="323" t="s">
        <v>281</v>
      </c>
      <c r="B2" s="322"/>
      <c r="C2" s="322"/>
      <c r="D2" s="322"/>
      <c r="E2" s="322"/>
      <c r="F2" s="322"/>
      <c r="G2" s="322"/>
      <c r="H2" s="322"/>
      <c r="I2" s="322"/>
      <c r="J2" s="322"/>
    </row>
    <row r="3" spans="1:13" x14ac:dyDescent="0.25">
      <c r="A3" s="323" t="s">
        <v>282</v>
      </c>
      <c r="B3" s="322"/>
      <c r="C3" s="322"/>
      <c r="D3" s="322"/>
      <c r="E3" s="322"/>
      <c r="F3" s="322"/>
      <c r="G3" s="322"/>
      <c r="H3" s="322"/>
      <c r="I3" s="322"/>
      <c r="J3" s="322"/>
    </row>
    <row r="4" spans="1:13" x14ac:dyDescent="0.25">
      <c r="A4" s="111"/>
      <c r="B4" s="321"/>
      <c r="C4" s="321"/>
      <c r="D4" s="321"/>
      <c r="E4" s="321"/>
      <c r="F4" s="321"/>
      <c r="G4" s="109"/>
      <c r="H4" s="109"/>
      <c r="I4" s="109"/>
    </row>
    <row r="5" spans="1:13" ht="90" x14ac:dyDescent="0.25">
      <c r="A5" s="134" t="s">
        <v>9</v>
      </c>
      <c r="B5" s="134" t="s">
        <v>0</v>
      </c>
      <c r="C5" s="134" t="s">
        <v>10</v>
      </c>
      <c r="D5" s="134" t="s">
        <v>220</v>
      </c>
      <c r="E5" s="135" t="s">
        <v>240</v>
      </c>
      <c r="F5" s="135" t="s">
        <v>321</v>
      </c>
      <c r="G5" s="135" t="s">
        <v>283</v>
      </c>
      <c r="H5" s="135" t="s">
        <v>323</v>
      </c>
      <c r="I5" s="135" t="s">
        <v>322</v>
      </c>
      <c r="J5" s="135" t="s">
        <v>243</v>
      </c>
      <c r="L5" s="134" t="s">
        <v>241</v>
      </c>
      <c r="M5" s="134" t="s">
        <v>242</v>
      </c>
    </row>
    <row r="6" spans="1:13" x14ac:dyDescent="0.25">
      <c r="A6" s="111"/>
      <c r="B6" s="132"/>
      <c r="C6" s="132"/>
      <c r="D6" s="128"/>
      <c r="E6" s="132" t="s">
        <v>88</v>
      </c>
      <c r="F6" s="132" t="s">
        <v>89</v>
      </c>
      <c r="G6" s="136" t="s">
        <v>90</v>
      </c>
      <c r="H6" s="133" t="s">
        <v>116</v>
      </c>
      <c r="I6" s="133" t="s">
        <v>91</v>
      </c>
      <c r="J6" s="136"/>
    </row>
    <row r="7" spans="1:13" x14ac:dyDescent="0.25">
      <c r="A7" s="111"/>
      <c r="B7" s="132"/>
      <c r="C7" s="132"/>
      <c r="D7" s="128"/>
      <c r="E7" s="128"/>
      <c r="F7" s="131" t="s">
        <v>232</v>
      </c>
      <c r="G7" s="109"/>
      <c r="H7" s="131" t="s">
        <v>221</v>
      </c>
      <c r="I7" s="131" t="s">
        <v>222</v>
      </c>
    </row>
    <row r="8" spans="1:13" ht="15.75" thickBot="1" x14ac:dyDescent="0.3">
      <c r="A8" s="111"/>
      <c r="B8" s="110"/>
      <c r="C8" s="110"/>
      <c r="D8" s="110"/>
      <c r="E8" s="119"/>
      <c r="F8" s="119"/>
      <c r="G8" s="115"/>
      <c r="H8" s="115"/>
      <c r="I8" s="115"/>
    </row>
    <row r="9" spans="1:13" x14ac:dyDescent="0.25">
      <c r="A9" s="111"/>
      <c r="B9" s="110"/>
      <c r="C9" s="110"/>
      <c r="D9" s="110"/>
      <c r="E9" s="110"/>
      <c r="F9" s="110"/>
      <c r="G9" s="109"/>
      <c r="H9" s="109"/>
      <c r="I9" s="109"/>
      <c r="J9" s="142" t="s">
        <v>233</v>
      </c>
      <c r="K9" s="107"/>
    </row>
    <row r="10" spans="1:13" ht="15.75" thickBot="1" x14ac:dyDescent="0.3">
      <c r="A10" s="139">
        <v>1</v>
      </c>
      <c r="B10" s="113" t="s">
        <v>238</v>
      </c>
      <c r="C10" s="110"/>
      <c r="D10" s="110"/>
      <c r="E10" s="110"/>
      <c r="F10" s="110"/>
      <c r="G10" s="114"/>
      <c r="H10" s="140">
        <f>SUM(H25:H200)</f>
        <v>4791763</v>
      </c>
      <c r="I10" s="108">
        <f>SUM(I25:I200)</f>
        <v>158150</v>
      </c>
      <c r="J10" s="205">
        <f>+J12+J11</f>
        <v>3.327184243727592E-2</v>
      </c>
      <c r="K10" s="107"/>
    </row>
    <row r="11" spans="1:13" x14ac:dyDescent="0.25">
      <c r="A11" s="139">
        <f>+A10+1</f>
        <v>2</v>
      </c>
      <c r="B11" s="113" t="s">
        <v>237</v>
      </c>
      <c r="C11" s="110"/>
      <c r="D11" s="110"/>
      <c r="E11" s="110"/>
      <c r="F11" s="110"/>
      <c r="G11" s="114"/>
      <c r="I11" s="114">
        <f>+'2019 Equal % Allocation'!H26</f>
        <v>159430.78353276858</v>
      </c>
      <c r="J11" s="206">
        <f>+I11/H10</f>
        <v>3.327184243727592E-2</v>
      </c>
      <c r="K11" s="107"/>
    </row>
    <row r="12" spans="1:13" x14ac:dyDescent="0.25">
      <c r="A12" s="139">
        <f t="shared" ref="A12:A75" si="0">+A11+1</f>
        <v>3</v>
      </c>
      <c r="B12" s="112" t="s">
        <v>234</v>
      </c>
      <c r="C12" s="110"/>
      <c r="D12" s="110"/>
      <c r="E12" s="110"/>
      <c r="F12" s="110"/>
      <c r="G12" s="114"/>
      <c r="H12" s="108"/>
      <c r="I12" s="108">
        <f>+I10-I11</f>
        <v>-1280.7835327685752</v>
      </c>
      <c r="J12" s="207"/>
      <c r="K12" s="107"/>
    </row>
    <row r="13" spans="1:13" x14ac:dyDescent="0.25">
      <c r="A13" s="139">
        <f t="shared" si="0"/>
        <v>4</v>
      </c>
      <c r="B13" s="110"/>
      <c r="C13" s="110"/>
      <c r="D13" s="110"/>
      <c r="E13" s="110"/>
      <c r="F13" s="110"/>
      <c r="G13" s="109"/>
      <c r="H13" s="109"/>
      <c r="I13" s="109"/>
      <c r="K13" s="107"/>
    </row>
    <row r="14" spans="1:13" x14ac:dyDescent="0.25">
      <c r="A14" s="139">
        <f t="shared" si="0"/>
        <v>5</v>
      </c>
      <c r="B14" s="110" t="s">
        <v>223</v>
      </c>
      <c r="C14" s="110"/>
      <c r="D14" s="110"/>
      <c r="E14" s="110"/>
      <c r="F14" s="110"/>
      <c r="G14" s="115">
        <f>SUM(G25:G33)</f>
        <v>1220</v>
      </c>
      <c r="H14" s="140">
        <f>SUM(H25:H33)</f>
        <v>3947</v>
      </c>
      <c r="I14" s="140">
        <f>SUM(I25:I33)</f>
        <v>133</v>
      </c>
      <c r="J14" s="140"/>
      <c r="K14" s="107"/>
    </row>
    <row r="15" spans="1:13" x14ac:dyDescent="0.25">
      <c r="A15" s="139">
        <f t="shared" si="0"/>
        <v>6</v>
      </c>
      <c r="B15" s="110" t="s">
        <v>224</v>
      </c>
      <c r="C15" s="110"/>
      <c r="D15" s="110"/>
      <c r="E15" s="110"/>
      <c r="F15" s="110"/>
      <c r="G15" s="115">
        <f>SUM(G36:G44)</f>
        <v>62342</v>
      </c>
      <c r="H15" s="140">
        <f>SUM(H36:H44)</f>
        <v>123399</v>
      </c>
      <c r="I15" s="140">
        <f>SUM(I36:I44)</f>
        <v>4091</v>
      </c>
      <c r="J15" s="140"/>
      <c r="K15" s="107"/>
    </row>
    <row r="16" spans="1:13" x14ac:dyDescent="0.25">
      <c r="A16" s="139">
        <f t="shared" si="0"/>
        <v>7</v>
      </c>
      <c r="B16" s="110" t="s">
        <v>225</v>
      </c>
      <c r="C16" s="110"/>
      <c r="D16" s="110"/>
      <c r="E16" s="110"/>
      <c r="F16" s="110"/>
      <c r="G16" s="115">
        <f>SUM(G47:G62)</f>
        <v>232912</v>
      </c>
      <c r="H16" s="140">
        <f>SUM(H47:H62)</f>
        <v>836794</v>
      </c>
      <c r="I16" s="140">
        <f>SUM(I47:I62)</f>
        <v>27519</v>
      </c>
      <c r="J16" s="140"/>
      <c r="K16" s="107"/>
    </row>
    <row r="17" spans="1:13" x14ac:dyDescent="0.25">
      <c r="A17" s="139">
        <f t="shared" si="0"/>
        <v>8</v>
      </c>
      <c r="B17" s="110" t="s">
        <v>226</v>
      </c>
      <c r="G17" s="208">
        <f>SUM(G65:G116)</f>
        <v>911005</v>
      </c>
      <c r="H17" s="141">
        <f>SUM(H65:H116)</f>
        <v>2472275</v>
      </c>
      <c r="I17" s="141">
        <f>SUM(I65:I116)</f>
        <v>81198</v>
      </c>
      <c r="J17" s="141"/>
      <c r="K17" s="107"/>
    </row>
    <row r="18" spans="1:13" x14ac:dyDescent="0.25">
      <c r="A18" s="139">
        <f t="shared" si="0"/>
        <v>9</v>
      </c>
      <c r="B18" s="112" t="s">
        <v>227</v>
      </c>
      <c r="G18" s="208">
        <f>SUM(G119:G138)</f>
        <v>129910</v>
      </c>
      <c r="H18" s="141">
        <f>SUM(H119:H138)</f>
        <v>488843</v>
      </c>
      <c r="I18" s="141">
        <f>SUM(I119:I138)</f>
        <v>16246</v>
      </c>
      <c r="J18" s="141"/>
      <c r="K18" s="107"/>
    </row>
    <row r="19" spans="1:13" x14ac:dyDescent="0.25">
      <c r="A19" s="139">
        <f t="shared" si="0"/>
        <v>10</v>
      </c>
      <c r="B19" s="112" t="s">
        <v>229</v>
      </c>
      <c r="G19" s="208">
        <f>SUM(G141:G158)</f>
        <v>74480</v>
      </c>
      <c r="H19" s="141">
        <f>SUM(H141:H158)</f>
        <v>236249</v>
      </c>
      <c r="I19" s="141">
        <f>SUM(I141:I158)</f>
        <v>8039</v>
      </c>
      <c r="J19" s="141"/>
      <c r="K19" s="107"/>
    </row>
    <row r="20" spans="1:13" x14ac:dyDescent="0.25">
      <c r="A20" s="139">
        <f t="shared" si="0"/>
        <v>11</v>
      </c>
      <c r="B20" s="110" t="s">
        <v>228</v>
      </c>
      <c r="G20" s="208">
        <f>SUM(G161)</f>
        <v>12571346</v>
      </c>
      <c r="H20" s="141">
        <f>SUM(H161)</f>
        <v>480603</v>
      </c>
      <c r="I20" s="141">
        <f>SUM(I161)</f>
        <v>15966</v>
      </c>
      <c r="J20" s="141"/>
      <c r="K20" s="107"/>
    </row>
    <row r="21" spans="1:13" x14ac:dyDescent="0.25">
      <c r="A21" s="139">
        <f t="shared" si="0"/>
        <v>12</v>
      </c>
      <c r="B21" s="112" t="s">
        <v>230</v>
      </c>
      <c r="G21" s="208">
        <f>SUM(G164:G200)</f>
        <v>17569</v>
      </c>
      <c r="H21" s="141">
        <f>SUM(H164:H200)</f>
        <v>149653</v>
      </c>
      <c r="I21" s="141">
        <f>SUM(I164:I200)</f>
        <v>4958</v>
      </c>
      <c r="J21" s="141"/>
      <c r="K21" s="107"/>
    </row>
    <row r="22" spans="1:13" x14ac:dyDescent="0.25">
      <c r="A22" s="139">
        <f t="shared" si="0"/>
        <v>13</v>
      </c>
      <c r="B22" s="110" t="s">
        <v>231</v>
      </c>
      <c r="G22" s="208">
        <f>SUM(G14:G21)</f>
        <v>14000784</v>
      </c>
      <c r="H22" s="141">
        <f>SUM(H14:H21)</f>
        <v>4791763</v>
      </c>
      <c r="I22" s="141">
        <f>SUM(I14:I21)</f>
        <v>158150</v>
      </c>
      <c r="J22" s="141"/>
      <c r="K22" s="107"/>
    </row>
    <row r="23" spans="1:13" x14ac:dyDescent="0.25">
      <c r="A23" s="139">
        <f t="shared" si="0"/>
        <v>14</v>
      </c>
      <c r="B23" s="110"/>
      <c r="C23" s="110"/>
      <c r="D23" s="110"/>
      <c r="E23" s="110"/>
      <c r="F23" s="110"/>
      <c r="G23" s="114"/>
      <c r="H23" s="108"/>
      <c r="I23" s="108"/>
      <c r="K23" s="107"/>
    </row>
    <row r="24" spans="1:13" x14ac:dyDescent="0.25">
      <c r="A24" s="139">
        <f t="shared" si="0"/>
        <v>15</v>
      </c>
      <c r="B24" s="110" t="s">
        <v>219</v>
      </c>
      <c r="C24" s="110"/>
      <c r="D24" s="110"/>
      <c r="E24" s="110"/>
      <c r="F24" s="110"/>
      <c r="G24" s="109"/>
      <c r="H24" s="109"/>
      <c r="I24" s="109"/>
    </row>
    <row r="25" spans="1:13" x14ac:dyDescent="0.25">
      <c r="A25" s="139">
        <f t="shared" si="0"/>
        <v>16</v>
      </c>
      <c r="B25" s="118" t="s">
        <v>218</v>
      </c>
      <c r="C25" s="112" t="s">
        <v>217</v>
      </c>
      <c r="D25" s="130">
        <v>22</v>
      </c>
      <c r="E25" s="137">
        <f>SUM(L25:M25)</f>
        <v>0.56000000000000005</v>
      </c>
      <c r="F25" s="116">
        <f>ROUND(+E25*$J$10,2)</f>
        <v>0.02</v>
      </c>
      <c r="G25" s="115">
        <v>708</v>
      </c>
      <c r="H25" s="108">
        <f>ROUND($G25*E25,0)</f>
        <v>396</v>
      </c>
      <c r="I25" s="108">
        <f>ROUND($G25*F25,0)</f>
        <v>14</v>
      </c>
      <c r="K25" s="107"/>
      <c r="L25" s="187">
        <v>0.22</v>
      </c>
      <c r="M25" s="187">
        <v>0.34</v>
      </c>
    </row>
    <row r="26" spans="1:13" x14ac:dyDescent="0.25">
      <c r="A26" s="139">
        <f t="shared" si="0"/>
        <v>17</v>
      </c>
      <c r="B26" s="129"/>
      <c r="C26" s="128"/>
      <c r="D26" s="127"/>
      <c r="E26" s="137"/>
      <c r="F26" s="119"/>
      <c r="G26" s="115"/>
      <c r="H26" s="115"/>
      <c r="I26" s="115"/>
      <c r="K26" s="107"/>
    </row>
    <row r="27" spans="1:13" x14ac:dyDescent="0.25">
      <c r="A27" s="139">
        <f t="shared" si="0"/>
        <v>18</v>
      </c>
      <c r="B27" s="118" t="s">
        <v>216</v>
      </c>
      <c r="C27" s="125" t="s">
        <v>12</v>
      </c>
      <c r="D27" s="121">
        <v>100</v>
      </c>
      <c r="E27" s="137">
        <f t="shared" ref="E27:E33" si="1">SUM(L27:M27)</f>
        <v>2.54</v>
      </c>
      <c r="F27" s="116">
        <f t="shared" ref="F27:F33" si="2">ROUND(+E27*$J$10,2)</f>
        <v>0.08</v>
      </c>
      <c r="G27" s="115">
        <v>36</v>
      </c>
      <c r="H27" s="108">
        <f t="shared" ref="H27:H33" si="3">ROUND($G27*E27,0)</f>
        <v>91</v>
      </c>
      <c r="I27" s="108">
        <f t="shared" ref="I27:I33" si="4">ROUND($G27*F27,0)</f>
        <v>3</v>
      </c>
      <c r="K27" s="107"/>
      <c r="L27" s="187">
        <v>1.01</v>
      </c>
      <c r="M27" s="187">
        <v>1.53</v>
      </c>
    </row>
    <row r="28" spans="1:13" x14ac:dyDescent="0.25">
      <c r="A28" s="139">
        <f t="shared" si="0"/>
        <v>19</v>
      </c>
      <c r="B28" s="118" t="str">
        <f>+B27</f>
        <v>50E-A</v>
      </c>
      <c r="C28" s="125" t="str">
        <f>+C27</f>
        <v>Mercury Vapor</v>
      </c>
      <c r="D28" s="121">
        <v>175</v>
      </c>
      <c r="E28" s="137">
        <f t="shared" si="1"/>
        <v>4.4399999999999995</v>
      </c>
      <c r="F28" s="116">
        <f t="shared" si="2"/>
        <v>0.15</v>
      </c>
      <c r="G28" s="115">
        <v>228</v>
      </c>
      <c r="H28" s="108">
        <f t="shared" si="3"/>
        <v>1012</v>
      </c>
      <c r="I28" s="108">
        <f t="shared" si="4"/>
        <v>34</v>
      </c>
      <c r="K28" s="107"/>
      <c r="L28" s="187">
        <v>1.77</v>
      </c>
      <c r="M28" s="187">
        <v>2.67</v>
      </c>
    </row>
    <row r="29" spans="1:13" x14ac:dyDescent="0.25">
      <c r="A29" s="139">
        <f t="shared" si="0"/>
        <v>20</v>
      </c>
      <c r="B29" s="118" t="str">
        <f>+B28</f>
        <v>50E-A</v>
      </c>
      <c r="C29" s="125" t="str">
        <f>+C28</f>
        <v>Mercury Vapor</v>
      </c>
      <c r="D29" s="121">
        <v>400</v>
      </c>
      <c r="E29" s="137">
        <f t="shared" si="1"/>
        <v>10.15</v>
      </c>
      <c r="F29" s="116">
        <f t="shared" si="2"/>
        <v>0.34</v>
      </c>
      <c r="G29" s="115">
        <v>236</v>
      </c>
      <c r="H29" s="108">
        <f t="shared" si="3"/>
        <v>2395</v>
      </c>
      <c r="I29" s="108">
        <f t="shared" si="4"/>
        <v>80</v>
      </c>
      <c r="K29" s="107"/>
      <c r="L29" s="187">
        <v>4.04</v>
      </c>
      <c r="M29" s="187">
        <v>6.11</v>
      </c>
    </row>
    <row r="30" spans="1:13" x14ac:dyDescent="0.25">
      <c r="A30" s="139">
        <f t="shared" si="0"/>
        <v>21</v>
      </c>
      <c r="B30" s="118" t="s">
        <v>215</v>
      </c>
      <c r="C30" s="125" t="str">
        <f>+C29</f>
        <v>Mercury Vapor</v>
      </c>
      <c r="D30" s="121">
        <v>100</v>
      </c>
      <c r="E30" s="137">
        <f t="shared" si="1"/>
        <v>2.54</v>
      </c>
      <c r="F30" s="116">
        <f t="shared" si="2"/>
        <v>0.08</v>
      </c>
      <c r="G30" s="115"/>
      <c r="H30" s="108">
        <f t="shared" si="3"/>
        <v>0</v>
      </c>
      <c r="I30" s="108">
        <f t="shared" si="4"/>
        <v>0</v>
      </c>
      <c r="K30" s="107"/>
      <c r="L30" s="187">
        <v>1.01</v>
      </c>
      <c r="M30" s="187">
        <v>1.53</v>
      </c>
    </row>
    <row r="31" spans="1:13" x14ac:dyDescent="0.25">
      <c r="A31" s="139">
        <f t="shared" si="0"/>
        <v>22</v>
      </c>
      <c r="B31" s="118" t="str">
        <f>+B30</f>
        <v>50E-B</v>
      </c>
      <c r="C31" s="125" t="str">
        <f>+C30</f>
        <v>Mercury Vapor</v>
      </c>
      <c r="D31" s="121">
        <v>175</v>
      </c>
      <c r="E31" s="137">
        <f t="shared" si="1"/>
        <v>4.4399999999999995</v>
      </c>
      <c r="F31" s="116">
        <f t="shared" si="2"/>
        <v>0.15</v>
      </c>
      <c r="G31" s="115">
        <v>12</v>
      </c>
      <c r="H31" s="108">
        <f t="shared" si="3"/>
        <v>53</v>
      </c>
      <c r="I31" s="108">
        <f t="shared" si="4"/>
        <v>2</v>
      </c>
      <c r="K31" s="107"/>
      <c r="L31" s="187">
        <v>1.77</v>
      </c>
      <c r="M31" s="187">
        <v>2.67</v>
      </c>
    </row>
    <row r="32" spans="1:13" x14ac:dyDescent="0.25">
      <c r="A32" s="139">
        <f t="shared" si="0"/>
        <v>23</v>
      </c>
      <c r="B32" s="118" t="str">
        <f>+B31</f>
        <v>50E-B</v>
      </c>
      <c r="C32" s="125" t="str">
        <f>+C31</f>
        <v>Mercury Vapor</v>
      </c>
      <c r="D32" s="121">
        <v>400</v>
      </c>
      <c r="E32" s="137">
        <f t="shared" si="1"/>
        <v>10.15</v>
      </c>
      <c r="F32" s="116">
        <f t="shared" si="2"/>
        <v>0.34</v>
      </c>
      <c r="G32" s="115"/>
      <c r="H32" s="108">
        <f t="shared" si="3"/>
        <v>0</v>
      </c>
      <c r="I32" s="108">
        <f t="shared" si="4"/>
        <v>0</v>
      </c>
      <c r="K32" s="107"/>
      <c r="L32" s="187">
        <v>4.04</v>
      </c>
      <c r="M32" s="187">
        <v>6.11</v>
      </c>
    </row>
    <row r="33" spans="1:13" x14ac:dyDescent="0.25">
      <c r="A33" s="139">
        <f t="shared" si="0"/>
        <v>24</v>
      </c>
      <c r="B33" s="118" t="str">
        <f>+B32</f>
        <v>50E-B</v>
      </c>
      <c r="C33" s="125" t="str">
        <f>+C32</f>
        <v>Mercury Vapor</v>
      </c>
      <c r="D33" s="121">
        <v>700</v>
      </c>
      <c r="E33" s="137">
        <f t="shared" si="1"/>
        <v>17.759999999999998</v>
      </c>
      <c r="F33" s="116">
        <f t="shared" si="2"/>
        <v>0.59</v>
      </c>
      <c r="G33" s="115"/>
      <c r="H33" s="108">
        <f t="shared" si="3"/>
        <v>0</v>
      </c>
      <c r="I33" s="108">
        <f t="shared" si="4"/>
        <v>0</v>
      </c>
      <c r="K33" s="107"/>
      <c r="L33" s="187">
        <v>7.07</v>
      </c>
      <c r="M33" s="187">
        <v>10.69</v>
      </c>
    </row>
    <row r="34" spans="1:13" x14ac:dyDescent="0.25">
      <c r="A34" s="139">
        <f t="shared" si="0"/>
        <v>25</v>
      </c>
      <c r="B34" s="123"/>
      <c r="C34" s="126"/>
      <c r="D34" s="110"/>
      <c r="E34" s="137"/>
      <c r="F34" s="119"/>
      <c r="G34" s="115"/>
      <c r="H34" s="115"/>
      <c r="I34" s="115"/>
      <c r="K34" s="107"/>
      <c r="L34" s="187">
        <v>0</v>
      </c>
      <c r="M34" s="187">
        <v>0</v>
      </c>
    </row>
    <row r="35" spans="1:13" x14ac:dyDescent="0.25">
      <c r="A35" s="139">
        <f t="shared" si="0"/>
        <v>26</v>
      </c>
      <c r="B35" s="123" t="s">
        <v>214</v>
      </c>
      <c r="C35" s="126"/>
      <c r="D35" s="110"/>
      <c r="E35" s="137"/>
      <c r="F35" s="119"/>
      <c r="G35" s="115"/>
      <c r="H35" s="115"/>
      <c r="I35" s="115"/>
      <c r="K35" s="107"/>
      <c r="L35" s="187">
        <v>0</v>
      </c>
      <c r="M35" s="187">
        <v>0</v>
      </c>
    </row>
    <row r="36" spans="1:13" x14ac:dyDescent="0.25">
      <c r="A36" s="139">
        <f t="shared" si="0"/>
        <v>27</v>
      </c>
      <c r="B36" s="118" t="s">
        <v>213</v>
      </c>
      <c r="C36" s="125" t="s">
        <v>184</v>
      </c>
      <c r="D36" s="121" t="s">
        <v>198</v>
      </c>
      <c r="E36" s="137">
        <f t="shared" ref="E36:E44" si="5">SUM(L36:M36)</f>
        <v>1.1399999999999999</v>
      </c>
      <c r="F36" s="116">
        <f t="shared" ref="F36:F44" si="6">ROUND(+E36*$J$10,2)</f>
        <v>0.04</v>
      </c>
      <c r="G36" s="115">
        <v>28766</v>
      </c>
      <c r="H36" s="108">
        <f t="shared" ref="H36:H44" si="7">ROUND($G36*E36,0)</f>
        <v>32793</v>
      </c>
      <c r="I36" s="108">
        <f t="shared" ref="I36:I44" si="8">ROUND($G36*F36,0)</f>
        <v>1151</v>
      </c>
      <c r="K36" s="107"/>
      <c r="L36" s="187">
        <v>0.45</v>
      </c>
      <c r="M36" s="187">
        <v>0.69</v>
      </c>
    </row>
    <row r="37" spans="1:13" x14ac:dyDescent="0.25">
      <c r="A37" s="139">
        <f t="shared" si="0"/>
        <v>28</v>
      </c>
      <c r="B37" s="118" t="s">
        <v>213</v>
      </c>
      <c r="C37" s="125" t="s">
        <v>184</v>
      </c>
      <c r="D37" s="121" t="s">
        <v>197</v>
      </c>
      <c r="E37" s="137">
        <f t="shared" si="5"/>
        <v>1.91</v>
      </c>
      <c r="F37" s="116">
        <f t="shared" si="6"/>
        <v>0.06</v>
      </c>
      <c r="G37" s="115">
        <v>16887</v>
      </c>
      <c r="H37" s="108">
        <f t="shared" si="7"/>
        <v>32254</v>
      </c>
      <c r="I37" s="108">
        <f t="shared" si="8"/>
        <v>1013</v>
      </c>
      <c r="K37" s="107"/>
      <c r="L37" s="187">
        <v>0.76</v>
      </c>
      <c r="M37" s="187">
        <v>1.1499999999999999</v>
      </c>
    </row>
    <row r="38" spans="1:13" x14ac:dyDescent="0.25">
      <c r="A38" s="139">
        <f t="shared" si="0"/>
        <v>29</v>
      </c>
      <c r="B38" s="118" t="s">
        <v>213</v>
      </c>
      <c r="C38" s="125" t="s">
        <v>184</v>
      </c>
      <c r="D38" s="121" t="s">
        <v>196</v>
      </c>
      <c r="E38" s="137">
        <f t="shared" si="5"/>
        <v>2.66</v>
      </c>
      <c r="F38" s="116">
        <f t="shared" si="6"/>
        <v>0.09</v>
      </c>
      <c r="G38" s="115">
        <v>8814</v>
      </c>
      <c r="H38" s="108">
        <f t="shared" si="7"/>
        <v>23445</v>
      </c>
      <c r="I38" s="108">
        <f t="shared" si="8"/>
        <v>793</v>
      </c>
      <c r="K38" s="107"/>
      <c r="L38" s="187">
        <v>1.06</v>
      </c>
      <c r="M38" s="187">
        <v>1.6</v>
      </c>
    </row>
    <row r="39" spans="1:13" x14ac:dyDescent="0.25">
      <c r="A39" s="139">
        <f t="shared" si="0"/>
        <v>30</v>
      </c>
      <c r="B39" s="118" t="s">
        <v>213</v>
      </c>
      <c r="C39" s="125" t="s">
        <v>184</v>
      </c>
      <c r="D39" s="121" t="s">
        <v>195</v>
      </c>
      <c r="E39" s="137">
        <f t="shared" si="5"/>
        <v>3.42</v>
      </c>
      <c r="F39" s="116">
        <f t="shared" si="6"/>
        <v>0.11</v>
      </c>
      <c r="G39" s="115">
        <v>3845</v>
      </c>
      <c r="H39" s="108">
        <f t="shared" si="7"/>
        <v>13150</v>
      </c>
      <c r="I39" s="108">
        <f t="shared" si="8"/>
        <v>423</v>
      </c>
      <c r="K39" s="107"/>
      <c r="L39" s="187">
        <v>1.36</v>
      </c>
      <c r="M39" s="187">
        <v>2.06</v>
      </c>
    </row>
    <row r="40" spans="1:13" x14ac:dyDescent="0.25">
      <c r="A40" s="139">
        <f t="shared" si="0"/>
        <v>31</v>
      </c>
      <c r="B40" s="118" t="s">
        <v>213</v>
      </c>
      <c r="C40" s="125" t="s">
        <v>184</v>
      </c>
      <c r="D40" s="121" t="s">
        <v>194</v>
      </c>
      <c r="E40" s="137">
        <f t="shared" si="5"/>
        <v>4.1899999999999995</v>
      </c>
      <c r="F40" s="116">
        <f t="shared" si="6"/>
        <v>0.14000000000000001</v>
      </c>
      <c r="G40" s="115">
        <v>600</v>
      </c>
      <c r="H40" s="108">
        <f t="shared" si="7"/>
        <v>2514</v>
      </c>
      <c r="I40" s="108">
        <f t="shared" si="8"/>
        <v>84</v>
      </c>
      <c r="K40" s="107"/>
      <c r="L40" s="187">
        <v>1.67</v>
      </c>
      <c r="M40" s="187">
        <v>2.52</v>
      </c>
    </row>
    <row r="41" spans="1:13" x14ac:dyDescent="0.25">
      <c r="A41" s="139">
        <f t="shared" si="0"/>
        <v>32</v>
      </c>
      <c r="B41" s="118" t="s">
        <v>213</v>
      </c>
      <c r="C41" s="125" t="s">
        <v>184</v>
      </c>
      <c r="D41" s="121" t="s">
        <v>193</v>
      </c>
      <c r="E41" s="137">
        <f t="shared" si="5"/>
        <v>4.95</v>
      </c>
      <c r="F41" s="116">
        <f t="shared" si="6"/>
        <v>0.16</v>
      </c>
      <c r="G41" s="115">
        <v>2396</v>
      </c>
      <c r="H41" s="108">
        <f t="shared" si="7"/>
        <v>11860</v>
      </c>
      <c r="I41" s="108">
        <f t="shared" si="8"/>
        <v>383</v>
      </c>
      <c r="K41" s="107"/>
      <c r="L41" s="187">
        <v>1.97</v>
      </c>
      <c r="M41" s="187">
        <v>2.98</v>
      </c>
    </row>
    <row r="42" spans="1:13" x14ac:dyDescent="0.25">
      <c r="A42" s="139">
        <f t="shared" si="0"/>
        <v>33</v>
      </c>
      <c r="B42" s="118" t="s">
        <v>213</v>
      </c>
      <c r="C42" s="125" t="s">
        <v>184</v>
      </c>
      <c r="D42" s="121" t="s">
        <v>192</v>
      </c>
      <c r="E42" s="137">
        <f t="shared" si="5"/>
        <v>5.71</v>
      </c>
      <c r="F42" s="116">
        <f t="shared" si="6"/>
        <v>0.19</v>
      </c>
      <c r="G42" s="115"/>
      <c r="H42" s="108">
        <f t="shared" si="7"/>
        <v>0</v>
      </c>
      <c r="I42" s="108">
        <f t="shared" si="8"/>
        <v>0</v>
      </c>
      <c r="K42" s="107"/>
      <c r="L42" s="187">
        <v>2.27</v>
      </c>
      <c r="M42" s="187">
        <v>3.44</v>
      </c>
    </row>
    <row r="43" spans="1:13" x14ac:dyDescent="0.25">
      <c r="A43" s="139">
        <f t="shared" si="0"/>
        <v>34</v>
      </c>
      <c r="B43" s="118" t="s">
        <v>213</v>
      </c>
      <c r="C43" s="125" t="s">
        <v>184</v>
      </c>
      <c r="D43" s="121" t="s">
        <v>191</v>
      </c>
      <c r="E43" s="137">
        <f t="shared" si="5"/>
        <v>6.46</v>
      </c>
      <c r="F43" s="116">
        <f t="shared" si="6"/>
        <v>0.21</v>
      </c>
      <c r="G43" s="115">
        <v>120</v>
      </c>
      <c r="H43" s="108">
        <f t="shared" si="7"/>
        <v>775</v>
      </c>
      <c r="I43" s="108">
        <f t="shared" si="8"/>
        <v>25</v>
      </c>
      <c r="K43" s="107"/>
      <c r="L43" s="187">
        <v>2.57</v>
      </c>
      <c r="M43" s="187">
        <v>3.89</v>
      </c>
    </row>
    <row r="44" spans="1:13" x14ac:dyDescent="0.25">
      <c r="A44" s="139">
        <f t="shared" si="0"/>
        <v>35</v>
      </c>
      <c r="B44" s="118" t="s">
        <v>213</v>
      </c>
      <c r="C44" s="125" t="s">
        <v>184</v>
      </c>
      <c r="D44" s="121" t="s">
        <v>190</v>
      </c>
      <c r="E44" s="137">
        <f t="shared" si="5"/>
        <v>7.2299999999999995</v>
      </c>
      <c r="F44" s="116">
        <f t="shared" si="6"/>
        <v>0.24</v>
      </c>
      <c r="G44" s="115">
        <v>914</v>
      </c>
      <c r="H44" s="108">
        <f t="shared" si="7"/>
        <v>6608</v>
      </c>
      <c r="I44" s="108">
        <f t="shared" si="8"/>
        <v>219</v>
      </c>
      <c r="K44" s="107"/>
      <c r="L44" s="187">
        <v>2.88</v>
      </c>
      <c r="M44" s="187">
        <v>4.3499999999999996</v>
      </c>
    </row>
    <row r="45" spans="1:13" x14ac:dyDescent="0.25">
      <c r="A45" s="139">
        <f t="shared" si="0"/>
        <v>36</v>
      </c>
      <c r="B45" s="123"/>
      <c r="C45" s="110"/>
      <c r="D45" s="110"/>
      <c r="E45" s="137"/>
      <c r="F45" s="119"/>
      <c r="G45" s="115"/>
      <c r="H45" s="115"/>
      <c r="I45" s="115"/>
      <c r="K45" s="107"/>
      <c r="L45" s="187"/>
      <c r="M45" s="187"/>
    </row>
    <row r="46" spans="1:13" x14ac:dyDescent="0.25">
      <c r="A46" s="139">
        <f t="shared" si="0"/>
        <v>37</v>
      </c>
      <c r="B46" s="123" t="s">
        <v>212</v>
      </c>
      <c r="C46" s="110"/>
      <c r="D46" s="110"/>
      <c r="E46" s="137"/>
      <c r="F46" s="119"/>
      <c r="G46" s="115"/>
      <c r="H46" s="115"/>
      <c r="I46" s="115"/>
      <c r="K46" s="107"/>
      <c r="L46" s="187"/>
      <c r="M46" s="187"/>
    </row>
    <row r="47" spans="1:13" x14ac:dyDescent="0.25">
      <c r="A47" s="139">
        <f t="shared" si="0"/>
        <v>38</v>
      </c>
      <c r="B47" s="118" t="s">
        <v>211</v>
      </c>
      <c r="C47" s="117" t="s">
        <v>13</v>
      </c>
      <c r="D47" s="117">
        <v>50</v>
      </c>
      <c r="E47" s="137">
        <f t="shared" ref="E47:E54" si="9">SUM(L47:M47)</f>
        <v>1.26</v>
      </c>
      <c r="F47" s="116">
        <f t="shared" ref="F47:F54" si="10">ROUND(+E47*$J$10,2)</f>
        <v>0.04</v>
      </c>
      <c r="G47" s="115"/>
      <c r="H47" s="108">
        <f t="shared" ref="H47:H54" si="11">ROUND($G47*E47,0)</f>
        <v>0</v>
      </c>
      <c r="I47" s="108">
        <f t="shared" ref="I47:I54" si="12">ROUND($G47*F47,0)</f>
        <v>0</v>
      </c>
      <c r="K47" s="188"/>
      <c r="L47" s="187">
        <v>0.5</v>
      </c>
      <c r="M47" s="187">
        <v>0.76</v>
      </c>
    </row>
    <row r="48" spans="1:13" x14ac:dyDescent="0.25">
      <c r="A48" s="139">
        <f t="shared" si="0"/>
        <v>39</v>
      </c>
      <c r="B48" s="118" t="str">
        <f t="shared" ref="B48:B54" si="13">+B47</f>
        <v xml:space="preserve">52E </v>
      </c>
      <c r="C48" s="117" t="s">
        <v>13</v>
      </c>
      <c r="D48" s="117">
        <v>70</v>
      </c>
      <c r="E48" s="137">
        <f t="shared" si="9"/>
        <v>1.78</v>
      </c>
      <c r="F48" s="116">
        <f t="shared" si="10"/>
        <v>0.06</v>
      </c>
      <c r="G48" s="115">
        <v>8527</v>
      </c>
      <c r="H48" s="108">
        <f t="shared" si="11"/>
        <v>15178</v>
      </c>
      <c r="I48" s="108">
        <f t="shared" si="12"/>
        <v>512</v>
      </c>
      <c r="K48" s="188"/>
      <c r="L48" s="187">
        <v>0.71</v>
      </c>
      <c r="M48" s="187">
        <v>1.07</v>
      </c>
    </row>
    <row r="49" spans="1:13" x14ac:dyDescent="0.25">
      <c r="A49" s="139">
        <f t="shared" si="0"/>
        <v>40</v>
      </c>
      <c r="B49" s="118" t="str">
        <f t="shared" si="13"/>
        <v xml:space="preserve">52E </v>
      </c>
      <c r="C49" s="117" t="s">
        <v>13</v>
      </c>
      <c r="D49" s="117">
        <v>100</v>
      </c>
      <c r="E49" s="137">
        <f t="shared" si="9"/>
        <v>2.54</v>
      </c>
      <c r="F49" s="116">
        <f t="shared" si="10"/>
        <v>0.08</v>
      </c>
      <c r="G49" s="115">
        <v>123124</v>
      </c>
      <c r="H49" s="108">
        <f t="shared" si="11"/>
        <v>312735</v>
      </c>
      <c r="I49" s="108">
        <f t="shared" si="12"/>
        <v>9850</v>
      </c>
      <c r="K49" s="188"/>
      <c r="L49" s="187">
        <v>1.01</v>
      </c>
      <c r="M49" s="187">
        <v>1.53</v>
      </c>
    </row>
    <row r="50" spans="1:13" x14ac:dyDescent="0.25">
      <c r="A50" s="139">
        <f t="shared" si="0"/>
        <v>41</v>
      </c>
      <c r="B50" s="118" t="str">
        <f t="shared" si="13"/>
        <v xml:space="preserve">52E </v>
      </c>
      <c r="C50" s="117" t="s">
        <v>13</v>
      </c>
      <c r="D50" s="117">
        <v>150</v>
      </c>
      <c r="E50" s="137">
        <f t="shared" si="9"/>
        <v>3.8</v>
      </c>
      <c r="F50" s="116">
        <f t="shared" si="10"/>
        <v>0.13</v>
      </c>
      <c r="G50" s="115">
        <v>55089</v>
      </c>
      <c r="H50" s="108">
        <f t="shared" si="11"/>
        <v>209338</v>
      </c>
      <c r="I50" s="108">
        <f t="shared" si="12"/>
        <v>7162</v>
      </c>
      <c r="K50" s="188"/>
      <c r="L50" s="187">
        <v>1.51</v>
      </c>
      <c r="M50" s="187">
        <v>2.29</v>
      </c>
    </row>
    <row r="51" spans="1:13" x14ac:dyDescent="0.25">
      <c r="A51" s="139">
        <f t="shared" si="0"/>
        <v>42</v>
      </c>
      <c r="B51" s="118" t="str">
        <f t="shared" si="13"/>
        <v xml:space="preserve">52E </v>
      </c>
      <c r="C51" s="117" t="s">
        <v>13</v>
      </c>
      <c r="D51" s="117">
        <v>200</v>
      </c>
      <c r="E51" s="137">
        <f t="shared" si="9"/>
        <v>5.07</v>
      </c>
      <c r="F51" s="116">
        <f t="shared" si="10"/>
        <v>0.17</v>
      </c>
      <c r="G51" s="115">
        <v>11902</v>
      </c>
      <c r="H51" s="108">
        <f t="shared" si="11"/>
        <v>60343</v>
      </c>
      <c r="I51" s="108">
        <f t="shared" si="12"/>
        <v>2023</v>
      </c>
      <c r="K51" s="188"/>
      <c r="L51" s="187">
        <v>2.02</v>
      </c>
      <c r="M51" s="187">
        <v>3.05</v>
      </c>
    </row>
    <row r="52" spans="1:13" x14ac:dyDescent="0.25">
      <c r="A52" s="139">
        <f t="shared" si="0"/>
        <v>43</v>
      </c>
      <c r="B52" s="118" t="str">
        <f t="shared" si="13"/>
        <v xml:space="preserve">52E </v>
      </c>
      <c r="C52" s="117" t="s">
        <v>13</v>
      </c>
      <c r="D52" s="117">
        <v>250</v>
      </c>
      <c r="E52" s="137">
        <f t="shared" si="9"/>
        <v>6.34</v>
      </c>
      <c r="F52" s="116">
        <f t="shared" si="10"/>
        <v>0.21</v>
      </c>
      <c r="G52" s="115">
        <v>17582</v>
      </c>
      <c r="H52" s="108">
        <f t="shared" si="11"/>
        <v>111470</v>
      </c>
      <c r="I52" s="108">
        <f t="shared" si="12"/>
        <v>3692</v>
      </c>
      <c r="K52" s="188"/>
      <c r="L52" s="187">
        <v>2.52</v>
      </c>
      <c r="M52" s="187">
        <v>3.82</v>
      </c>
    </row>
    <row r="53" spans="1:13" x14ac:dyDescent="0.25">
      <c r="A53" s="139">
        <f t="shared" si="0"/>
        <v>44</v>
      </c>
      <c r="B53" s="118" t="str">
        <f t="shared" si="13"/>
        <v xml:space="preserve">52E </v>
      </c>
      <c r="C53" s="117" t="s">
        <v>13</v>
      </c>
      <c r="D53" s="117">
        <v>310</v>
      </c>
      <c r="E53" s="137">
        <f t="shared" si="9"/>
        <v>7.86</v>
      </c>
      <c r="F53" s="116">
        <f t="shared" si="10"/>
        <v>0.26</v>
      </c>
      <c r="G53" s="115">
        <v>1786</v>
      </c>
      <c r="H53" s="108">
        <f t="shared" si="11"/>
        <v>14038</v>
      </c>
      <c r="I53" s="108">
        <f t="shared" si="12"/>
        <v>464</v>
      </c>
      <c r="K53" s="188"/>
      <c r="L53" s="187">
        <v>3.13</v>
      </c>
      <c r="M53" s="187">
        <v>4.7300000000000004</v>
      </c>
    </row>
    <row r="54" spans="1:13" x14ac:dyDescent="0.25">
      <c r="A54" s="139">
        <f t="shared" si="0"/>
        <v>45</v>
      </c>
      <c r="B54" s="118" t="str">
        <f t="shared" si="13"/>
        <v xml:space="preserve">52E </v>
      </c>
      <c r="C54" s="117" t="s">
        <v>13</v>
      </c>
      <c r="D54" s="117">
        <v>400</v>
      </c>
      <c r="E54" s="137">
        <f t="shared" si="9"/>
        <v>10.15</v>
      </c>
      <c r="F54" s="116">
        <f t="shared" si="10"/>
        <v>0.34</v>
      </c>
      <c r="G54" s="115">
        <v>7278</v>
      </c>
      <c r="H54" s="108">
        <f t="shared" si="11"/>
        <v>73872</v>
      </c>
      <c r="I54" s="108">
        <f t="shared" si="12"/>
        <v>2475</v>
      </c>
      <c r="K54" s="188"/>
      <c r="L54" s="187">
        <v>4.04</v>
      </c>
      <c r="M54" s="187">
        <v>6.11</v>
      </c>
    </row>
    <row r="55" spans="1:13" x14ac:dyDescent="0.25">
      <c r="A55" s="139">
        <f t="shared" si="0"/>
        <v>46</v>
      </c>
      <c r="B55" s="124"/>
      <c r="C55" s="117"/>
      <c r="D55" s="117"/>
      <c r="E55" s="137"/>
      <c r="F55" s="119"/>
      <c r="G55" s="115"/>
      <c r="H55" s="115"/>
      <c r="I55" s="115"/>
      <c r="K55" s="188"/>
      <c r="L55" s="187"/>
      <c r="M55" s="187"/>
    </row>
    <row r="56" spans="1:13" x14ac:dyDescent="0.25">
      <c r="A56" s="139">
        <f t="shared" si="0"/>
        <v>47</v>
      </c>
      <c r="B56" s="118" t="str">
        <f>+B51</f>
        <v xml:space="preserve">52E </v>
      </c>
      <c r="C56" s="117" t="s">
        <v>200</v>
      </c>
      <c r="D56" s="117">
        <v>70</v>
      </c>
      <c r="E56" s="137">
        <f t="shared" ref="E56:E62" si="14">SUM(L56:M56)</f>
        <v>1.78</v>
      </c>
      <c r="F56" s="116">
        <f t="shared" ref="F56:F62" si="15">ROUND(+E56*$J$10,2)</f>
        <v>0.06</v>
      </c>
      <c r="G56" s="115">
        <v>820</v>
      </c>
      <c r="H56" s="108">
        <f t="shared" ref="H56:H62" si="16">ROUND($G56*E56,0)</f>
        <v>1460</v>
      </c>
      <c r="I56" s="108">
        <f t="shared" ref="I56:I62" si="17">ROUND($G56*F56,0)</f>
        <v>49</v>
      </c>
      <c r="K56" s="188"/>
      <c r="L56" s="187">
        <v>0.71</v>
      </c>
      <c r="M56" s="187">
        <v>1.07</v>
      </c>
    </row>
    <row r="57" spans="1:13" x14ac:dyDescent="0.25">
      <c r="A57" s="139">
        <f t="shared" si="0"/>
        <v>48</v>
      </c>
      <c r="B57" s="118" t="str">
        <f>+B52</f>
        <v xml:space="preserve">52E </v>
      </c>
      <c r="C57" s="117" t="s">
        <v>200</v>
      </c>
      <c r="D57" s="117">
        <v>100</v>
      </c>
      <c r="E57" s="137">
        <f t="shared" si="14"/>
        <v>2.54</v>
      </c>
      <c r="F57" s="116">
        <f t="shared" si="15"/>
        <v>0.08</v>
      </c>
      <c r="G57" s="115">
        <v>48</v>
      </c>
      <c r="H57" s="108">
        <f t="shared" si="16"/>
        <v>122</v>
      </c>
      <c r="I57" s="108">
        <f t="shared" si="17"/>
        <v>4</v>
      </c>
      <c r="K57" s="188"/>
      <c r="L57" s="187">
        <v>1.01</v>
      </c>
      <c r="M57" s="187">
        <v>1.53</v>
      </c>
    </row>
    <row r="58" spans="1:13" x14ac:dyDescent="0.25">
      <c r="A58" s="139">
        <f t="shared" si="0"/>
        <v>49</v>
      </c>
      <c r="B58" s="118" t="str">
        <f>+B53</f>
        <v xml:space="preserve">52E </v>
      </c>
      <c r="C58" s="117" t="s">
        <v>200</v>
      </c>
      <c r="D58" s="117">
        <v>150</v>
      </c>
      <c r="E58" s="137">
        <f t="shared" si="14"/>
        <v>3.8</v>
      </c>
      <c r="F58" s="116">
        <f t="shared" si="15"/>
        <v>0.13</v>
      </c>
      <c r="G58" s="115">
        <v>2460</v>
      </c>
      <c r="H58" s="108">
        <f t="shared" si="16"/>
        <v>9348</v>
      </c>
      <c r="I58" s="108">
        <f t="shared" si="17"/>
        <v>320</v>
      </c>
      <c r="K58" s="188"/>
      <c r="L58" s="187">
        <v>1.51</v>
      </c>
      <c r="M58" s="187">
        <v>2.29</v>
      </c>
    </row>
    <row r="59" spans="1:13" x14ac:dyDescent="0.25">
      <c r="A59" s="139">
        <f t="shared" si="0"/>
        <v>50</v>
      </c>
      <c r="B59" s="118" t="str">
        <f>+B54</f>
        <v xml:space="preserve">52E </v>
      </c>
      <c r="C59" s="117" t="s">
        <v>200</v>
      </c>
      <c r="D59" s="117">
        <v>175</v>
      </c>
      <c r="E59" s="137">
        <f t="shared" si="14"/>
        <v>4.4399999999999995</v>
      </c>
      <c r="F59" s="116">
        <f t="shared" si="15"/>
        <v>0.15</v>
      </c>
      <c r="G59" s="115">
        <v>2664</v>
      </c>
      <c r="H59" s="108">
        <f t="shared" si="16"/>
        <v>11828</v>
      </c>
      <c r="I59" s="108">
        <f t="shared" si="17"/>
        <v>400</v>
      </c>
      <c r="K59" s="188"/>
      <c r="L59" s="187">
        <v>1.77</v>
      </c>
      <c r="M59" s="187">
        <v>2.67</v>
      </c>
    </row>
    <row r="60" spans="1:13" x14ac:dyDescent="0.25">
      <c r="A60" s="139">
        <f t="shared" si="0"/>
        <v>51</v>
      </c>
      <c r="B60" s="118" t="str">
        <f t="shared" ref="B60:C62" si="18">+B59</f>
        <v xml:space="preserve">52E </v>
      </c>
      <c r="C60" s="117" t="str">
        <f t="shared" si="18"/>
        <v>Metal Halide</v>
      </c>
      <c r="D60" s="117">
        <v>250</v>
      </c>
      <c r="E60" s="137">
        <f t="shared" si="14"/>
        <v>6.34</v>
      </c>
      <c r="F60" s="116">
        <f t="shared" si="15"/>
        <v>0.21</v>
      </c>
      <c r="G60" s="115">
        <v>732</v>
      </c>
      <c r="H60" s="108">
        <f t="shared" si="16"/>
        <v>4641</v>
      </c>
      <c r="I60" s="108">
        <f t="shared" si="17"/>
        <v>154</v>
      </c>
      <c r="K60" s="188"/>
      <c r="L60" s="187">
        <v>2.52</v>
      </c>
      <c r="M60" s="187">
        <v>3.82</v>
      </c>
    </row>
    <row r="61" spans="1:13" x14ac:dyDescent="0.25">
      <c r="A61" s="139">
        <f t="shared" si="0"/>
        <v>52</v>
      </c>
      <c r="B61" s="118" t="str">
        <f t="shared" si="18"/>
        <v xml:space="preserve">52E </v>
      </c>
      <c r="C61" s="117" t="str">
        <f t="shared" si="18"/>
        <v>Metal Halide</v>
      </c>
      <c r="D61" s="117">
        <v>400</v>
      </c>
      <c r="E61" s="137">
        <f t="shared" si="14"/>
        <v>10.15</v>
      </c>
      <c r="F61" s="116">
        <f t="shared" si="15"/>
        <v>0.34</v>
      </c>
      <c r="G61" s="115">
        <v>684</v>
      </c>
      <c r="H61" s="108">
        <f t="shared" si="16"/>
        <v>6943</v>
      </c>
      <c r="I61" s="108">
        <f t="shared" si="17"/>
        <v>233</v>
      </c>
      <c r="K61" s="188"/>
      <c r="L61" s="187">
        <v>4.04</v>
      </c>
      <c r="M61" s="187">
        <v>6.11</v>
      </c>
    </row>
    <row r="62" spans="1:13" x14ac:dyDescent="0.25">
      <c r="A62" s="139">
        <f t="shared" si="0"/>
        <v>53</v>
      </c>
      <c r="B62" s="118" t="str">
        <f t="shared" si="18"/>
        <v xml:space="preserve">52E </v>
      </c>
      <c r="C62" s="117" t="str">
        <f t="shared" si="18"/>
        <v>Metal Halide</v>
      </c>
      <c r="D62" s="117">
        <v>1000</v>
      </c>
      <c r="E62" s="137">
        <f t="shared" si="14"/>
        <v>25.36</v>
      </c>
      <c r="F62" s="116">
        <f t="shared" si="15"/>
        <v>0.84</v>
      </c>
      <c r="G62" s="115">
        <v>216</v>
      </c>
      <c r="H62" s="108">
        <f t="shared" si="16"/>
        <v>5478</v>
      </c>
      <c r="I62" s="108">
        <f t="shared" si="17"/>
        <v>181</v>
      </c>
      <c r="K62" s="188"/>
      <c r="L62" s="187">
        <v>10.09</v>
      </c>
      <c r="M62" s="187">
        <v>15.27</v>
      </c>
    </row>
    <row r="63" spans="1:13" x14ac:dyDescent="0.25">
      <c r="A63" s="139">
        <f t="shared" si="0"/>
        <v>54</v>
      </c>
      <c r="B63" s="123"/>
      <c r="C63" s="110"/>
      <c r="D63" s="110"/>
      <c r="E63" s="137"/>
      <c r="F63" s="119"/>
      <c r="G63" s="115"/>
      <c r="H63" s="115"/>
      <c r="I63" s="115"/>
      <c r="K63" s="188"/>
      <c r="L63" s="187"/>
      <c r="M63" s="187"/>
    </row>
    <row r="64" spans="1:13" x14ac:dyDescent="0.25">
      <c r="A64" s="139">
        <f t="shared" si="0"/>
        <v>55</v>
      </c>
      <c r="B64" s="123" t="s">
        <v>210</v>
      </c>
      <c r="C64" s="110"/>
      <c r="D64" s="110"/>
      <c r="E64" s="137"/>
      <c r="F64" s="119"/>
      <c r="G64" s="115"/>
      <c r="H64" s="115"/>
      <c r="I64" s="115"/>
      <c r="K64" s="188"/>
      <c r="L64" s="187"/>
      <c r="M64" s="187"/>
    </row>
    <row r="65" spans="1:13" x14ac:dyDescent="0.25">
      <c r="A65" s="139">
        <f t="shared" si="0"/>
        <v>56</v>
      </c>
      <c r="B65" s="118" t="s">
        <v>209</v>
      </c>
      <c r="C65" s="117" t="s">
        <v>13</v>
      </c>
      <c r="D65" s="117">
        <v>50</v>
      </c>
      <c r="E65" s="137">
        <f t="shared" ref="E65:E73" si="19">SUM(L65:M65)</f>
        <v>1.26</v>
      </c>
      <c r="F65" s="116">
        <f t="shared" ref="F65:F73" si="20">ROUND(+E65*$J$10,2)</f>
        <v>0.04</v>
      </c>
      <c r="G65" s="115">
        <v>0</v>
      </c>
      <c r="H65" s="108">
        <f t="shared" ref="H65:H73" si="21">ROUND($G65*E65,0)</f>
        <v>0</v>
      </c>
      <c r="I65" s="108">
        <f t="shared" ref="I65:I73" si="22">ROUND($G65*F65,0)</f>
        <v>0</v>
      </c>
      <c r="K65" s="188"/>
      <c r="L65" s="187">
        <v>0.5</v>
      </c>
      <c r="M65" s="187">
        <v>0.76</v>
      </c>
    </row>
    <row r="66" spans="1:13" x14ac:dyDescent="0.25">
      <c r="A66" s="139">
        <f t="shared" si="0"/>
        <v>57</v>
      </c>
      <c r="B66" s="118" t="str">
        <f t="shared" ref="B66:B73" si="23">+B65</f>
        <v>53E - Company Owned</v>
      </c>
      <c r="C66" s="117" t="s">
        <v>13</v>
      </c>
      <c r="D66" s="117">
        <v>70</v>
      </c>
      <c r="E66" s="137">
        <f t="shared" si="19"/>
        <v>1.78</v>
      </c>
      <c r="F66" s="116">
        <f t="shared" si="20"/>
        <v>0.06</v>
      </c>
      <c r="G66" s="115">
        <v>54470</v>
      </c>
      <c r="H66" s="108">
        <f t="shared" si="21"/>
        <v>96957</v>
      </c>
      <c r="I66" s="108">
        <f t="shared" si="22"/>
        <v>3268</v>
      </c>
      <c r="K66" s="188"/>
      <c r="L66" s="187">
        <v>0.71</v>
      </c>
      <c r="M66" s="187">
        <v>1.07</v>
      </c>
    </row>
    <row r="67" spans="1:13" x14ac:dyDescent="0.25">
      <c r="A67" s="139">
        <f t="shared" si="0"/>
        <v>58</v>
      </c>
      <c r="B67" s="118" t="str">
        <f t="shared" si="23"/>
        <v>53E - Company Owned</v>
      </c>
      <c r="C67" s="117" t="s">
        <v>13</v>
      </c>
      <c r="D67" s="117">
        <v>100</v>
      </c>
      <c r="E67" s="137">
        <f t="shared" si="19"/>
        <v>2.54</v>
      </c>
      <c r="F67" s="116">
        <f t="shared" si="20"/>
        <v>0.08</v>
      </c>
      <c r="G67" s="115">
        <v>385201</v>
      </c>
      <c r="H67" s="108">
        <f t="shared" si="21"/>
        <v>978411</v>
      </c>
      <c r="I67" s="108">
        <f t="shared" si="22"/>
        <v>30816</v>
      </c>
      <c r="K67" s="188"/>
      <c r="L67" s="187">
        <v>1.01</v>
      </c>
      <c r="M67" s="187">
        <v>1.53</v>
      </c>
    </row>
    <row r="68" spans="1:13" x14ac:dyDescent="0.25">
      <c r="A68" s="139">
        <f t="shared" si="0"/>
        <v>59</v>
      </c>
      <c r="B68" s="118" t="str">
        <f t="shared" si="23"/>
        <v>53E - Company Owned</v>
      </c>
      <c r="C68" s="117" t="s">
        <v>13</v>
      </c>
      <c r="D68" s="117">
        <v>150</v>
      </c>
      <c r="E68" s="137">
        <f t="shared" si="19"/>
        <v>3.8</v>
      </c>
      <c r="F68" s="116">
        <f t="shared" si="20"/>
        <v>0.13</v>
      </c>
      <c r="G68" s="115">
        <v>45668</v>
      </c>
      <c r="H68" s="108">
        <f t="shared" si="21"/>
        <v>173538</v>
      </c>
      <c r="I68" s="108">
        <f t="shared" si="22"/>
        <v>5937</v>
      </c>
      <c r="K68" s="188"/>
      <c r="L68" s="187">
        <v>1.51</v>
      </c>
      <c r="M68" s="187">
        <v>2.29</v>
      </c>
    </row>
    <row r="69" spans="1:13" x14ac:dyDescent="0.25">
      <c r="A69" s="139">
        <f t="shared" si="0"/>
        <v>60</v>
      </c>
      <c r="B69" s="118" t="str">
        <f t="shared" si="23"/>
        <v>53E - Company Owned</v>
      </c>
      <c r="C69" s="117" t="s">
        <v>13</v>
      </c>
      <c r="D69" s="117">
        <v>200</v>
      </c>
      <c r="E69" s="137">
        <f t="shared" si="19"/>
        <v>5.07</v>
      </c>
      <c r="F69" s="116">
        <f t="shared" si="20"/>
        <v>0.17</v>
      </c>
      <c r="G69" s="115">
        <v>60404</v>
      </c>
      <c r="H69" s="108">
        <f t="shared" si="21"/>
        <v>306248</v>
      </c>
      <c r="I69" s="108">
        <f t="shared" si="22"/>
        <v>10269</v>
      </c>
      <c r="K69" s="188"/>
      <c r="L69" s="187">
        <v>2.02</v>
      </c>
      <c r="M69" s="187">
        <v>3.05</v>
      </c>
    </row>
    <row r="70" spans="1:13" x14ac:dyDescent="0.25">
      <c r="A70" s="139">
        <f t="shared" si="0"/>
        <v>61</v>
      </c>
      <c r="B70" s="118" t="str">
        <f t="shared" si="23"/>
        <v>53E - Company Owned</v>
      </c>
      <c r="C70" s="117" t="s">
        <v>13</v>
      </c>
      <c r="D70" s="117">
        <v>250</v>
      </c>
      <c r="E70" s="137">
        <f t="shared" si="19"/>
        <v>6.34</v>
      </c>
      <c r="F70" s="116">
        <f t="shared" si="20"/>
        <v>0.21</v>
      </c>
      <c r="G70" s="115">
        <v>20495</v>
      </c>
      <c r="H70" s="108">
        <f t="shared" si="21"/>
        <v>129938</v>
      </c>
      <c r="I70" s="108">
        <f t="shared" si="22"/>
        <v>4304</v>
      </c>
      <c r="K70" s="188"/>
      <c r="L70" s="187">
        <v>2.52</v>
      </c>
      <c r="M70" s="187">
        <v>3.82</v>
      </c>
    </row>
    <row r="71" spans="1:13" x14ac:dyDescent="0.25">
      <c r="A71" s="139">
        <f t="shared" si="0"/>
        <v>62</v>
      </c>
      <c r="B71" s="118" t="str">
        <f t="shared" si="23"/>
        <v>53E - Company Owned</v>
      </c>
      <c r="C71" s="117" t="s">
        <v>13</v>
      </c>
      <c r="D71" s="117">
        <v>310</v>
      </c>
      <c r="E71" s="137">
        <f t="shared" si="19"/>
        <v>7.86</v>
      </c>
      <c r="F71" s="116">
        <f t="shared" si="20"/>
        <v>0.26</v>
      </c>
      <c r="G71" s="115">
        <v>192</v>
      </c>
      <c r="H71" s="108">
        <f t="shared" si="21"/>
        <v>1509</v>
      </c>
      <c r="I71" s="108">
        <f t="shared" si="22"/>
        <v>50</v>
      </c>
      <c r="K71" s="188"/>
      <c r="L71" s="187">
        <v>3.13</v>
      </c>
      <c r="M71" s="187">
        <v>4.7300000000000004</v>
      </c>
    </row>
    <row r="72" spans="1:13" x14ac:dyDescent="0.25">
      <c r="A72" s="139">
        <f t="shared" si="0"/>
        <v>63</v>
      </c>
      <c r="B72" s="118" t="str">
        <f t="shared" si="23"/>
        <v>53E - Company Owned</v>
      </c>
      <c r="C72" s="117" t="s">
        <v>13</v>
      </c>
      <c r="D72" s="117">
        <v>400</v>
      </c>
      <c r="E72" s="137">
        <f t="shared" si="19"/>
        <v>10.15</v>
      </c>
      <c r="F72" s="116">
        <f t="shared" si="20"/>
        <v>0.34</v>
      </c>
      <c r="G72" s="115">
        <v>11771</v>
      </c>
      <c r="H72" s="108">
        <f t="shared" si="21"/>
        <v>119476</v>
      </c>
      <c r="I72" s="108">
        <f t="shared" si="22"/>
        <v>4002</v>
      </c>
      <c r="K72" s="188"/>
      <c r="L72" s="187">
        <v>4.04</v>
      </c>
      <c r="M72" s="187">
        <v>6.11</v>
      </c>
    </row>
    <row r="73" spans="1:13" x14ac:dyDescent="0.25">
      <c r="A73" s="139">
        <f t="shared" si="0"/>
        <v>64</v>
      </c>
      <c r="B73" s="118" t="str">
        <f t="shared" si="23"/>
        <v>53E - Company Owned</v>
      </c>
      <c r="C73" s="117" t="s">
        <v>13</v>
      </c>
      <c r="D73" s="117">
        <v>1000</v>
      </c>
      <c r="E73" s="137">
        <f t="shared" si="19"/>
        <v>25.36</v>
      </c>
      <c r="F73" s="116">
        <f t="shared" si="20"/>
        <v>0.84</v>
      </c>
      <c r="G73" s="115"/>
      <c r="H73" s="108">
        <f t="shared" si="21"/>
        <v>0</v>
      </c>
      <c r="I73" s="108">
        <f t="shared" si="22"/>
        <v>0</v>
      </c>
      <c r="K73" s="188"/>
      <c r="L73" s="187">
        <v>10.09</v>
      </c>
      <c r="M73" s="187">
        <v>15.27</v>
      </c>
    </row>
    <row r="74" spans="1:13" x14ac:dyDescent="0.25">
      <c r="A74" s="139">
        <f t="shared" si="0"/>
        <v>65</v>
      </c>
      <c r="B74" s="118"/>
      <c r="C74" s="117"/>
      <c r="D74" s="117"/>
      <c r="E74" s="137"/>
      <c r="F74" s="119"/>
      <c r="G74" s="115"/>
      <c r="H74" s="115"/>
      <c r="I74" s="115"/>
      <c r="K74" s="188"/>
      <c r="L74" s="187"/>
      <c r="M74" s="187"/>
    </row>
    <row r="75" spans="1:13" x14ac:dyDescent="0.25">
      <c r="A75" s="139">
        <f t="shared" si="0"/>
        <v>66</v>
      </c>
      <c r="B75" s="118" t="str">
        <f>+B73</f>
        <v>53E - Company Owned</v>
      </c>
      <c r="C75" s="117" t="s">
        <v>200</v>
      </c>
      <c r="D75" s="117">
        <v>70</v>
      </c>
      <c r="E75" s="137">
        <f t="shared" ref="E75:E79" si="24">SUM(L75:M75)</f>
        <v>1.78</v>
      </c>
      <c r="F75" s="116">
        <f>ROUND(+E75*$J$10,2)</f>
        <v>0.06</v>
      </c>
      <c r="G75" s="115"/>
      <c r="H75" s="108">
        <f t="shared" ref="H75:H79" si="25">ROUND($G75*E75,0)</f>
        <v>0</v>
      </c>
      <c r="I75" s="108">
        <f t="shared" ref="I75:I79" si="26">ROUND($G75*F75,0)</f>
        <v>0</v>
      </c>
      <c r="K75" s="188"/>
      <c r="L75" s="187">
        <v>0.71</v>
      </c>
      <c r="M75" s="187">
        <v>1.07</v>
      </c>
    </row>
    <row r="76" spans="1:13" x14ac:dyDescent="0.25">
      <c r="A76" s="139">
        <f t="shared" ref="A76:A139" si="27">+A75+1</f>
        <v>67</v>
      </c>
      <c r="B76" s="118" t="str">
        <f>+B75</f>
        <v>53E - Company Owned</v>
      </c>
      <c r="C76" s="117" t="s">
        <v>200</v>
      </c>
      <c r="D76" s="117">
        <v>100</v>
      </c>
      <c r="E76" s="137">
        <f t="shared" si="24"/>
        <v>2.54</v>
      </c>
      <c r="F76" s="116">
        <f>ROUND(+E76*$J$10,2)</f>
        <v>0.08</v>
      </c>
      <c r="G76" s="115"/>
      <c r="H76" s="108">
        <f t="shared" si="25"/>
        <v>0</v>
      </c>
      <c r="I76" s="108">
        <f t="shared" si="26"/>
        <v>0</v>
      </c>
      <c r="K76" s="188"/>
      <c r="L76" s="187">
        <v>1.01</v>
      </c>
      <c r="M76" s="187">
        <v>1.53</v>
      </c>
    </row>
    <row r="77" spans="1:13" x14ac:dyDescent="0.25">
      <c r="A77" s="139">
        <f t="shared" si="27"/>
        <v>68</v>
      </c>
      <c r="B77" s="118" t="str">
        <f>+B76</f>
        <v>53E - Company Owned</v>
      </c>
      <c r="C77" s="117" t="s">
        <v>200</v>
      </c>
      <c r="D77" s="117">
        <v>150</v>
      </c>
      <c r="E77" s="137">
        <f t="shared" si="24"/>
        <v>3.8</v>
      </c>
      <c r="F77" s="116">
        <f>ROUND(+E77*$J$10,2)</f>
        <v>0.13</v>
      </c>
      <c r="G77" s="115"/>
      <c r="H77" s="108">
        <f t="shared" si="25"/>
        <v>0</v>
      </c>
      <c r="I77" s="108">
        <f t="shared" si="26"/>
        <v>0</v>
      </c>
      <c r="K77" s="188"/>
      <c r="L77" s="187">
        <v>1.51</v>
      </c>
      <c r="M77" s="187">
        <v>2.29</v>
      </c>
    </row>
    <row r="78" spans="1:13" x14ac:dyDescent="0.25">
      <c r="A78" s="139">
        <f t="shared" si="27"/>
        <v>69</v>
      </c>
      <c r="B78" s="118" t="str">
        <f>B77</f>
        <v>53E - Company Owned</v>
      </c>
      <c r="C78" s="117" t="s">
        <v>200</v>
      </c>
      <c r="D78" s="117">
        <v>250</v>
      </c>
      <c r="E78" s="137">
        <f t="shared" si="24"/>
        <v>6.34</v>
      </c>
      <c r="F78" s="116">
        <f>ROUND(+E78*$J$10,2)</f>
        <v>0.21</v>
      </c>
      <c r="G78" s="115"/>
      <c r="H78" s="108">
        <f t="shared" si="25"/>
        <v>0</v>
      </c>
      <c r="I78" s="108">
        <f t="shared" si="26"/>
        <v>0</v>
      </c>
      <c r="K78" s="188"/>
      <c r="L78" s="187">
        <v>2.52</v>
      </c>
      <c r="M78" s="187">
        <v>3.82</v>
      </c>
    </row>
    <row r="79" spans="1:13" x14ac:dyDescent="0.25">
      <c r="A79" s="139">
        <f t="shared" si="27"/>
        <v>70</v>
      </c>
      <c r="B79" s="118" t="str">
        <f>B78</f>
        <v>53E - Company Owned</v>
      </c>
      <c r="C79" s="117" t="s">
        <v>200</v>
      </c>
      <c r="D79" s="117">
        <v>400</v>
      </c>
      <c r="E79" s="137">
        <f t="shared" si="24"/>
        <v>10.15</v>
      </c>
      <c r="F79" s="116">
        <f>ROUND(+E79*$J$10,2)</f>
        <v>0.34</v>
      </c>
      <c r="G79" s="115"/>
      <c r="H79" s="108">
        <f t="shared" si="25"/>
        <v>0</v>
      </c>
      <c r="I79" s="108">
        <f t="shared" si="26"/>
        <v>0</v>
      </c>
      <c r="K79" s="188"/>
      <c r="L79" s="187">
        <v>4.04</v>
      </c>
      <c r="M79" s="187">
        <v>6.11</v>
      </c>
    </row>
    <row r="80" spans="1:13" x14ac:dyDescent="0.25">
      <c r="A80" s="139">
        <f t="shared" si="27"/>
        <v>71</v>
      </c>
      <c r="B80" s="118"/>
      <c r="C80" s="117"/>
      <c r="D80" s="117"/>
      <c r="E80" s="137"/>
      <c r="F80" s="119"/>
      <c r="G80" s="115"/>
      <c r="H80" s="115"/>
      <c r="I80" s="115"/>
      <c r="K80" s="188"/>
      <c r="L80" s="187"/>
      <c r="M80" s="187"/>
    </row>
    <row r="81" spans="1:13" x14ac:dyDescent="0.25">
      <c r="A81" s="139">
        <f t="shared" si="27"/>
        <v>72</v>
      </c>
      <c r="B81" s="118" t="str">
        <f>+B79</f>
        <v>53E - Company Owned</v>
      </c>
      <c r="C81" s="117" t="s">
        <v>184</v>
      </c>
      <c r="D81" s="121" t="s">
        <v>198</v>
      </c>
      <c r="E81" s="137">
        <f t="shared" ref="E81:E89" si="28">SUM(L81:M81)</f>
        <v>1.1399999999999999</v>
      </c>
      <c r="F81" s="116">
        <f t="shared" ref="F81:F89" si="29">ROUND(+E81*$J$10,2)</f>
        <v>0.04</v>
      </c>
      <c r="G81" s="115">
        <v>216829</v>
      </c>
      <c r="H81" s="108">
        <f t="shared" ref="H81:H89" si="30">ROUND($G81*E81,0)</f>
        <v>247185</v>
      </c>
      <c r="I81" s="108">
        <f t="shared" ref="I81:I89" si="31">ROUND($G81*F81,0)</f>
        <v>8673</v>
      </c>
      <c r="K81" s="188"/>
      <c r="L81" s="187">
        <v>0.45</v>
      </c>
      <c r="M81" s="187">
        <v>0.69</v>
      </c>
    </row>
    <row r="82" spans="1:13" x14ac:dyDescent="0.25">
      <c r="A82" s="139">
        <f t="shared" si="27"/>
        <v>73</v>
      </c>
      <c r="B82" s="118" t="str">
        <f t="shared" ref="B82:B89" si="32">B81</f>
        <v>53E - Company Owned</v>
      </c>
      <c r="C82" s="117" t="s">
        <v>184</v>
      </c>
      <c r="D82" s="121" t="s">
        <v>197</v>
      </c>
      <c r="E82" s="137">
        <f t="shared" si="28"/>
        <v>1.91</v>
      </c>
      <c r="F82" s="116">
        <f t="shared" si="29"/>
        <v>0.06</v>
      </c>
      <c r="G82" s="115">
        <v>1023</v>
      </c>
      <c r="H82" s="108">
        <f t="shared" si="30"/>
        <v>1954</v>
      </c>
      <c r="I82" s="108">
        <f t="shared" si="31"/>
        <v>61</v>
      </c>
      <c r="K82" s="188"/>
      <c r="L82" s="187">
        <v>0.76</v>
      </c>
      <c r="M82" s="187">
        <v>1.1499999999999999</v>
      </c>
    </row>
    <row r="83" spans="1:13" x14ac:dyDescent="0.25">
      <c r="A83" s="139">
        <f t="shared" si="27"/>
        <v>74</v>
      </c>
      <c r="B83" s="118" t="str">
        <f t="shared" si="32"/>
        <v>53E - Company Owned</v>
      </c>
      <c r="C83" s="117" t="s">
        <v>184</v>
      </c>
      <c r="D83" s="121" t="s">
        <v>196</v>
      </c>
      <c r="E83" s="137">
        <f t="shared" si="28"/>
        <v>2.66</v>
      </c>
      <c r="F83" s="116">
        <f t="shared" si="29"/>
        <v>0.09</v>
      </c>
      <c r="G83" s="115">
        <v>24149</v>
      </c>
      <c r="H83" s="108">
        <f t="shared" si="30"/>
        <v>64236</v>
      </c>
      <c r="I83" s="108">
        <f t="shared" si="31"/>
        <v>2173</v>
      </c>
      <c r="K83" s="188"/>
      <c r="L83" s="187">
        <v>1.06</v>
      </c>
      <c r="M83" s="187">
        <v>1.6</v>
      </c>
    </row>
    <row r="84" spans="1:13" x14ac:dyDescent="0.25">
      <c r="A84" s="139">
        <f t="shared" si="27"/>
        <v>75</v>
      </c>
      <c r="B84" s="118" t="str">
        <f t="shared" si="32"/>
        <v>53E - Company Owned</v>
      </c>
      <c r="C84" s="117" t="s">
        <v>184</v>
      </c>
      <c r="D84" s="121" t="s">
        <v>195</v>
      </c>
      <c r="E84" s="137">
        <f t="shared" si="28"/>
        <v>3.42</v>
      </c>
      <c r="F84" s="116">
        <f t="shared" si="29"/>
        <v>0.11</v>
      </c>
      <c r="G84" s="115">
        <v>21203</v>
      </c>
      <c r="H84" s="108">
        <f t="shared" si="30"/>
        <v>72514</v>
      </c>
      <c r="I84" s="108">
        <f t="shared" si="31"/>
        <v>2332</v>
      </c>
      <c r="K84" s="188"/>
      <c r="L84" s="187">
        <v>1.36</v>
      </c>
      <c r="M84" s="187">
        <v>2.06</v>
      </c>
    </row>
    <row r="85" spans="1:13" x14ac:dyDescent="0.25">
      <c r="A85" s="139">
        <f t="shared" si="27"/>
        <v>76</v>
      </c>
      <c r="B85" s="118" t="str">
        <f t="shared" si="32"/>
        <v>53E - Company Owned</v>
      </c>
      <c r="C85" s="117" t="s">
        <v>184</v>
      </c>
      <c r="D85" s="121" t="s">
        <v>194</v>
      </c>
      <c r="E85" s="137">
        <f t="shared" si="28"/>
        <v>4.1899999999999995</v>
      </c>
      <c r="F85" s="116">
        <f t="shared" si="29"/>
        <v>0.14000000000000001</v>
      </c>
      <c r="G85" s="115">
        <v>980</v>
      </c>
      <c r="H85" s="108">
        <f t="shared" si="30"/>
        <v>4106</v>
      </c>
      <c r="I85" s="108">
        <f t="shared" si="31"/>
        <v>137</v>
      </c>
      <c r="K85" s="188"/>
      <c r="L85" s="187">
        <v>1.67</v>
      </c>
      <c r="M85" s="187">
        <v>2.52</v>
      </c>
    </row>
    <row r="86" spans="1:13" x14ac:dyDescent="0.25">
      <c r="A86" s="139">
        <f t="shared" si="27"/>
        <v>77</v>
      </c>
      <c r="B86" s="118" t="str">
        <f t="shared" si="32"/>
        <v>53E - Company Owned</v>
      </c>
      <c r="C86" s="117" t="s">
        <v>184</v>
      </c>
      <c r="D86" s="121" t="s">
        <v>193</v>
      </c>
      <c r="E86" s="137">
        <f t="shared" si="28"/>
        <v>4.95</v>
      </c>
      <c r="F86" s="116">
        <f t="shared" si="29"/>
        <v>0.16</v>
      </c>
      <c r="G86" s="115">
        <v>5073</v>
      </c>
      <c r="H86" s="108">
        <f t="shared" si="30"/>
        <v>25111</v>
      </c>
      <c r="I86" s="108">
        <f t="shared" si="31"/>
        <v>812</v>
      </c>
      <c r="K86" s="188"/>
      <c r="L86" s="187">
        <v>1.97</v>
      </c>
      <c r="M86" s="187">
        <v>2.98</v>
      </c>
    </row>
    <row r="87" spans="1:13" x14ac:dyDescent="0.25">
      <c r="A87" s="139">
        <f t="shared" si="27"/>
        <v>78</v>
      </c>
      <c r="B87" s="118" t="str">
        <f t="shared" si="32"/>
        <v>53E - Company Owned</v>
      </c>
      <c r="C87" s="117" t="s">
        <v>184</v>
      </c>
      <c r="D87" s="121" t="s">
        <v>192</v>
      </c>
      <c r="E87" s="137">
        <f t="shared" si="28"/>
        <v>5.71</v>
      </c>
      <c r="F87" s="116">
        <f t="shared" si="29"/>
        <v>0.19</v>
      </c>
      <c r="G87" s="115">
        <v>56</v>
      </c>
      <c r="H87" s="108">
        <f t="shared" si="30"/>
        <v>320</v>
      </c>
      <c r="I87" s="108">
        <f t="shared" si="31"/>
        <v>11</v>
      </c>
      <c r="K87" s="188"/>
      <c r="L87" s="187">
        <v>2.27</v>
      </c>
      <c r="M87" s="187">
        <v>3.44</v>
      </c>
    </row>
    <row r="88" spans="1:13" x14ac:dyDescent="0.25">
      <c r="A88" s="139">
        <f t="shared" si="27"/>
        <v>79</v>
      </c>
      <c r="B88" s="118" t="str">
        <f t="shared" si="32"/>
        <v>53E - Company Owned</v>
      </c>
      <c r="C88" s="117" t="s">
        <v>184</v>
      </c>
      <c r="D88" s="121" t="s">
        <v>191</v>
      </c>
      <c r="E88" s="137">
        <f t="shared" si="28"/>
        <v>6.46</v>
      </c>
      <c r="F88" s="116">
        <f t="shared" si="29"/>
        <v>0.21</v>
      </c>
      <c r="G88" s="115">
        <v>288</v>
      </c>
      <c r="H88" s="108">
        <f t="shared" si="30"/>
        <v>1860</v>
      </c>
      <c r="I88" s="108">
        <f t="shared" si="31"/>
        <v>60</v>
      </c>
      <c r="K88" s="188"/>
      <c r="L88" s="187">
        <v>2.57</v>
      </c>
      <c r="M88" s="187">
        <v>3.89</v>
      </c>
    </row>
    <row r="89" spans="1:13" x14ac:dyDescent="0.25">
      <c r="A89" s="139">
        <f t="shared" si="27"/>
        <v>80</v>
      </c>
      <c r="B89" s="118" t="str">
        <f t="shared" si="32"/>
        <v>53E - Company Owned</v>
      </c>
      <c r="C89" s="117" t="s">
        <v>184</v>
      </c>
      <c r="D89" s="121" t="s">
        <v>190</v>
      </c>
      <c r="E89" s="137">
        <f t="shared" si="28"/>
        <v>7.2299999999999995</v>
      </c>
      <c r="F89" s="116">
        <f t="shared" si="29"/>
        <v>0.24</v>
      </c>
      <c r="G89" s="115">
        <v>1498</v>
      </c>
      <c r="H89" s="108">
        <f t="shared" si="30"/>
        <v>10831</v>
      </c>
      <c r="I89" s="108">
        <f t="shared" si="31"/>
        <v>360</v>
      </c>
      <c r="K89" s="188"/>
      <c r="L89" s="187">
        <v>2.88</v>
      </c>
      <c r="M89" s="187">
        <v>4.3499999999999996</v>
      </c>
    </row>
    <row r="90" spans="1:13" x14ac:dyDescent="0.25">
      <c r="A90" s="139">
        <f t="shared" si="27"/>
        <v>81</v>
      </c>
      <c r="B90" s="118"/>
      <c r="C90" s="117"/>
      <c r="D90" s="117"/>
      <c r="E90" s="137"/>
      <c r="F90" s="119"/>
      <c r="G90" s="115"/>
      <c r="H90" s="115"/>
      <c r="I90" s="115"/>
      <c r="K90" s="188"/>
      <c r="L90" s="187"/>
      <c r="M90" s="187"/>
    </row>
    <row r="91" spans="1:13" x14ac:dyDescent="0.25">
      <c r="A91" s="139">
        <f t="shared" si="27"/>
        <v>82</v>
      </c>
      <c r="B91" s="118" t="s">
        <v>208</v>
      </c>
      <c r="C91" s="117" t="s">
        <v>13</v>
      </c>
      <c r="D91" s="117">
        <v>50</v>
      </c>
      <c r="E91" s="137">
        <f t="shared" ref="E91:E99" si="33">SUM(L91:M91)</f>
        <v>1.26</v>
      </c>
      <c r="F91" s="116">
        <f t="shared" ref="F91:F99" si="34">ROUND(+E91*$J$10,2)</f>
        <v>0.04</v>
      </c>
      <c r="G91" s="115">
        <v>0</v>
      </c>
      <c r="H91" s="108">
        <f t="shared" ref="H91:H99" si="35">ROUND($G91*E91,0)</f>
        <v>0</v>
      </c>
      <c r="I91" s="108">
        <f t="shared" ref="I91:I99" si="36">ROUND($G91*F91,0)</f>
        <v>0</v>
      </c>
      <c r="K91" s="188"/>
      <c r="L91" s="187">
        <v>0.5</v>
      </c>
      <c r="M91" s="187">
        <v>0.76</v>
      </c>
    </row>
    <row r="92" spans="1:13" x14ac:dyDescent="0.25">
      <c r="A92" s="139">
        <f t="shared" si="27"/>
        <v>83</v>
      </c>
      <c r="B92" s="118" t="str">
        <f t="shared" ref="B92:B99" si="37">+B91</f>
        <v>53E - Customer Owned</v>
      </c>
      <c r="C92" s="117" t="s">
        <v>13</v>
      </c>
      <c r="D92" s="117">
        <v>70</v>
      </c>
      <c r="E92" s="137">
        <f t="shared" si="33"/>
        <v>1.78</v>
      </c>
      <c r="F92" s="116">
        <f t="shared" si="34"/>
        <v>0.06</v>
      </c>
      <c r="G92" s="115">
        <v>678</v>
      </c>
      <c r="H92" s="108">
        <f t="shared" si="35"/>
        <v>1207</v>
      </c>
      <c r="I92" s="108">
        <f t="shared" si="36"/>
        <v>41</v>
      </c>
      <c r="K92" s="188"/>
      <c r="L92" s="187">
        <v>0.71</v>
      </c>
      <c r="M92" s="187">
        <v>1.07</v>
      </c>
    </row>
    <row r="93" spans="1:13" x14ac:dyDescent="0.25">
      <c r="A93" s="139">
        <f t="shared" si="27"/>
        <v>84</v>
      </c>
      <c r="B93" s="118" t="str">
        <f t="shared" si="37"/>
        <v>53E - Customer Owned</v>
      </c>
      <c r="C93" s="117" t="s">
        <v>13</v>
      </c>
      <c r="D93" s="117">
        <v>100</v>
      </c>
      <c r="E93" s="137">
        <f t="shared" si="33"/>
        <v>2.54</v>
      </c>
      <c r="F93" s="116">
        <f t="shared" si="34"/>
        <v>0.08</v>
      </c>
      <c r="G93" s="115">
        <v>2968</v>
      </c>
      <c r="H93" s="108">
        <f t="shared" si="35"/>
        <v>7539</v>
      </c>
      <c r="I93" s="108">
        <f t="shared" si="36"/>
        <v>237</v>
      </c>
      <c r="K93" s="188"/>
      <c r="L93" s="187">
        <v>1.01</v>
      </c>
      <c r="M93" s="187">
        <v>1.53</v>
      </c>
    </row>
    <row r="94" spans="1:13" x14ac:dyDescent="0.25">
      <c r="A94" s="139">
        <f t="shared" si="27"/>
        <v>85</v>
      </c>
      <c r="B94" s="118" t="str">
        <f t="shared" si="37"/>
        <v>53E - Customer Owned</v>
      </c>
      <c r="C94" s="117" t="s">
        <v>13</v>
      </c>
      <c r="D94" s="117">
        <v>150</v>
      </c>
      <c r="E94" s="137">
        <f t="shared" si="33"/>
        <v>3.8</v>
      </c>
      <c r="F94" s="116">
        <f t="shared" si="34"/>
        <v>0.13</v>
      </c>
      <c r="G94" s="115">
        <v>1688</v>
      </c>
      <c r="H94" s="108">
        <f t="shared" si="35"/>
        <v>6414</v>
      </c>
      <c r="I94" s="108">
        <f t="shared" si="36"/>
        <v>219</v>
      </c>
      <c r="K94" s="188"/>
      <c r="L94" s="187">
        <v>1.51</v>
      </c>
      <c r="M94" s="187">
        <v>2.29</v>
      </c>
    </row>
    <row r="95" spans="1:13" x14ac:dyDescent="0.25">
      <c r="A95" s="139">
        <f t="shared" si="27"/>
        <v>86</v>
      </c>
      <c r="B95" s="118" t="str">
        <f t="shared" si="37"/>
        <v>53E - Customer Owned</v>
      </c>
      <c r="C95" s="117" t="s">
        <v>13</v>
      </c>
      <c r="D95" s="117">
        <v>200</v>
      </c>
      <c r="E95" s="137">
        <f t="shared" si="33"/>
        <v>5.07</v>
      </c>
      <c r="F95" s="116">
        <f t="shared" si="34"/>
        <v>0.17</v>
      </c>
      <c r="G95" s="115">
        <v>5011</v>
      </c>
      <c r="H95" s="108">
        <f t="shared" si="35"/>
        <v>25406</v>
      </c>
      <c r="I95" s="108">
        <f t="shared" si="36"/>
        <v>852</v>
      </c>
      <c r="K95" s="188"/>
      <c r="L95" s="187">
        <v>2.02</v>
      </c>
      <c r="M95" s="187">
        <v>3.05</v>
      </c>
    </row>
    <row r="96" spans="1:13" x14ac:dyDescent="0.25">
      <c r="A96" s="139">
        <f t="shared" si="27"/>
        <v>87</v>
      </c>
      <c r="B96" s="118" t="str">
        <f t="shared" si="37"/>
        <v>53E - Customer Owned</v>
      </c>
      <c r="C96" s="117" t="s">
        <v>13</v>
      </c>
      <c r="D96" s="117">
        <v>250</v>
      </c>
      <c r="E96" s="137">
        <f t="shared" si="33"/>
        <v>6.34</v>
      </c>
      <c r="F96" s="116">
        <f t="shared" si="34"/>
        <v>0.21</v>
      </c>
      <c r="G96" s="115">
        <v>3322</v>
      </c>
      <c r="H96" s="108">
        <f t="shared" si="35"/>
        <v>21061</v>
      </c>
      <c r="I96" s="108">
        <f t="shared" si="36"/>
        <v>698</v>
      </c>
      <c r="K96" s="188"/>
      <c r="L96" s="187">
        <v>2.52</v>
      </c>
      <c r="M96" s="187">
        <v>3.82</v>
      </c>
    </row>
    <row r="97" spans="1:13" x14ac:dyDescent="0.25">
      <c r="A97" s="139">
        <f t="shared" si="27"/>
        <v>88</v>
      </c>
      <c r="B97" s="118" t="str">
        <f t="shared" si="37"/>
        <v>53E - Customer Owned</v>
      </c>
      <c r="C97" s="117" t="s">
        <v>13</v>
      </c>
      <c r="D97" s="117">
        <v>310</v>
      </c>
      <c r="E97" s="137">
        <f t="shared" si="33"/>
        <v>7.86</v>
      </c>
      <c r="F97" s="116">
        <f t="shared" si="34"/>
        <v>0.26</v>
      </c>
      <c r="G97" s="115">
        <v>84</v>
      </c>
      <c r="H97" s="108">
        <f t="shared" si="35"/>
        <v>660</v>
      </c>
      <c r="I97" s="108">
        <f t="shared" si="36"/>
        <v>22</v>
      </c>
      <c r="K97" s="188"/>
      <c r="L97" s="187">
        <v>3.13</v>
      </c>
      <c r="M97" s="187">
        <v>4.7300000000000004</v>
      </c>
    </row>
    <row r="98" spans="1:13" x14ac:dyDescent="0.25">
      <c r="A98" s="139">
        <f t="shared" si="27"/>
        <v>89</v>
      </c>
      <c r="B98" s="118" t="str">
        <f t="shared" si="37"/>
        <v>53E - Customer Owned</v>
      </c>
      <c r="C98" s="117" t="s">
        <v>13</v>
      </c>
      <c r="D98" s="117">
        <v>400</v>
      </c>
      <c r="E98" s="137">
        <f t="shared" si="33"/>
        <v>10.15</v>
      </c>
      <c r="F98" s="116">
        <f t="shared" si="34"/>
        <v>0.34</v>
      </c>
      <c r="G98" s="115">
        <v>4950</v>
      </c>
      <c r="H98" s="108">
        <f t="shared" si="35"/>
        <v>50243</v>
      </c>
      <c r="I98" s="108">
        <f t="shared" si="36"/>
        <v>1683</v>
      </c>
      <c r="K98" s="188"/>
      <c r="L98" s="187">
        <v>4.04</v>
      </c>
      <c r="M98" s="187">
        <v>6.11</v>
      </c>
    </row>
    <row r="99" spans="1:13" x14ac:dyDescent="0.25">
      <c r="A99" s="139">
        <f t="shared" si="27"/>
        <v>90</v>
      </c>
      <c r="B99" s="118" t="str">
        <f t="shared" si="37"/>
        <v>53E - Customer Owned</v>
      </c>
      <c r="C99" s="117" t="s">
        <v>13</v>
      </c>
      <c r="D99" s="117">
        <v>1000</v>
      </c>
      <c r="E99" s="137">
        <f t="shared" si="33"/>
        <v>25.36</v>
      </c>
      <c r="F99" s="116">
        <f t="shared" si="34"/>
        <v>0.84</v>
      </c>
      <c r="G99" s="115"/>
      <c r="H99" s="108">
        <f t="shared" si="35"/>
        <v>0</v>
      </c>
      <c r="I99" s="108">
        <f t="shared" si="36"/>
        <v>0</v>
      </c>
      <c r="K99" s="188"/>
      <c r="L99" s="187">
        <v>10.09</v>
      </c>
      <c r="M99" s="187">
        <v>15.27</v>
      </c>
    </row>
    <row r="100" spans="1:13" x14ac:dyDescent="0.25">
      <c r="A100" s="139">
        <f t="shared" si="27"/>
        <v>91</v>
      </c>
      <c r="B100" s="118"/>
      <c r="C100" s="117"/>
      <c r="D100" s="117"/>
      <c r="E100" s="137"/>
      <c r="F100" s="119"/>
      <c r="G100" s="115"/>
      <c r="H100" s="115"/>
      <c r="I100" s="115"/>
      <c r="K100" s="188"/>
      <c r="L100" s="187"/>
      <c r="M100" s="187"/>
    </row>
    <row r="101" spans="1:13" x14ac:dyDescent="0.25">
      <c r="A101" s="139">
        <f t="shared" si="27"/>
        <v>92</v>
      </c>
      <c r="B101" s="118" t="str">
        <f>+B99</f>
        <v>53E - Customer Owned</v>
      </c>
      <c r="C101" s="117" t="s">
        <v>200</v>
      </c>
      <c r="D101" s="117">
        <v>70</v>
      </c>
      <c r="E101" s="137">
        <f t="shared" ref="E101:E106" si="38">SUM(L101:M101)</f>
        <v>1.78</v>
      </c>
      <c r="F101" s="116">
        <f t="shared" ref="F101:F106" si="39">ROUND(+E101*$J$10,2)</f>
        <v>0.06</v>
      </c>
      <c r="G101" s="115"/>
      <c r="H101" s="108">
        <f t="shared" ref="H101:H106" si="40">ROUND($G101*E101,0)</f>
        <v>0</v>
      </c>
      <c r="I101" s="108">
        <f t="shared" ref="I101:I106" si="41">ROUND($G101*F101,0)</f>
        <v>0</v>
      </c>
      <c r="K101" s="188"/>
      <c r="L101" s="187">
        <v>0.71</v>
      </c>
      <c r="M101" s="187">
        <v>1.07</v>
      </c>
    </row>
    <row r="102" spans="1:13" x14ac:dyDescent="0.25">
      <c r="A102" s="139">
        <f t="shared" si="27"/>
        <v>93</v>
      </c>
      <c r="B102" s="118" t="str">
        <f>+B101</f>
        <v>53E - Customer Owned</v>
      </c>
      <c r="C102" s="117" t="s">
        <v>200</v>
      </c>
      <c r="D102" s="117">
        <v>100</v>
      </c>
      <c r="E102" s="137">
        <f t="shared" si="38"/>
        <v>2.54</v>
      </c>
      <c r="F102" s="116">
        <f t="shared" si="39"/>
        <v>0.08</v>
      </c>
      <c r="G102" s="115"/>
      <c r="H102" s="108">
        <f t="shared" si="40"/>
        <v>0</v>
      </c>
      <c r="I102" s="108">
        <f t="shared" si="41"/>
        <v>0</v>
      </c>
      <c r="K102" s="188"/>
      <c r="L102" s="187">
        <v>1.01</v>
      </c>
      <c r="M102" s="187">
        <v>1.53</v>
      </c>
    </row>
    <row r="103" spans="1:13" x14ac:dyDescent="0.25">
      <c r="A103" s="139">
        <f t="shared" si="27"/>
        <v>94</v>
      </c>
      <c r="B103" s="118" t="str">
        <f>+B102</f>
        <v>53E - Customer Owned</v>
      </c>
      <c r="C103" s="117" t="s">
        <v>200</v>
      </c>
      <c r="D103" s="117">
        <v>150</v>
      </c>
      <c r="E103" s="137">
        <f t="shared" si="38"/>
        <v>3.8</v>
      </c>
      <c r="F103" s="116">
        <f t="shared" si="39"/>
        <v>0.13</v>
      </c>
      <c r="G103" s="115"/>
      <c r="H103" s="108">
        <f t="shared" si="40"/>
        <v>0</v>
      </c>
      <c r="I103" s="108">
        <f t="shared" si="41"/>
        <v>0</v>
      </c>
      <c r="K103" s="188"/>
      <c r="L103" s="187">
        <v>1.51</v>
      </c>
      <c r="M103" s="187">
        <v>2.29</v>
      </c>
    </row>
    <row r="104" spans="1:13" x14ac:dyDescent="0.25">
      <c r="A104" s="139">
        <f t="shared" si="27"/>
        <v>95</v>
      </c>
      <c r="B104" s="118" t="str">
        <f>+B103</f>
        <v>53E - Customer Owned</v>
      </c>
      <c r="C104" s="117" t="s">
        <v>200</v>
      </c>
      <c r="D104" s="117">
        <v>175</v>
      </c>
      <c r="E104" s="137">
        <f t="shared" si="38"/>
        <v>4.4399999999999995</v>
      </c>
      <c r="F104" s="116">
        <f t="shared" si="39"/>
        <v>0.15</v>
      </c>
      <c r="G104" s="115">
        <v>48</v>
      </c>
      <c r="H104" s="108">
        <f t="shared" si="40"/>
        <v>213</v>
      </c>
      <c r="I104" s="108">
        <f t="shared" si="41"/>
        <v>7</v>
      </c>
      <c r="K104" s="188"/>
      <c r="L104" s="187">
        <v>1.77</v>
      </c>
      <c r="M104" s="187">
        <v>2.67</v>
      </c>
    </row>
    <row r="105" spans="1:13" x14ac:dyDescent="0.25">
      <c r="A105" s="139">
        <f t="shared" si="27"/>
        <v>96</v>
      </c>
      <c r="B105" s="118" t="str">
        <f>+B104</f>
        <v>53E - Customer Owned</v>
      </c>
      <c r="C105" s="117" t="s">
        <v>200</v>
      </c>
      <c r="D105" s="117">
        <v>250</v>
      </c>
      <c r="E105" s="137">
        <f t="shared" si="38"/>
        <v>6.34</v>
      </c>
      <c r="F105" s="116">
        <f t="shared" si="39"/>
        <v>0.21</v>
      </c>
      <c r="G105" s="115"/>
      <c r="H105" s="108">
        <f t="shared" si="40"/>
        <v>0</v>
      </c>
      <c r="I105" s="108">
        <f t="shared" si="41"/>
        <v>0</v>
      </c>
      <c r="K105" s="188"/>
      <c r="L105" s="187">
        <v>2.52</v>
      </c>
      <c r="M105" s="187">
        <v>3.82</v>
      </c>
    </row>
    <row r="106" spans="1:13" x14ac:dyDescent="0.25">
      <c r="A106" s="139">
        <f t="shared" si="27"/>
        <v>97</v>
      </c>
      <c r="B106" s="118" t="str">
        <f>+B105</f>
        <v>53E - Customer Owned</v>
      </c>
      <c r="C106" s="117" t="s">
        <v>200</v>
      </c>
      <c r="D106" s="117">
        <v>400</v>
      </c>
      <c r="E106" s="137">
        <f t="shared" si="38"/>
        <v>10.15</v>
      </c>
      <c r="F106" s="116">
        <f t="shared" si="39"/>
        <v>0.34</v>
      </c>
      <c r="G106" s="115"/>
      <c r="H106" s="108">
        <f t="shared" si="40"/>
        <v>0</v>
      </c>
      <c r="I106" s="108">
        <f t="shared" si="41"/>
        <v>0</v>
      </c>
      <c r="K106" s="188"/>
      <c r="L106" s="187">
        <v>4.04</v>
      </c>
      <c r="M106" s="187">
        <v>6.11</v>
      </c>
    </row>
    <row r="107" spans="1:13" x14ac:dyDescent="0.25">
      <c r="A107" s="139">
        <f t="shared" si="27"/>
        <v>98</v>
      </c>
      <c r="B107" s="118"/>
      <c r="C107" s="117"/>
      <c r="D107" s="117"/>
      <c r="E107" s="137"/>
      <c r="F107" s="119"/>
      <c r="G107" s="115"/>
      <c r="H107" s="115"/>
      <c r="I107" s="115"/>
      <c r="K107" s="188"/>
      <c r="L107" s="187"/>
      <c r="M107" s="187"/>
    </row>
    <row r="108" spans="1:13" x14ac:dyDescent="0.25">
      <c r="A108" s="139">
        <f t="shared" si="27"/>
        <v>99</v>
      </c>
      <c r="B108" s="118" t="str">
        <f>+B106</f>
        <v>53E - Customer Owned</v>
      </c>
      <c r="C108" s="117" t="s">
        <v>184</v>
      </c>
      <c r="D108" s="121" t="s">
        <v>198</v>
      </c>
      <c r="E108" s="137">
        <f t="shared" ref="E108:E116" si="42">SUM(L108:M108)</f>
        <v>1.1399999999999999</v>
      </c>
      <c r="F108" s="116">
        <f t="shared" ref="F108:F116" si="43">ROUND(+E108*$J$10,2)</f>
        <v>0.04</v>
      </c>
      <c r="G108" s="115">
        <v>7298</v>
      </c>
      <c r="H108" s="108">
        <f t="shared" ref="H108:H116" si="44">ROUND($G108*E108,0)</f>
        <v>8320</v>
      </c>
      <c r="I108" s="108">
        <f t="shared" ref="I108:I116" si="45">ROUND($G108*F108,0)</f>
        <v>292</v>
      </c>
      <c r="K108" s="188"/>
      <c r="L108" s="187">
        <v>0.45</v>
      </c>
      <c r="M108" s="187">
        <v>0.69</v>
      </c>
    </row>
    <row r="109" spans="1:13" x14ac:dyDescent="0.25">
      <c r="A109" s="139">
        <f t="shared" si="27"/>
        <v>100</v>
      </c>
      <c r="B109" s="118" t="str">
        <f t="shared" ref="B109:B116" si="46">B108</f>
        <v>53E - Customer Owned</v>
      </c>
      <c r="C109" s="117" t="s">
        <v>184</v>
      </c>
      <c r="D109" s="121" t="s">
        <v>197</v>
      </c>
      <c r="E109" s="137">
        <f t="shared" si="42"/>
        <v>1.91</v>
      </c>
      <c r="F109" s="116">
        <f t="shared" si="43"/>
        <v>0.06</v>
      </c>
      <c r="G109" s="115">
        <v>7502</v>
      </c>
      <c r="H109" s="108">
        <f t="shared" si="44"/>
        <v>14329</v>
      </c>
      <c r="I109" s="108">
        <f t="shared" si="45"/>
        <v>450</v>
      </c>
      <c r="K109" s="188"/>
      <c r="L109" s="187">
        <v>0.76</v>
      </c>
      <c r="M109" s="187">
        <v>1.1499999999999999</v>
      </c>
    </row>
    <row r="110" spans="1:13" x14ac:dyDescent="0.25">
      <c r="A110" s="139">
        <f t="shared" si="27"/>
        <v>101</v>
      </c>
      <c r="B110" s="118" t="str">
        <f t="shared" si="46"/>
        <v>53E - Customer Owned</v>
      </c>
      <c r="C110" s="117" t="s">
        <v>184</v>
      </c>
      <c r="D110" s="121" t="s">
        <v>196</v>
      </c>
      <c r="E110" s="137">
        <f t="shared" si="42"/>
        <v>2.66</v>
      </c>
      <c r="F110" s="116">
        <f t="shared" si="43"/>
        <v>0.09</v>
      </c>
      <c r="G110" s="115">
        <v>10108</v>
      </c>
      <c r="H110" s="108">
        <f t="shared" si="44"/>
        <v>26887</v>
      </c>
      <c r="I110" s="108">
        <f t="shared" si="45"/>
        <v>910</v>
      </c>
      <c r="K110" s="188"/>
      <c r="L110" s="187">
        <v>1.06</v>
      </c>
      <c r="M110" s="187">
        <v>1.6</v>
      </c>
    </row>
    <row r="111" spans="1:13" x14ac:dyDescent="0.25">
      <c r="A111" s="139">
        <f t="shared" si="27"/>
        <v>102</v>
      </c>
      <c r="B111" s="118" t="str">
        <f t="shared" si="46"/>
        <v>53E - Customer Owned</v>
      </c>
      <c r="C111" s="117" t="s">
        <v>184</v>
      </c>
      <c r="D111" s="121" t="s">
        <v>195</v>
      </c>
      <c r="E111" s="137">
        <f t="shared" si="42"/>
        <v>3.42</v>
      </c>
      <c r="F111" s="116">
        <f t="shared" si="43"/>
        <v>0.11</v>
      </c>
      <c r="G111" s="115">
        <v>984</v>
      </c>
      <c r="H111" s="108">
        <f t="shared" si="44"/>
        <v>3365</v>
      </c>
      <c r="I111" s="108">
        <f t="shared" si="45"/>
        <v>108</v>
      </c>
      <c r="K111" s="188"/>
      <c r="L111" s="187">
        <v>1.36</v>
      </c>
      <c r="M111" s="187">
        <v>2.06</v>
      </c>
    </row>
    <row r="112" spans="1:13" x14ac:dyDescent="0.25">
      <c r="A112" s="139">
        <f t="shared" si="27"/>
        <v>103</v>
      </c>
      <c r="B112" s="118" t="str">
        <f t="shared" si="46"/>
        <v>53E - Customer Owned</v>
      </c>
      <c r="C112" s="117" t="s">
        <v>184</v>
      </c>
      <c r="D112" s="121" t="s">
        <v>194</v>
      </c>
      <c r="E112" s="137">
        <f t="shared" si="42"/>
        <v>4.1899999999999995</v>
      </c>
      <c r="F112" s="116">
        <f t="shared" si="43"/>
        <v>0.14000000000000001</v>
      </c>
      <c r="G112" s="115">
        <v>15828</v>
      </c>
      <c r="H112" s="108">
        <f t="shared" si="44"/>
        <v>66319</v>
      </c>
      <c r="I112" s="108">
        <f t="shared" si="45"/>
        <v>2216</v>
      </c>
      <c r="K112" s="188"/>
      <c r="L112" s="187">
        <v>1.67</v>
      </c>
      <c r="M112" s="187">
        <v>2.52</v>
      </c>
    </row>
    <row r="113" spans="1:13" x14ac:dyDescent="0.25">
      <c r="A113" s="139">
        <f t="shared" si="27"/>
        <v>104</v>
      </c>
      <c r="B113" s="118" t="str">
        <f t="shared" si="46"/>
        <v>53E - Customer Owned</v>
      </c>
      <c r="C113" s="117" t="s">
        <v>184</v>
      </c>
      <c r="D113" s="121" t="s">
        <v>193</v>
      </c>
      <c r="E113" s="137">
        <f t="shared" si="42"/>
        <v>4.95</v>
      </c>
      <c r="F113" s="116">
        <f t="shared" si="43"/>
        <v>0.16</v>
      </c>
      <c r="G113" s="115">
        <v>1236</v>
      </c>
      <c r="H113" s="108">
        <f t="shared" si="44"/>
        <v>6118</v>
      </c>
      <c r="I113" s="108">
        <f t="shared" si="45"/>
        <v>198</v>
      </c>
      <c r="K113" s="188"/>
      <c r="L113" s="187">
        <v>1.97</v>
      </c>
      <c r="M113" s="187">
        <v>2.98</v>
      </c>
    </row>
    <row r="114" spans="1:13" x14ac:dyDescent="0.25">
      <c r="A114" s="139">
        <f t="shared" si="27"/>
        <v>105</v>
      </c>
      <c r="B114" s="118" t="str">
        <f t="shared" si="46"/>
        <v>53E - Customer Owned</v>
      </c>
      <c r="C114" s="117" t="s">
        <v>184</v>
      </c>
      <c r="D114" s="121" t="s">
        <v>192</v>
      </c>
      <c r="E114" s="137">
        <f t="shared" si="42"/>
        <v>5.71</v>
      </c>
      <c r="F114" s="116">
        <f t="shared" si="43"/>
        <v>0.19</v>
      </c>
      <c r="G114" s="115"/>
      <c r="H114" s="108">
        <f t="shared" si="44"/>
        <v>0</v>
      </c>
      <c r="I114" s="108">
        <f t="shared" si="45"/>
        <v>0</v>
      </c>
      <c r="K114" s="188"/>
      <c r="L114" s="187">
        <v>2.27</v>
      </c>
      <c r="M114" s="187">
        <v>3.44</v>
      </c>
    </row>
    <row r="115" spans="1:13" x14ac:dyDescent="0.25">
      <c r="A115" s="139">
        <f t="shared" si="27"/>
        <v>106</v>
      </c>
      <c r="B115" s="118" t="str">
        <f t="shared" si="46"/>
        <v>53E - Customer Owned</v>
      </c>
      <c r="C115" s="117" t="s">
        <v>184</v>
      </c>
      <c r="D115" s="121" t="s">
        <v>191</v>
      </c>
      <c r="E115" s="137">
        <f t="shared" si="42"/>
        <v>6.46</v>
      </c>
      <c r="F115" s="116">
        <f t="shared" si="43"/>
        <v>0.21</v>
      </c>
      <c r="G115" s="115"/>
      <c r="H115" s="108">
        <f t="shared" si="44"/>
        <v>0</v>
      </c>
      <c r="I115" s="108">
        <f t="shared" si="45"/>
        <v>0</v>
      </c>
      <c r="K115" s="188"/>
      <c r="L115" s="187">
        <v>2.57</v>
      </c>
      <c r="M115" s="187">
        <v>3.89</v>
      </c>
    </row>
    <row r="116" spans="1:13" x14ac:dyDescent="0.25">
      <c r="A116" s="139">
        <f t="shared" si="27"/>
        <v>107</v>
      </c>
      <c r="B116" s="118" t="str">
        <f t="shared" si="46"/>
        <v>53E - Customer Owned</v>
      </c>
      <c r="C116" s="117" t="s">
        <v>184</v>
      </c>
      <c r="D116" s="121" t="s">
        <v>190</v>
      </c>
      <c r="E116" s="137">
        <f t="shared" si="42"/>
        <v>7.2299999999999995</v>
      </c>
      <c r="F116" s="116">
        <f t="shared" si="43"/>
        <v>0.24</v>
      </c>
      <c r="G116" s="115"/>
      <c r="H116" s="108">
        <f t="shared" si="44"/>
        <v>0</v>
      </c>
      <c r="I116" s="108">
        <f t="shared" si="45"/>
        <v>0</v>
      </c>
      <c r="K116" s="188"/>
      <c r="L116" s="187">
        <v>2.88</v>
      </c>
      <c r="M116" s="187">
        <v>4.3499999999999996</v>
      </c>
    </row>
    <row r="117" spans="1:13" x14ac:dyDescent="0.25">
      <c r="A117" s="139">
        <f t="shared" si="27"/>
        <v>108</v>
      </c>
      <c r="B117" s="120"/>
      <c r="C117" s="117"/>
      <c r="D117" s="117"/>
      <c r="E117" s="137"/>
      <c r="F117" s="119"/>
      <c r="G117" s="115"/>
      <c r="H117" s="115"/>
      <c r="I117" s="115"/>
      <c r="K117" s="188"/>
      <c r="L117" s="187"/>
      <c r="M117" s="187"/>
    </row>
    <row r="118" spans="1:13" x14ac:dyDescent="0.25">
      <c r="A118" s="139">
        <f t="shared" si="27"/>
        <v>109</v>
      </c>
      <c r="B118" s="110" t="s">
        <v>207</v>
      </c>
      <c r="C118" s="110"/>
      <c r="D118" s="110"/>
      <c r="E118" s="137"/>
      <c r="F118" s="119"/>
      <c r="G118" s="115"/>
      <c r="H118" s="115"/>
      <c r="I118" s="115"/>
      <c r="K118" s="188"/>
      <c r="L118" s="187"/>
      <c r="M118" s="187"/>
    </row>
    <row r="119" spans="1:13" x14ac:dyDescent="0.25">
      <c r="A119" s="139">
        <f t="shared" si="27"/>
        <v>110</v>
      </c>
      <c r="B119" s="118" t="s">
        <v>206</v>
      </c>
      <c r="C119" s="117" t="s">
        <v>13</v>
      </c>
      <c r="D119" s="117">
        <v>50</v>
      </c>
      <c r="E119" s="137">
        <f t="shared" ref="E119:E127" si="47">SUM(L119:M119)</f>
        <v>1.26</v>
      </c>
      <c r="F119" s="116">
        <f t="shared" ref="F119:F127" si="48">ROUND(+E119*$J$10,2)</f>
        <v>0.04</v>
      </c>
      <c r="G119" s="115">
        <v>456</v>
      </c>
      <c r="H119" s="108">
        <f t="shared" ref="H119:H127" si="49">ROUND($G119*E119,0)</f>
        <v>575</v>
      </c>
      <c r="I119" s="108">
        <f t="shared" ref="I119:I127" si="50">ROUND($G119*F119,0)</f>
        <v>18</v>
      </c>
      <c r="K119" s="188"/>
      <c r="L119" s="187">
        <v>0.5</v>
      </c>
      <c r="M119" s="187">
        <v>0.76</v>
      </c>
    </row>
    <row r="120" spans="1:13" x14ac:dyDescent="0.25">
      <c r="A120" s="139">
        <f t="shared" si="27"/>
        <v>111</v>
      </c>
      <c r="B120" s="118" t="str">
        <f t="shared" ref="B120:B127" si="51">+B119</f>
        <v>54E</v>
      </c>
      <c r="C120" s="117" t="s">
        <v>13</v>
      </c>
      <c r="D120" s="117">
        <v>70</v>
      </c>
      <c r="E120" s="137">
        <f t="shared" si="47"/>
        <v>1.78</v>
      </c>
      <c r="F120" s="116">
        <f t="shared" si="48"/>
        <v>0.06</v>
      </c>
      <c r="G120" s="115">
        <v>8710</v>
      </c>
      <c r="H120" s="108">
        <f t="shared" si="49"/>
        <v>15504</v>
      </c>
      <c r="I120" s="108">
        <f t="shared" si="50"/>
        <v>523</v>
      </c>
      <c r="K120" s="188"/>
      <c r="L120" s="187">
        <v>0.71</v>
      </c>
      <c r="M120" s="187">
        <v>1.07</v>
      </c>
    </row>
    <row r="121" spans="1:13" x14ac:dyDescent="0.25">
      <c r="A121" s="139">
        <f t="shared" si="27"/>
        <v>112</v>
      </c>
      <c r="B121" s="118" t="str">
        <f t="shared" si="51"/>
        <v>54E</v>
      </c>
      <c r="C121" s="117" t="s">
        <v>13</v>
      </c>
      <c r="D121" s="117">
        <v>100</v>
      </c>
      <c r="E121" s="137">
        <f t="shared" si="47"/>
        <v>2.54</v>
      </c>
      <c r="F121" s="116">
        <f t="shared" si="48"/>
        <v>0.08</v>
      </c>
      <c r="G121" s="115">
        <v>20390</v>
      </c>
      <c r="H121" s="108">
        <f t="shared" si="49"/>
        <v>51791</v>
      </c>
      <c r="I121" s="108">
        <f t="shared" si="50"/>
        <v>1631</v>
      </c>
      <c r="K121" s="188"/>
      <c r="L121" s="187">
        <v>1.01</v>
      </c>
      <c r="M121" s="187">
        <v>1.53</v>
      </c>
    </row>
    <row r="122" spans="1:13" x14ac:dyDescent="0.25">
      <c r="A122" s="139">
        <f t="shared" si="27"/>
        <v>113</v>
      </c>
      <c r="B122" s="118" t="str">
        <f t="shared" si="51"/>
        <v>54E</v>
      </c>
      <c r="C122" s="117" t="s">
        <v>13</v>
      </c>
      <c r="D122" s="117">
        <v>150</v>
      </c>
      <c r="E122" s="137">
        <f t="shared" si="47"/>
        <v>3.8</v>
      </c>
      <c r="F122" s="116">
        <f t="shared" si="48"/>
        <v>0.13</v>
      </c>
      <c r="G122" s="115">
        <v>6009</v>
      </c>
      <c r="H122" s="108">
        <f t="shared" si="49"/>
        <v>22834</v>
      </c>
      <c r="I122" s="108">
        <f t="shared" si="50"/>
        <v>781</v>
      </c>
      <c r="K122" s="188"/>
      <c r="L122" s="187">
        <v>1.51</v>
      </c>
      <c r="M122" s="187">
        <v>2.29</v>
      </c>
    </row>
    <row r="123" spans="1:13" x14ac:dyDescent="0.25">
      <c r="A123" s="139">
        <f t="shared" si="27"/>
        <v>114</v>
      </c>
      <c r="B123" s="118" t="str">
        <f t="shared" si="51"/>
        <v>54E</v>
      </c>
      <c r="C123" s="117" t="s">
        <v>13</v>
      </c>
      <c r="D123" s="117">
        <v>200</v>
      </c>
      <c r="E123" s="137">
        <f t="shared" si="47"/>
        <v>5.07</v>
      </c>
      <c r="F123" s="116">
        <f t="shared" si="48"/>
        <v>0.17</v>
      </c>
      <c r="G123" s="115">
        <v>7949</v>
      </c>
      <c r="H123" s="108">
        <f t="shared" si="49"/>
        <v>40301</v>
      </c>
      <c r="I123" s="108">
        <f t="shared" si="50"/>
        <v>1351</v>
      </c>
      <c r="K123" s="188"/>
      <c r="L123" s="187">
        <v>2.02</v>
      </c>
      <c r="M123" s="187">
        <v>3.05</v>
      </c>
    </row>
    <row r="124" spans="1:13" x14ac:dyDescent="0.25">
      <c r="A124" s="139">
        <f t="shared" si="27"/>
        <v>115</v>
      </c>
      <c r="B124" s="118" t="str">
        <f t="shared" si="51"/>
        <v>54E</v>
      </c>
      <c r="C124" s="117" t="s">
        <v>13</v>
      </c>
      <c r="D124" s="117">
        <v>250</v>
      </c>
      <c r="E124" s="137">
        <f t="shared" si="47"/>
        <v>6.34</v>
      </c>
      <c r="F124" s="116">
        <f t="shared" si="48"/>
        <v>0.21</v>
      </c>
      <c r="G124" s="115">
        <v>18108</v>
      </c>
      <c r="H124" s="108">
        <f t="shared" si="49"/>
        <v>114805</v>
      </c>
      <c r="I124" s="108">
        <f t="shared" si="50"/>
        <v>3803</v>
      </c>
      <c r="K124" s="188"/>
      <c r="L124" s="187">
        <v>2.52</v>
      </c>
      <c r="M124" s="187">
        <v>3.82</v>
      </c>
    </row>
    <row r="125" spans="1:13" x14ac:dyDescent="0.25">
      <c r="A125" s="139">
        <f t="shared" si="27"/>
        <v>116</v>
      </c>
      <c r="B125" s="118" t="str">
        <f t="shared" si="51"/>
        <v>54E</v>
      </c>
      <c r="C125" s="117" t="s">
        <v>13</v>
      </c>
      <c r="D125" s="117">
        <v>310</v>
      </c>
      <c r="E125" s="137">
        <f t="shared" si="47"/>
        <v>7.86</v>
      </c>
      <c r="F125" s="116">
        <f t="shared" si="48"/>
        <v>0.26</v>
      </c>
      <c r="G125" s="115">
        <v>925</v>
      </c>
      <c r="H125" s="108">
        <f t="shared" si="49"/>
        <v>7271</v>
      </c>
      <c r="I125" s="108">
        <f t="shared" si="50"/>
        <v>241</v>
      </c>
      <c r="K125" s="188"/>
      <c r="L125" s="187">
        <v>3.13</v>
      </c>
      <c r="M125" s="187">
        <v>4.7300000000000004</v>
      </c>
    </row>
    <row r="126" spans="1:13" x14ac:dyDescent="0.25">
      <c r="A126" s="139">
        <f t="shared" si="27"/>
        <v>117</v>
      </c>
      <c r="B126" s="118" t="str">
        <f t="shared" si="51"/>
        <v>54E</v>
      </c>
      <c r="C126" s="117" t="s">
        <v>13</v>
      </c>
      <c r="D126" s="117">
        <v>400</v>
      </c>
      <c r="E126" s="137">
        <f t="shared" si="47"/>
        <v>10.15</v>
      </c>
      <c r="F126" s="116">
        <f t="shared" si="48"/>
        <v>0.34</v>
      </c>
      <c r="G126" s="115">
        <v>8875</v>
      </c>
      <c r="H126" s="108">
        <f t="shared" si="49"/>
        <v>90081</v>
      </c>
      <c r="I126" s="108">
        <f t="shared" si="50"/>
        <v>3018</v>
      </c>
      <c r="K126" s="188"/>
      <c r="L126" s="187">
        <v>4.04</v>
      </c>
      <c r="M126" s="187">
        <v>6.11</v>
      </c>
    </row>
    <row r="127" spans="1:13" x14ac:dyDescent="0.25">
      <c r="A127" s="139">
        <f t="shared" si="27"/>
        <v>118</v>
      </c>
      <c r="B127" s="118" t="str">
        <f t="shared" si="51"/>
        <v>54E</v>
      </c>
      <c r="C127" s="117" t="s">
        <v>13</v>
      </c>
      <c r="D127" s="117">
        <v>1000</v>
      </c>
      <c r="E127" s="137">
        <f t="shared" si="47"/>
        <v>25.36</v>
      </c>
      <c r="F127" s="116">
        <f t="shared" si="48"/>
        <v>0.84</v>
      </c>
      <c r="G127" s="115">
        <v>132</v>
      </c>
      <c r="H127" s="108">
        <f t="shared" si="49"/>
        <v>3348</v>
      </c>
      <c r="I127" s="108">
        <f t="shared" si="50"/>
        <v>111</v>
      </c>
      <c r="K127" s="188"/>
      <c r="L127" s="187">
        <v>10.09</v>
      </c>
      <c r="M127" s="187">
        <v>15.27</v>
      </c>
    </row>
    <row r="128" spans="1:13" x14ac:dyDescent="0.25">
      <c r="A128" s="139">
        <f t="shared" si="27"/>
        <v>119</v>
      </c>
      <c r="B128" s="120"/>
      <c r="C128" s="117"/>
      <c r="D128" s="117"/>
      <c r="E128" s="137"/>
      <c r="F128" s="119"/>
      <c r="G128" s="115"/>
      <c r="H128" s="115"/>
      <c r="I128" s="115"/>
      <c r="K128" s="188"/>
      <c r="L128" s="187"/>
      <c r="M128" s="187"/>
    </row>
    <row r="129" spans="1:13" x14ac:dyDescent="0.25">
      <c r="A129" s="139">
        <f t="shared" si="27"/>
        <v>120</v>
      </c>
      <c r="B129" s="120"/>
      <c r="C129" s="117"/>
      <c r="D129" s="117"/>
      <c r="E129" s="137"/>
      <c r="F129" s="119"/>
      <c r="G129" s="115"/>
      <c r="H129" s="115"/>
      <c r="I129" s="115"/>
      <c r="K129" s="188"/>
      <c r="L129" s="187"/>
      <c r="M129" s="187"/>
    </row>
    <row r="130" spans="1:13" x14ac:dyDescent="0.25">
      <c r="A130" s="139">
        <f t="shared" si="27"/>
        <v>121</v>
      </c>
      <c r="B130" s="118" t="str">
        <f>+B127</f>
        <v>54E</v>
      </c>
      <c r="C130" s="117" t="s">
        <v>184</v>
      </c>
      <c r="D130" s="121" t="s">
        <v>198</v>
      </c>
      <c r="E130" s="137">
        <f t="shared" ref="E130:E138" si="52">SUM(L130:M130)</f>
        <v>1.1399999999999999</v>
      </c>
      <c r="F130" s="116">
        <f t="shared" ref="F130:F138" si="53">ROUND(+E130*$J$10,2)</f>
        <v>0.04</v>
      </c>
      <c r="G130" s="115">
        <v>19802</v>
      </c>
      <c r="H130" s="108">
        <f t="shared" ref="H130:H138" si="54">ROUND($G130*E130,0)</f>
        <v>22574</v>
      </c>
      <c r="I130" s="108">
        <f t="shared" ref="I130:I138" si="55">ROUND($G130*F130,0)</f>
        <v>792</v>
      </c>
      <c r="K130" s="188"/>
      <c r="L130" s="187">
        <v>0.45</v>
      </c>
      <c r="M130" s="187">
        <v>0.69</v>
      </c>
    </row>
    <row r="131" spans="1:13" x14ac:dyDescent="0.25">
      <c r="A131" s="139">
        <f t="shared" si="27"/>
        <v>122</v>
      </c>
      <c r="B131" s="118" t="str">
        <f t="shared" ref="B131:B138" si="56">+B130</f>
        <v>54E</v>
      </c>
      <c r="C131" s="117" t="s">
        <v>184</v>
      </c>
      <c r="D131" s="121" t="s">
        <v>197</v>
      </c>
      <c r="E131" s="137">
        <f t="shared" si="52"/>
        <v>1.91</v>
      </c>
      <c r="F131" s="116">
        <f t="shared" si="53"/>
        <v>0.06</v>
      </c>
      <c r="G131" s="115">
        <v>1611</v>
      </c>
      <c r="H131" s="108">
        <f t="shared" si="54"/>
        <v>3077</v>
      </c>
      <c r="I131" s="108">
        <f t="shared" si="55"/>
        <v>97</v>
      </c>
      <c r="K131" s="188"/>
      <c r="L131" s="187">
        <v>0.76</v>
      </c>
      <c r="M131" s="187">
        <v>1.1499999999999999</v>
      </c>
    </row>
    <row r="132" spans="1:13" x14ac:dyDescent="0.25">
      <c r="A132" s="139">
        <f t="shared" si="27"/>
        <v>123</v>
      </c>
      <c r="B132" s="118" t="str">
        <f t="shared" si="56"/>
        <v>54E</v>
      </c>
      <c r="C132" s="117" t="s">
        <v>184</v>
      </c>
      <c r="D132" s="121" t="s">
        <v>196</v>
      </c>
      <c r="E132" s="137">
        <f t="shared" si="52"/>
        <v>2.66</v>
      </c>
      <c r="F132" s="116">
        <f t="shared" si="53"/>
        <v>0.09</v>
      </c>
      <c r="G132" s="115">
        <v>20220</v>
      </c>
      <c r="H132" s="108">
        <f t="shared" si="54"/>
        <v>53785</v>
      </c>
      <c r="I132" s="108">
        <f t="shared" si="55"/>
        <v>1820</v>
      </c>
      <c r="K132" s="188"/>
      <c r="L132" s="187">
        <v>1.06</v>
      </c>
      <c r="M132" s="187">
        <v>1.6</v>
      </c>
    </row>
    <row r="133" spans="1:13" x14ac:dyDescent="0.25">
      <c r="A133" s="139">
        <f t="shared" si="27"/>
        <v>124</v>
      </c>
      <c r="B133" s="118" t="str">
        <f t="shared" si="56"/>
        <v>54E</v>
      </c>
      <c r="C133" s="117" t="s">
        <v>184</v>
      </c>
      <c r="D133" s="121" t="s">
        <v>195</v>
      </c>
      <c r="E133" s="137">
        <f t="shared" si="52"/>
        <v>3.42</v>
      </c>
      <c r="F133" s="116">
        <f t="shared" si="53"/>
        <v>0.11</v>
      </c>
      <c r="G133" s="115">
        <v>9552</v>
      </c>
      <c r="H133" s="108">
        <f t="shared" si="54"/>
        <v>32668</v>
      </c>
      <c r="I133" s="108">
        <f t="shared" si="55"/>
        <v>1051</v>
      </c>
      <c r="K133" s="188"/>
      <c r="L133" s="187">
        <v>1.36</v>
      </c>
      <c r="M133" s="187">
        <v>2.06</v>
      </c>
    </row>
    <row r="134" spans="1:13" x14ac:dyDescent="0.25">
      <c r="A134" s="139">
        <f t="shared" si="27"/>
        <v>125</v>
      </c>
      <c r="B134" s="118" t="str">
        <f t="shared" si="56"/>
        <v>54E</v>
      </c>
      <c r="C134" s="117" t="s">
        <v>184</v>
      </c>
      <c r="D134" s="121" t="s">
        <v>194</v>
      </c>
      <c r="E134" s="137">
        <f t="shared" si="52"/>
        <v>4.1899999999999995</v>
      </c>
      <c r="F134" s="116">
        <f t="shared" si="53"/>
        <v>0.14000000000000001</v>
      </c>
      <c r="G134" s="115">
        <v>7003</v>
      </c>
      <c r="H134" s="108">
        <f t="shared" si="54"/>
        <v>29343</v>
      </c>
      <c r="I134" s="108">
        <f t="shared" si="55"/>
        <v>980</v>
      </c>
      <c r="K134" s="188"/>
      <c r="L134" s="187">
        <v>1.67</v>
      </c>
      <c r="M134" s="187">
        <v>2.52</v>
      </c>
    </row>
    <row r="135" spans="1:13" x14ac:dyDescent="0.25">
      <c r="A135" s="139">
        <f t="shared" si="27"/>
        <v>126</v>
      </c>
      <c r="B135" s="118" t="str">
        <f t="shared" si="56"/>
        <v>54E</v>
      </c>
      <c r="C135" s="117" t="s">
        <v>184</v>
      </c>
      <c r="D135" s="121" t="s">
        <v>193</v>
      </c>
      <c r="E135" s="137">
        <f t="shared" si="52"/>
        <v>4.95</v>
      </c>
      <c r="F135" s="116">
        <f t="shared" si="53"/>
        <v>0.16</v>
      </c>
      <c r="G135" s="115">
        <v>132</v>
      </c>
      <c r="H135" s="108">
        <f t="shared" si="54"/>
        <v>653</v>
      </c>
      <c r="I135" s="108">
        <f t="shared" si="55"/>
        <v>21</v>
      </c>
      <c r="K135" s="188"/>
      <c r="L135" s="187">
        <v>1.97</v>
      </c>
      <c r="M135" s="187">
        <v>2.98</v>
      </c>
    </row>
    <row r="136" spans="1:13" x14ac:dyDescent="0.25">
      <c r="A136" s="139">
        <f t="shared" si="27"/>
        <v>127</v>
      </c>
      <c r="B136" s="118" t="str">
        <f t="shared" si="56"/>
        <v>54E</v>
      </c>
      <c r="C136" s="117" t="s">
        <v>184</v>
      </c>
      <c r="D136" s="121" t="s">
        <v>192</v>
      </c>
      <c r="E136" s="137">
        <f t="shared" si="52"/>
        <v>5.71</v>
      </c>
      <c r="F136" s="116">
        <f t="shared" si="53"/>
        <v>0.19</v>
      </c>
      <c r="G136" s="115"/>
      <c r="H136" s="108">
        <f t="shared" si="54"/>
        <v>0</v>
      </c>
      <c r="I136" s="108">
        <f t="shared" si="55"/>
        <v>0</v>
      </c>
      <c r="K136" s="188"/>
      <c r="L136" s="187">
        <v>2.27</v>
      </c>
      <c r="M136" s="187">
        <v>3.44</v>
      </c>
    </row>
    <row r="137" spans="1:13" x14ac:dyDescent="0.25">
      <c r="A137" s="139">
        <f t="shared" si="27"/>
        <v>128</v>
      </c>
      <c r="B137" s="118" t="str">
        <f t="shared" si="56"/>
        <v>54E</v>
      </c>
      <c r="C137" s="117" t="s">
        <v>184</v>
      </c>
      <c r="D137" s="121" t="s">
        <v>191</v>
      </c>
      <c r="E137" s="137">
        <f t="shared" si="52"/>
        <v>6.46</v>
      </c>
      <c r="F137" s="116">
        <f t="shared" si="53"/>
        <v>0.21</v>
      </c>
      <c r="G137" s="115">
        <v>36</v>
      </c>
      <c r="H137" s="108">
        <f t="shared" si="54"/>
        <v>233</v>
      </c>
      <c r="I137" s="108">
        <f t="shared" si="55"/>
        <v>8</v>
      </c>
      <c r="K137" s="188"/>
      <c r="L137" s="187">
        <v>2.57</v>
      </c>
      <c r="M137" s="187">
        <v>3.89</v>
      </c>
    </row>
    <row r="138" spans="1:13" x14ac:dyDescent="0.25">
      <c r="A138" s="139">
        <f t="shared" si="27"/>
        <v>129</v>
      </c>
      <c r="B138" s="118" t="str">
        <f t="shared" si="56"/>
        <v>54E</v>
      </c>
      <c r="C138" s="117" t="s">
        <v>184</v>
      </c>
      <c r="D138" s="121" t="s">
        <v>190</v>
      </c>
      <c r="E138" s="137">
        <f t="shared" si="52"/>
        <v>7.2299999999999995</v>
      </c>
      <c r="F138" s="116">
        <f t="shared" si="53"/>
        <v>0.24</v>
      </c>
      <c r="G138" s="115"/>
      <c r="H138" s="108">
        <f t="shared" si="54"/>
        <v>0</v>
      </c>
      <c r="I138" s="108">
        <f t="shared" si="55"/>
        <v>0</v>
      </c>
      <c r="K138" s="188"/>
      <c r="L138" s="187">
        <v>2.88</v>
      </c>
      <c r="M138" s="187">
        <v>4.3499999999999996</v>
      </c>
    </row>
    <row r="139" spans="1:13" x14ac:dyDescent="0.25">
      <c r="A139" s="139">
        <f t="shared" si="27"/>
        <v>130</v>
      </c>
      <c r="B139" s="120"/>
      <c r="C139" s="117"/>
      <c r="D139" s="117"/>
      <c r="E139" s="137"/>
      <c r="F139" s="119"/>
      <c r="G139" s="115"/>
      <c r="H139" s="115"/>
      <c r="I139" s="115"/>
      <c r="K139" s="188"/>
      <c r="L139" s="187"/>
      <c r="M139" s="187"/>
    </row>
    <row r="140" spans="1:13" x14ac:dyDescent="0.25">
      <c r="A140" s="139">
        <f t="shared" ref="A140:A200" si="57">+A139+1</f>
        <v>131</v>
      </c>
      <c r="B140" s="110" t="s">
        <v>205</v>
      </c>
      <c r="C140" s="117"/>
      <c r="D140" s="117"/>
      <c r="E140" s="137"/>
      <c r="F140" s="119"/>
      <c r="G140" s="115"/>
      <c r="H140" s="115"/>
      <c r="I140" s="115"/>
      <c r="K140" s="188"/>
      <c r="L140" s="187"/>
      <c r="M140" s="187"/>
    </row>
    <row r="141" spans="1:13" x14ac:dyDescent="0.25">
      <c r="A141" s="139">
        <f t="shared" si="57"/>
        <v>132</v>
      </c>
      <c r="B141" s="118" t="s">
        <v>204</v>
      </c>
      <c r="C141" s="117" t="s">
        <v>13</v>
      </c>
      <c r="D141" s="117">
        <v>70</v>
      </c>
      <c r="E141" s="137">
        <f t="shared" ref="E141:E146" si="58">SUM(L141:M141)</f>
        <v>1.81</v>
      </c>
      <c r="F141" s="116">
        <f t="shared" ref="F141:F146" si="59">ROUND(+E141*$J$10,2)</f>
        <v>0.06</v>
      </c>
      <c r="G141" s="115">
        <v>215</v>
      </c>
      <c r="H141" s="108">
        <f t="shared" ref="H141:H146" si="60">ROUND($G141*E141,0)</f>
        <v>389</v>
      </c>
      <c r="I141" s="108">
        <f t="shared" ref="I141:I146" si="61">ROUND($G141*F141,0)</f>
        <v>13</v>
      </c>
      <c r="K141" s="188"/>
      <c r="L141" s="187">
        <v>0.74</v>
      </c>
      <c r="M141" s="187">
        <v>1.07</v>
      </c>
    </row>
    <row r="142" spans="1:13" x14ac:dyDescent="0.25">
      <c r="A142" s="139">
        <f t="shared" si="57"/>
        <v>133</v>
      </c>
      <c r="B142" s="120" t="str">
        <f>+B141</f>
        <v>55E &amp; 56E</v>
      </c>
      <c r="C142" s="117" t="s">
        <v>13</v>
      </c>
      <c r="D142" s="117">
        <v>100</v>
      </c>
      <c r="E142" s="137">
        <f t="shared" si="58"/>
        <v>2.58</v>
      </c>
      <c r="F142" s="116">
        <f t="shared" si="59"/>
        <v>0.09</v>
      </c>
      <c r="G142" s="115">
        <v>45883</v>
      </c>
      <c r="H142" s="108">
        <f t="shared" si="60"/>
        <v>118378</v>
      </c>
      <c r="I142" s="108">
        <f t="shared" si="61"/>
        <v>4129</v>
      </c>
      <c r="K142" s="188"/>
      <c r="L142" s="187">
        <v>1.05</v>
      </c>
      <c r="M142" s="187">
        <v>1.53</v>
      </c>
    </row>
    <row r="143" spans="1:13" x14ac:dyDescent="0.25">
      <c r="A143" s="139">
        <f t="shared" si="57"/>
        <v>134</v>
      </c>
      <c r="B143" s="120" t="str">
        <f>+B142</f>
        <v>55E &amp; 56E</v>
      </c>
      <c r="C143" s="117" t="s">
        <v>13</v>
      </c>
      <c r="D143" s="117">
        <v>150</v>
      </c>
      <c r="E143" s="137">
        <f t="shared" si="58"/>
        <v>3.87</v>
      </c>
      <c r="F143" s="116">
        <f t="shared" si="59"/>
        <v>0.13</v>
      </c>
      <c r="G143" s="115">
        <v>6134</v>
      </c>
      <c r="H143" s="108">
        <f t="shared" si="60"/>
        <v>23739</v>
      </c>
      <c r="I143" s="108">
        <f t="shared" si="61"/>
        <v>797</v>
      </c>
      <c r="K143" s="188"/>
      <c r="L143" s="187">
        <v>1.58</v>
      </c>
      <c r="M143" s="187">
        <v>2.29</v>
      </c>
    </row>
    <row r="144" spans="1:13" x14ac:dyDescent="0.25">
      <c r="A144" s="139">
        <f t="shared" si="57"/>
        <v>135</v>
      </c>
      <c r="B144" s="120" t="str">
        <f>+B143</f>
        <v>55E &amp; 56E</v>
      </c>
      <c r="C144" s="117" t="s">
        <v>13</v>
      </c>
      <c r="D144" s="117">
        <v>200</v>
      </c>
      <c r="E144" s="137">
        <f t="shared" si="58"/>
        <v>5.15</v>
      </c>
      <c r="F144" s="116">
        <f t="shared" si="59"/>
        <v>0.17</v>
      </c>
      <c r="G144" s="115">
        <v>13189</v>
      </c>
      <c r="H144" s="108">
        <f t="shared" si="60"/>
        <v>67923</v>
      </c>
      <c r="I144" s="108">
        <f t="shared" si="61"/>
        <v>2242</v>
      </c>
      <c r="K144" s="188"/>
      <c r="L144" s="187">
        <v>2.1</v>
      </c>
      <c r="M144" s="187">
        <v>3.05</v>
      </c>
    </row>
    <row r="145" spans="1:13" x14ac:dyDescent="0.25">
      <c r="A145" s="139">
        <f t="shared" si="57"/>
        <v>136</v>
      </c>
      <c r="B145" s="120" t="str">
        <f>+B144</f>
        <v>55E &amp; 56E</v>
      </c>
      <c r="C145" s="117" t="s">
        <v>13</v>
      </c>
      <c r="D145" s="117">
        <v>250</v>
      </c>
      <c r="E145" s="137">
        <f t="shared" si="58"/>
        <v>6.4499999999999993</v>
      </c>
      <c r="F145" s="116">
        <f t="shared" si="59"/>
        <v>0.21</v>
      </c>
      <c r="G145" s="115">
        <v>1409</v>
      </c>
      <c r="H145" s="108">
        <f t="shared" si="60"/>
        <v>9088</v>
      </c>
      <c r="I145" s="108">
        <f t="shared" si="61"/>
        <v>296</v>
      </c>
      <c r="K145" s="188"/>
      <c r="L145" s="187">
        <v>2.63</v>
      </c>
      <c r="M145" s="187">
        <v>3.82</v>
      </c>
    </row>
    <row r="146" spans="1:13" x14ac:dyDescent="0.25">
      <c r="A146" s="139">
        <f t="shared" si="57"/>
        <v>137</v>
      </c>
      <c r="B146" s="120" t="str">
        <f>+B145</f>
        <v>55E &amp; 56E</v>
      </c>
      <c r="C146" s="117" t="s">
        <v>13</v>
      </c>
      <c r="D146" s="117">
        <v>400</v>
      </c>
      <c r="E146" s="137">
        <f t="shared" si="58"/>
        <v>10.31</v>
      </c>
      <c r="F146" s="116">
        <f t="shared" si="59"/>
        <v>0.34</v>
      </c>
      <c r="G146" s="115">
        <v>583</v>
      </c>
      <c r="H146" s="108">
        <f t="shared" si="60"/>
        <v>6011</v>
      </c>
      <c r="I146" s="108">
        <f t="shared" si="61"/>
        <v>198</v>
      </c>
      <c r="K146" s="188"/>
      <c r="L146" s="187">
        <v>4.2</v>
      </c>
      <c r="M146" s="187">
        <v>6.11</v>
      </c>
    </row>
    <row r="147" spans="1:13" x14ac:dyDescent="0.25">
      <c r="A147" s="139">
        <f t="shared" si="57"/>
        <v>138</v>
      </c>
      <c r="B147" s="120"/>
      <c r="C147" s="117"/>
      <c r="D147" s="117"/>
      <c r="E147" s="137"/>
      <c r="F147" s="119"/>
      <c r="G147" s="115"/>
      <c r="H147" s="115"/>
      <c r="I147" s="115"/>
      <c r="K147" s="188"/>
      <c r="L147" s="187"/>
      <c r="M147" s="187"/>
    </row>
    <row r="148" spans="1:13" x14ac:dyDescent="0.25">
      <c r="A148" s="139">
        <f t="shared" si="57"/>
        <v>139</v>
      </c>
      <c r="B148" s="120" t="str">
        <f>+B146</f>
        <v>55E &amp; 56E</v>
      </c>
      <c r="C148" s="117" t="s">
        <v>200</v>
      </c>
      <c r="D148" s="117">
        <v>250</v>
      </c>
      <c r="E148" s="137">
        <f>SUM(L148:M148)</f>
        <v>6.4499999999999993</v>
      </c>
      <c r="F148" s="116">
        <f>ROUND(+E148*$J$10,2)</f>
        <v>0.21</v>
      </c>
      <c r="G148" s="115">
        <v>72</v>
      </c>
      <c r="H148" s="108">
        <f>ROUND($G148*E148,0)</f>
        <v>464</v>
      </c>
      <c r="I148" s="108">
        <f>ROUND($G148*F148,0)</f>
        <v>15</v>
      </c>
      <c r="K148" s="188"/>
      <c r="L148" s="187">
        <v>2.63</v>
      </c>
      <c r="M148" s="187">
        <v>3.82</v>
      </c>
    </row>
    <row r="149" spans="1:13" x14ac:dyDescent="0.25">
      <c r="A149" s="139">
        <f t="shared" si="57"/>
        <v>140</v>
      </c>
      <c r="B149" s="120"/>
      <c r="C149" s="117"/>
      <c r="D149" s="117"/>
      <c r="E149" s="137"/>
      <c r="F149" s="119"/>
      <c r="G149" s="115"/>
      <c r="H149" s="115"/>
      <c r="I149" s="115"/>
      <c r="K149" s="188"/>
      <c r="L149" s="187"/>
      <c r="M149" s="187"/>
    </row>
    <row r="150" spans="1:13" x14ac:dyDescent="0.25">
      <c r="A150" s="139">
        <f t="shared" si="57"/>
        <v>141</v>
      </c>
      <c r="B150" s="120" t="s">
        <v>204</v>
      </c>
      <c r="C150" s="117" t="s">
        <v>184</v>
      </c>
      <c r="D150" s="121" t="s">
        <v>198</v>
      </c>
      <c r="E150" s="137">
        <f t="shared" ref="E150:E158" si="62">SUM(L150:M150)</f>
        <v>1.1599999999999999</v>
      </c>
      <c r="F150" s="116">
        <f t="shared" ref="F150:F158" si="63">ROUND(+E150*$J$10,2)</f>
        <v>0.04</v>
      </c>
      <c r="G150" s="115">
        <v>5604</v>
      </c>
      <c r="H150" s="108">
        <f t="shared" ref="H150:H158" si="64">ROUND($G150*E150,0)</f>
        <v>6501</v>
      </c>
      <c r="I150" s="108">
        <f t="shared" ref="I150:I158" si="65">ROUND($G150*F150,0)</f>
        <v>224</v>
      </c>
      <c r="K150" s="188"/>
      <c r="L150" s="187">
        <v>0.47</v>
      </c>
      <c r="M150" s="187">
        <v>0.69</v>
      </c>
    </row>
    <row r="151" spans="1:13" x14ac:dyDescent="0.25">
      <c r="A151" s="139">
        <f t="shared" si="57"/>
        <v>142</v>
      </c>
      <c r="B151" s="120" t="s">
        <v>204</v>
      </c>
      <c r="C151" s="117" t="s">
        <v>184</v>
      </c>
      <c r="D151" s="121" t="s">
        <v>197</v>
      </c>
      <c r="E151" s="137">
        <f t="shared" si="62"/>
        <v>1.94</v>
      </c>
      <c r="F151" s="116">
        <f t="shared" si="63"/>
        <v>0.06</v>
      </c>
      <c r="G151" s="115"/>
      <c r="H151" s="108">
        <f t="shared" si="64"/>
        <v>0</v>
      </c>
      <c r="I151" s="108">
        <f t="shared" si="65"/>
        <v>0</v>
      </c>
      <c r="K151" s="188"/>
      <c r="L151" s="187">
        <v>0.79</v>
      </c>
      <c r="M151" s="187">
        <v>1.1499999999999999</v>
      </c>
    </row>
    <row r="152" spans="1:13" x14ac:dyDescent="0.25">
      <c r="A152" s="139">
        <f t="shared" si="57"/>
        <v>143</v>
      </c>
      <c r="B152" s="120" t="s">
        <v>204</v>
      </c>
      <c r="C152" s="117" t="s">
        <v>184</v>
      </c>
      <c r="D152" s="121" t="s">
        <v>196</v>
      </c>
      <c r="E152" s="137">
        <f t="shared" si="62"/>
        <v>2.7</v>
      </c>
      <c r="F152" s="116">
        <f t="shared" si="63"/>
        <v>0.09</v>
      </c>
      <c r="G152" s="115">
        <v>1391</v>
      </c>
      <c r="H152" s="108">
        <f t="shared" si="64"/>
        <v>3756</v>
      </c>
      <c r="I152" s="108">
        <f t="shared" si="65"/>
        <v>125</v>
      </c>
      <c r="K152" s="188"/>
      <c r="L152" s="187">
        <v>1.1000000000000001</v>
      </c>
      <c r="M152" s="187">
        <v>1.6</v>
      </c>
    </row>
    <row r="153" spans="1:13" x14ac:dyDescent="0.25">
      <c r="A153" s="139">
        <f t="shared" si="57"/>
        <v>144</v>
      </c>
      <c r="B153" s="120" t="s">
        <v>204</v>
      </c>
      <c r="C153" s="117" t="s">
        <v>184</v>
      </c>
      <c r="D153" s="121" t="s">
        <v>195</v>
      </c>
      <c r="E153" s="137">
        <f t="shared" si="62"/>
        <v>3.48</v>
      </c>
      <c r="F153" s="116">
        <f t="shared" si="63"/>
        <v>0.12</v>
      </c>
      <c r="G153" s="115"/>
      <c r="H153" s="108">
        <f t="shared" si="64"/>
        <v>0</v>
      </c>
      <c r="I153" s="108">
        <f t="shared" si="65"/>
        <v>0</v>
      </c>
      <c r="K153" s="188"/>
      <c r="L153" s="187">
        <v>1.42</v>
      </c>
      <c r="M153" s="187">
        <v>2.06</v>
      </c>
    </row>
    <row r="154" spans="1:13" x14ac:dyDescent="0.25">
      <c r="A154" s="139">
        <f t="shared" si="57"/>
        <v>145</v>
      </c>
      <c r="B154" s="120" t="s">
        <v>204</v>
      </c>
      <c r="C154" s="117" t="s">
        <v>184</v>
      </c>
      <c r="D154" s="121" t="s">
        <v>194</v>
      </c>
      <c r="E154" s="137">
        <f t="shared" si="62"/>
        <v>4.25</v>
      </c>
      <c r="F154" s="116">
        <f t="shared" si="63"/>
        <v>0.14000000000000001</v>
      </c>
      <c r="G154" s="115"/>
      <c r="H154" s="108">
        <f t="shared" si="64"/>
        <v>0</v>
      </c>
      <c r="I154" s="108">
        <f t="shared" si="65"/>
        <v>0</v>
      </c>
      <c r="K154" s="188"/>
      <c r="L154" s="187">
        <v>1.73</v>
      </c>
      <c r="M154" s="187">
        <v>2.52</v>
      </c>
    </row>
    <row r="155" spans="1:13" x14ac:dyDescent="0.25">
      <c r="A155" s="139">
        <f t="shared" si="57"/>
        <v>146</v>
      </c>
      <c r="B155" s="120" t="s">
        <v>204</v>
      </c>
      <c r="C155" s="117" t="s">
        <v>184</v>
      </c>
      <c r="D155" s="121" t="s">
        <v>193</v>
      </c>
      <c r="E155" s="137">
        <f t="shared" si="62"/>
        <v>5.0299999999999994</v>
      </c>
      <c r="F155" s="116">
        <f t="shared" si="63"/>
        <v>0.17</v>
      </c>
      <c r="G155" s="115"/>
      <c r="H155" s="108">
        <f t="shared" si="64"/>
        <v>0</v>
      </c>
      <c r="I155" s="108">
        <f t="shared" si="65"/>
        <v>0</v>
      </c>
      <c r="K155" s="188"/>
      <c r="L155" s="187">
        <v>2.0499999999999998</v>
      </c>
      <c r="M155" s="187">
        <v>2.98</v>
      </c>
    </row>
    <row r="156" spans="1:13" x14ac:dyDescent="0.25">
      <c r="A156" s="139">
        <f t="shared" si="57"/>
        <v>147</v>
      </c>
      <c r="B156" s="120" t="s">
        <v>204</v>
      </c>
      <c r="C156" s="117" t="s">
        <v>184</v>
      </c>
      <c r="D156" s="121" t="s">
        <v>192</v>
      </c>
      <c r="E156" s="137">
        <f t="shared" si="62"/>
        <v>5.8</v>
      </c>
      <c r="F156" s="116">
        <f t="shared" si="63"/>
        <v>0.19</v>
      </c>
      <c r="G156" s="115"/>
      <c r="H156" s="108">
        <f t="shared" si="64"/>
        <v>0</v>
      </c>
      <c r="I156" s="108">
        <f t="shared" si="65"/>
        <v>0</v>
      </c>
      <c r="K156" s="188"/>
      <c r="L156" s="187">
        <v>2.36</v>
      </c>
      <c r="M156" s="187">
        <v>3.44</v>
      </c>
    </row>
    <row r="157" spans="1:13" x14ac:dyDescent="0.25">
      <c r="A157" s="139">
        <f t="shared" si="57"/>
        <v>148</v>
      </c>
      <c r="B157" s="120" t="s">
        <v>204</v>
      </c>
      <c r="C157" s="117" t="s">
        <v>184</v>
      </c>
      <c r="D157" s="121" t="s">
        <v>191</v>
      </c>
      <c r="E157" s="137">
        <f t="shared" si="62"/>
        <v>6.57</v>
      </c>
      <c r="F157" s="116">
        <f t="shared" si="63"/>
        <v>0.22</v>
      </c>
      <c r="G157" s="115"/>
      <c r="H157" s="108">
        <f t="shared" si="64"/>
        <v>0</v>
      </c>
      <c r="I157" s="108">
        <f t="shared" si="65"/>
        <v>0</v>
      </c>
      <c r="K157" s="188"/>
      <c r="L157" s="187">
        <v>2.68</v>
      </c>
      <c r="M157" s="187">
        <v>3.89</v>
      </c>
    </row>
    <row r="158" spans="1:13" x14ac:dyDescent="0.25">
      <c r="A158" s="139">
        <f t="shared" si="57"/>
        <v>149</v>
      </c>
      <c r="B158" s="120" t="s">
        <v>204</v>
      </c>
      <c r="C158" s="117" t="s">
        <v>184</v>
      </c>
      <c r="D158" s="121" t="s">
        <v>190</v>
      </c>
      <c r="E158" s="137">
        <f t="shared" si="62"/>
        <v>7.35</v>
      </c>
      <c r="F158" s="116">
        <f t="shared" si="63"/>
        <v>0.24</v>
      </c>
      <c r="G158" s="115"/>
      <c r="H158" s="108">
        <f t="shared" si="64"/>
        <v>0</v>
      </c>
      <c r="I158" s="108">
        <f t="shared" si="65"/>
        <v>0</v>
      </c>
      <c r="K158" s="188"/>
      <c r="L158" s="187">
        <v>3</v>
      </c>
      <c r="M158" s="187">
        <v>4.3499999999999996</v>
      </c>
    </row>
    <row r="159" spans="1:13" x14ac:dyDescent="0.25">
      <c r="A159" s="139">
        <f t="shared" si="57"/>
        <v>150</v>
      </c>
      <c r="B159" s="120"/>
      <c r="C159" s="117"/>
      <c r="D159" s="117"/>
      <c r="E159" s="137"/>
      <c r="F159" s="119"/>
      <c r="G159" s="115"/>
      <c r="H159" s="115"/>
      <c r="I159" s="115"/>
      <c r="K159" s="188"/>
      <c r="L159" s="187"/>
      <c r="M159" s="187"/>
    </row>
    <row r="160" spans="1:13" x14ac:dyDescent="0.25">
      <c r="A160" s="139">
        <f t="shared" si="57"/>
        <v>151</v>
      </c>
      <c r="B160" s="110" t="s">
        <v>182</v>
      </c>
      <c r="C160" s="117"/>
      <c r="D160" s="117"/>
      <c r="E160" s="137"/>
      <c r="F160" s="119"/>
      <c r="G160" s="115"/>
      <c r="H160" s="115"/>
      <c r="I160" s="115"/>
      <c r="K160" s="188"/>
      <c r="L160" s="187"/>
      <c r="M160" s="187"/>
    </row>
    <row r="161" spans="1:13" x14ac:dyDescent="0.25">
      <c r="A161" s="139">
        <f t="shared" si="57"/>
        <v>152</v>
      </c>
      <c r="B161" s="120" t="s">
        <v>181</v>
      </c>
      <c r="C161" s="117" t="s">
        <v>180</v>
      </c>
      <c r="D161" s="117">
        <v>0</v>
      </c>
      <c r="E161" s="138">
        <f>SUM(L161:M161)</f>
        <v>3.823E-2</v>
      </c>
      <c r="F161" s="138">
        <f>ROUND(+E161*$J$10,5)</f>
        <v>1.2700000000000001E-3</v>
      </c>
      <c r="G161" s="115">
        <v>12571346</v>
      </c>
      <c r="H161" s="108">
        <f>ROUND($G161*E161,0)</f>
        <v>480603</v>
      </c>
      <c r="I161" s="108">
        <f>ROUND($G161*F161,0)</f>
        <v>15966</v>
      </c>
      <c r="K161" s="188"/>
      <c r="L161" s="138">
        <v>6.3800000000000003E-3</v>
      </c>
      <c r="M161" s="138">
        <v>3.1850000000000003E-2</v>
      </c>
    </row>
    <row r="162" spans="1:13" x14ac:dyDescent="0.25">
      <c r="A162" s="139">
        <f t="shared" si="57"/>
        <v>153</v>
      </c>
      <c r="B162" s="120"/>
      <c r="C162" s="117"/>
      <c r="D162" s="117"/>
      <c r="E162" s="137"/>
      <c r="F162" s="119"/>
      <c r="G162" s="115"/>
      <c r="H162" s="115"/>
      <c r="I162" s="115"/>
      <c r="K162" s="188"/>
      <c r="L162" s="187"/>
      <c r="M162" s="187"/>
    </row>
    <row r="163" spans="1:13" x14ac:dyDescent="0.25">
      <c r="A163" s="139">
        <f t="shared" si="57"/>
        <v>154</v>
      </c>
      <c r="B163" s="110" t="s">
        <v>203</v>
      </c>
      <c r="C163" s="117"/>
      <c r="D163" s="117"/>
      <c r="E163" s="137"/>
      <c r="F163" s="119"/>
      <c r="G163" s="115"/>
      <c r="H163" s="115"/>
      <c r="I163" s="115"/>
      <c r="K163" s="188"/>
      <c r="L163" s="187"/>
      <c r="M163" s="187"/>
    </row>
    <row r="164" spans="1:13" x14ac:dyDescent="0.25">
      <c r="A164" s="139">
        <f t="shared" si="57"/>
        <v>155</v>
      </c>
      <c r="B164" s="118" t="s">
        <v>202</v>
      </c>
      <c r="C164" s="117" t="s">
        <v>13</v>
      </c>
      <c r="D164" s="122">
        <v>70</v>
      </c>
      <c r="E164" s="137">
        <f t="shared" ref="E164:E183" si="66">SUM(L164:M164)</f>
        <v>1.81</v>
      </c>
      <c r="F164" s="116">
        <f t="shared" ref="F164:F169" si="67">ROUND(+E164*$J$10,2)</f>
        <v>0.06</v>
      </c>
      <c r="G164" s="115">
        <v>685</v>
      </c>
      <c r="H164" s="108">
        <f t="shared" ref="H164:H169" si="68">ROUND($G164*E164,0)</f>
        <v>1240</v>
      </c>
      <c r="I164" s="108">
        <f t="shared" ref="I164:I169" si="69">ROUND($G164*F164,0)</f>
        <v>41</v>
      </c>
      <c r="K164" s="188"/>
      <c r="L164" s="187">
        <v>0.74</v>
      </c>
      <c r="M164" s="187">
        <v>1.07</v>
      </c>
    </row>
    <row r="165" spans="1:13" x14ac:dyDescent="0.25">
      <c r="A165" s="139">
        <f t="shared" si="57"/>
        <v>156</v>
      </c>
      <c r="B165" s="120" t="str">
        <f>+B164</f>
        <v>58E &amp; 59E - Directional</v>
      </c>
      <c r="C165" s="117" t="s">
        <v>13</v>
      </c>
      <c r="D165" s="122">
        <v>100</v>
      </c>
      <c r="E165" s="137">
        <f t="shared" si="66"/>
        <v>2.58</v>
      </c>
      <c r="F165" s="116">
        <f t="shared" si="67"/>
        <v>0.09</v>
      </c>
      <c r="G165" s="115">
        <v>128</v>
      </c>
      <c r="H165" s="108">
        <f t="shared" si="68"/>
        <v>330</v>
      </c>
      <c r="I165" s="108">
        <f t="shared" si="69"/>
        <v>12</v>
      </c>
      <c r="K165" s="188"/>
      <c r="L165" s="187">
        <v>1.05</v>
      </c>
      <c r="M165" s="187">
        <v>1.53</v>
      </c>
    </row>
    <row r="166" spans="1:13" x14ac:dyDescent="0.25">
      <c r="A166" s="139">
        <f t="shared" si="57"/>
        <v>157</v>
      </c>
      <c r="B166" s="120" t="str">
        <f>+B165</f>
        <v>58E &amp; 59E - Directional</v>
      </c>
      <c r="C166" s="117" t="s">
        <v>13</v>
      </c>
      <c r="D166" s="122">
        <v>150</v>
      </c>
      <c r="E166" s="137">
        <f t="shared" si="66"/>
        <v>3.87</v>
      </c>
      <c r="F166" s="116">
        <f t="shared" si="67"/>
        <v>0.13</v>
      </c>
      <c r="G166" s="115">
        <v>1949</v>
      </c>
      <c r="H166" s="108">
        <f t="shared" si="68"/>
        <v>7543</v>
      </c>
      <c r="I166" s="108">
        <f t="shared" si="69"/>
        <v>253</v>
      </c>
      <c r="K166" s="188"/>
      <c r="L166" s="187">
        <v>1.58</v>
      </c>
      <c r="M166" s="187">
        <v>2.29</v>
      </c>
    </row>
    <row r="167" spans="1:13" x14ac:dyDescent="0.25">
      <c r="A167" s="139">
        <f t="shared" si="57"/>
        <v>158</v>
      </c>
      <c r="B167" s="120" t="str">
        <f>+B166</f>
        <v>58E &amp; 59E - Directional</v>
      </c>
      <c r="C167" s="117" t="s">
        <v>13</v>
      </c>
      <c r="D167" s="117">
        <v>200</v>
      </c>
      <c r="E167" s="137">
        <f t="shared" si="66"/>
        <v>5.15</v>
      </c>
      <c r="F167" s="116">
        <f t="shared" si="67"/>
        <v>0.17</v>
      </c>
      <c r="G167" s="115">
        <v>3352</v>
      </c>
      <c r="H167" s="108">
        <f t="shared" si="68"/>
        <v>17263</v>
      </c>
      <c r="I167" s="108">
        <f t="shared" si="69"/>
        <v>570</v>
      </c>
      <c r="K167" s="188"/>
      <c r="L167" s="187">
        <v>2.1</v>
      </c>
      <c r="M167" s="187">
        <v>3.05</v>
      </c>
    </row>
    <row r="168" spans="1:13" x14ac:dyDescent="0.25">
      <c r="A168" s="139">
        <f t="shared" si="57"/>
        <v>159</v>
      </c>
      <c r="B168" s="120" t="str">
        <f>+B167</f>
        <v>58E &amp; 59E - Directional</v>
      </c>
      <c r="C168" s="117" t="s">
        <v>13</v>
      </c>
      <c r="D168" s="117">
        <v>250</v>
      </c>
      <c r="E168" s="137">
        <f t="shared" si="66"/>
        <v>6.4499999999999993</v>
      </c>
      <c r="F168" s="116">
        <f t="shared" si="67"/>
        <v>0.21</v>
      </c>
      <c r="G168" s="115">
        <v>468</v>
      </c>
      <c r="H168" s="108">
        <f t="shared" si="68"/>
        <v>3019</v>
      </c>
      <c r="I168" s="108">
        <f t="shared" si="69"/>
        <v>98</v>
      </c>
      <c r="K168" s="188"/>
      <c r="L168" s="187">
        <v>2.63</v>
      </c>
      <c r="M168" s="187">
        <v>3.82</v>
      </c>
    </row>
    <row r="169" spans="1:13" x14ac:dyDescent="0.25">
      <c r="A169" s="139">
        <f t="shared" si="57"/>
        <v>160</v>
      </c>
      <c r="B169" s="120" t="str">
        <f>+B168</f>
        <v>58E &amp; 59E - Directional</v>
      </c>
      <c r="C169" s="117" t="s">
        <v>13</v>
      </c>
      <c r="D169" s="117">
        <v>400</v>
      </c>
      <c r="E169" s="137">
        <f t="shared" si="66"/>
        <v>10.31</v>
      </c>
      <c r="F169" s="116">
        <f t="shared" si="67"/>
        <v>0.34</v>
      </c>
      <c r="G169" s="115">
        <v>4444</v>
      </c>
      <c r="H169" s="108">
        <f t="shared" si="68"/>
        <v>45818</v>
      </c>
      <c r="I169" s="108">
        <f t="shared" si="69"/>
        <v>1511</v>
      </c>
      <c r="K169" s="188"/>
      <c r="L169" s="187">
        <v>4.2</v>
      </c>
      <c r="M169" s="187">
        <v>6.11</v>
      </c>
    </row>
    <row r="170" spans="1:13" x14ac:dyDescent="0.25">
      <c r="A170" s="139">
        <f t="shared" si="57"/>
        <v>161</v>
      </c>
      <c r="B170" s="120"/>
      <c r="C170" s="117"/>
      <c r="D170" s="117"/>
      <c r="E170" s="137"/>
      <c r="F170" s="119"/>
      <c r="G170" s="115"/>
      <c r="H170" s="115"/>
      <c r="I170" s="115"/>
      <c r="K170" s="188"/>
      <c r="L170" s="187"/>
      <c r="M170" s="187"/>
    </row>
    <row r="171" spans="1:13" x14ac:dyDescent="0.25">
      <c r="A171" s="139">
        <f t="shared" si="57"/>
        <v>162</v>
      </c>
      <c r="B171" s="118" t="s">
        <v>201</v>
      </c>
      <c r="C171" s="117" t="s">
        <v>13</v>
      </c>
      <c r="D171" s="117">
        <v>100</v>
      </c>
      <c r="E171" s="137">
        <f t="shared" si="66"/>
        <v>2.58</v>
      </c>
      <c r="F171" s="116">
        <f>ROUND(+E171*$J$10,2)</f>
        <v>0.09</v>
      </c>
      <c r="G171" s="115">
        <v>12</v>
      </c>
      <c r="H171" s="108">
        <f t="shared" ref="H171:H175" si="70">ROUND($G171*E171,0)</f>
        <v>31</v>
      </c>
      <c r="I171" s="108">
        <f t="shared" ref="I171:I175" si="71">ROUND($G171*F171,0)</f>
        <v>1</v>
      </c>
      <c r="K171" s="188"/>
      <c r="L171" s="187">
        <v>1.05</v>
      </c>
      <c r="M171" s="187">
        <v>1.53</v>
      </c>
    </row>
    <row r="172" spans="1:13" x14ac:dyDescent="0.25">
      <c r="A172" s="139">
        <f t="shared" si="57"/>
        <v>163</v>
      </c>
      <c r="B172" s="120" t="str">
        <f>B171</f>
        <v>58E &amp; 59E - Horizontal</v>
      </c>
      <c r="C172" s="117" t="s">
        <v>13</v>
      </c>
      <c r="D172" s="117">
        <v>150</v>
      </c>
      <c r="E172" s="137">
        <f t="shared" si="66"/>
        <v>3.87</v>
      </c>
      <c r="F172" s="116">
        <f>ROUND(+E172*$J$10,2)</f>
        <v>0.13</v>
      </c>
      <c r="G172" s="115">
        <v>211</v>
      </c>
      <c r="H172" s="108">
        <f t="shared" si="70"/>
        <v>817</v>
      </c>
      <c r="I172" s="108">
        <f t="shared" si="71"/>
        <v>27</v>
      </c>
      <c r="K172" s="188"/>
      <c r="L172" s="187">
        <v>1.58</v>
      </c>
      <c r="M172" s="187">
        <v>2.29</v>
      </c>
    </row>
    <row r="173" spans="1:13" x14ac:dyDescent="0.25">
      <c r="A173" s="139">
        <f t="shared" si="57"/>
        <v>164</v>
      </c>
      <c r="B173" s="120" t="str">
        <f>B172</f>
        <v>58E &amp; 59E - Horizontal</v>
      </c>
      <c r="C173" s="117" t="s">
        <v>13</v>
      </c>
      <c r="D173" s="117">
        <v>200</v>
      </c>
      <c r="E173" s="137">
        <f t="shared" si="66"/>
        <v>5.15</v>
      </c>
      <c r="F173" s="116">
        <f>ROUND(+E173*$J$10,2)</f>
        <v>0.17</v>
      </c>
      <c r="G173" s="115">
        <v>156</v>
      </c>
      <c r="H173" s="108">
        <f t="shared" si="70"/>
        <v>803</v>
      </c>
      <c r="I173" s="108">
        <f t="shared" si="71"/>
        <v>27</v>
      </c>
      <c r="K173" s="188"/>
      <c r="L173" s="187">
        <v>2.1</v>
      </c>
      <c r="M173" s="187">
        <v>3.05</v>
      </c>
    </row>
    <row r="174" spans="1:13" x14ac:dyDescent="0.25">
      <c r="A174" s="139">
        <f t="shared" si="57"/>
        <v>165</v>
      </c>
      <c r="B174" s="120" t="str">
        <f>B173</f>
        <v>58E &amp; 59E - Horizontal</v>
      </c>
      <c r="C174" s="117" t="s">
        <v>13</v>
      </c>
      <c r="D174" s="117">
        <v>250</v>
      </c>
      <c r="E174" s="137">
        <f t="shared" si="66"/>
        <v>6.4499999999999993</v>
      </c>
      <c r="F174" s="116">
        <f>ROUND(+E174*$J$10,2)</f>
        <v>0.21</v>
      </c>
      <c r="G174" s="115">
        <v>420</v>
      </c>
      <c r="H174" s="108">
        <f t="shared" si="70"/>
        <v>2709</v>
      </c>
      <c r="I174" s="108">
        <f t="shared" si="71"/>
        <v>88</v>
      </c>
      <c r="K174" s="188"/>
      <c r="L174" s="187">
        <v>2.63</v>
      </c>
      <c r="M174" s="187">
        <v>3.82</v>
      </c>
    </row>
    <row r="175" spans="1:13" x14ac:dyDescent="0.25">
      <c r="A175" s="139">
        <f t="shared" si="57"/>
        <v>166</v>
      </c>
      <c r="B175" s="120" t="str">
        <f>B174</f>
        <v>58E &amp; 59E - Horizontal</v>
      </c>
      <c r="C175" s="117" t="s">
        <v>13</v>
      </c>
      <c r="D175" s="117">
        <v>400</v>
      </c>
      <c r="E175" s="137">
        <f t="shared" si="66"/>
        <v>10.31</v>
      </c>
      <c r="F175" s="116">
        <f>ROUND(+E175*$J$10,2)</f>
        <v>0.34</v>
      </c>
      <c r="G175" s="115">
        <v>576</v>
      </c>
      <c r="H175" s="108">
        <f t="shared" si="70"/>
        <v>5939</v>
      </c>
      <c r="I175" s="108">
        <f t="shared" si="71"/>
        <v>196</v>
      </c>
      <c r="K175" s="188"/>
      <c r="L175" s="187">
        <v>4.2</v>
      </c>
      <c r="M175" s="187">
        <v>6.11</v>
      </c>
    </row>
    <row r="176" spans="1:13" x14ac:dyDescent="0.25">
      <c r="A176" s="139">
        <f t="shared" si="57"/>
        <v>167</v>
      </c>
      <c r="B176" s="120"/>
      <c r="C176" s="117"/>
      <c r="D176" s="117"/>
      <c r="F176" s="119"/>
      <c r="G176" s="115"/>
      <c r="H176" s="115"/>
      <c r="I176" s="115"/>
      <c r="K176" s="188"/>
      <c r="L176" s="187"/>
      <c r="M176" s="187"/>
    </row>
    <row r="177" spans="1:13" x14ac:dyDescent="0.25">
      <c r="A177" s="139">
        <f t="shared" si="57"/>
        <v>168</v>
      </c>
      <c r="B177" s="120" t="str">
        <f>B165</f>
        <v>58E &amp; 59E - Directional</v>
      </c>
      <c r="C177" s="117" t="s">
        <v>200</v>
      </c>
      <c r="D177" s="117">
        <v>175</v>
      </c>
      <c r="E177" s="137">
        <f t="shared" si="66"/>
        <v>4.51</v>
      </c>
      <c r="F177" s="116">
        <f>ROUND(+E177*$J$10,2)</f>
        <v>0.15</v>
      </c>
      <c r="G177" s="115">
        <v>36</v>
      </c>
      <c r="H177" s="108">
        <f t="shared" ref="H177:H180" si="72">ROUND($G177*E177,0)</f>
        <v>162</v>
      </c>
      <c r="I177" s="108">
        <f t="shared" ref="I177:I180" si="73">ROUND($G177*F177,0)</f>
        <v>5</v>
      </c>
      <c r="K177" s="188"/>
      <c r="L177" s="187">
        <v>1.84</v>
      </c>
      <c r="M177" s="187">
        <v>2.67</v>
      </c>
    </row>
    <row r="178" spans="1:13" x14ac:dyDescent="0.25">
      <c r="A178" s="139">
        <f t="shared" si="57"/>
        <v>169</v>
      </c>
      <c r="B178" s="120" t="str">
        <f>B177</f>
        <v>58E &amp; 59E - Directional</v>
      </c>
      <c r="C178" s="117" t="s">
        <v>200</v>
      </c>
      <c r="D178" s="117">
        <v>250</v>
      </c>
      <c r="E178" s="137">
        <f t="shared" si="66"/>
        <v>6.4499999999999993</v>
      </c>
      <c r="F178" s="116">
        <f>ROUND(+E178*$J$10,2)</f>
        <v>0.21</v>
      </c>
      <c r="G178" s="115">
        <v>284</v>
      </c>
      <c r="H178" s="108">
        <f t="shared" si="72"/>
        <v>1832</v>
      </c>
      <c r="I178" s="108">
        <f t="shared" si="73"/>
        <v>60</v>
      </c>
      <c r="K178" s="188"/>
      <c r="L178" s="187">
        <v>2.63</v>
      </c>
      <c r="M178" s="187">
        <v>3.82</v>
      </c>
    </row>
    <row r="179" spans="1:13" x14ac:dyDescent="0.25">
      <c r="A179" s="139">
        <f t="shared" si="57"/>
        <v>170</v>
      </c>
      <c r="B179" s="120" t="str">
        <f>B178</f>
        <v>58E &amp; 59E - Directional</v>
      </c>
      <c r="C179" s="117" t="s">
        <v>200</v>
      </c>
      <c r="D179" s="117">
        <v>400</v>
      </c>
      <c r="E179" s="137">
        <f t="shared" si="66"/>
        <v>10.31</v>
      </c>
      <c r="F179" s="116">
        <f>ROUND(+E179*$J$10,2)</f>
        <v>0.34</v>
      </c>
      <c r="G179" s="115">
        <v>1056</v>
      </c>
      <c r="H179" s="108">
        <f t="shared" si="72"/>
        <v>10887</v>
      </c>
      <c r="I179" s="108">
        <f t="shared" si="73"/>
        <v>359</v>
      </c>
      <c r="K179" s="188"/>
      <c r="L179" s="187">
        <v>4.2</v>
      </c>
      <c r="M179" s="187">
        <v>6.11</v>
      </c>
    </row>
    <row r="180" spans="1:13" x14ac:dyDescent="0.25">
      <c r="A180" s="139">
        <f t="shared" si="57"/>
        <v>171</v>
      </c>
      <c r="B180" s="120" t="str">
        <f>B179</f>
        <v>58E &amp; 59E - Directional</v>
      </c>
      <c r="C180" s="117" t="s">
        <v>200</v>
      </c>
      <c r="D180" s="117">
        <v>1000</v>
      </c>
      <c r="E180" s="137">
        <f t="shared" si="66"/>
        <v>25.78</v>
      </c>
      <c r="F180" s="116">
        <f>ROUND(+E180*$J$10,2)</f>
        <v>0.86</v>
      </c>
      <c r="G180" s="115">
        <v>1550</v>
      </c>
      <c r="H180" s="108">
        <f t="shared" si="72"/>
        <v>39959</v>
      </c>
      <c r="I180" s="108">
        <f t="shared" si="73"/>
        <v>1333</v>
      </c>
      <c r="K180" s="188"/>
      <c r="L180" s="187">
        <v>10.51</v>
      </c>
      <c r="M180" s="187">
        <v>15.27</v>
      </c>
    </row>
    <row r="181" spans="1:13" x14ac:dyDescent="0.25">
      <c r="A181" s="139">
        <f t="shared" si="57"/>
        <v>172</v>
      </c>
      <c r="B181" s="120"/>
      <c r="C181" s="117"/>
      <c r="D181" s="117"/>
      <c r="F181" s="119"/>
      <c r="G181" s="115"/>
      <c r="H181" s="115"/>
      <c r="I181" s="115"/>
      <c r="K181" s="188"/>
      <c r="L181" s="187"/>
      <c r="M181" s="187"/>
    </row>
    <row r="182" spans="1:13" x14ac:dyDescent="0.25">
      <c r="A182" s="139">
        <f t="shared" si="57"/>
        <v>173</v>
      </c>
      <c r="B182" s="120" t="str">
        <f>B171</f>
        <v>58E &amp; 59E - Horizontal</v>
      </c>
      <c r="C182" s="117" t="s">
        <v>200</v>
      </c>
      <c r="D182" s="117">
        <v>250</v>
      </c>
      <c r="E182" s="137">
        <f t="shared" si="66"/>
        <v>6.4499999999999993</v>
      </c>
      <c r="F182" s="116">
        <f>ROUND(+E182*$J$10,2)</f>
        <v>0.21</v>
      </c>
      <c r="G182" s="115">
        <v>132</v>
      </c>
      <c r="H182" s="108">
        <f t="shared" ref="H182:H183" si="74">ROUND($G182*E182,0)</f>
        <v>851</v>
      </c>
      <c r="I182" s="108">
        <f t="shared" ref="I182:I183" si="75">ROUND($G182*F182,0)</f>
        <v>28</v>
      </c>
      <c r="K182" s="188"/>
      <c r="L182" s="187">
        <v>2.63</v>
      </c>
      <c r="M182" s="187">
        <v>3.82</v>
      </c>
    </row>
    <row r="183" spans="1:13" x14ac:dyDescent="0.25">
      <c r="A183" s="139">
        <f t="shared" si="57"/>
        <v>174</v>
      </c>
      <c r="B183" s="120" t="str">
        <f>B182</f>
        <v>58E &amp; 59E - Horizontal</v>
      </c>
      <c r="C183" s="117" t="s">
        <v>200</v>
      </c>
      <c r="D183" s="117">
        <v>400</v>
      </c>
      <c r="E183" s="137">
        <f t="shared" si="66"/>
        <v>10.31</v>
      </c>
      <c r="F183" s="116">
        <f>ROUND(+E183*$J$10,2)</f>
        <v>0.34</v>
      </c>
      <c r="G183" s="115">
        <v>486</v>
      </c>
      <c r="H183" s="108">
        <f t="shared" si="74"/>
        <v>5011</v>
      </c>
      <c r="I183" s="108">
        <f t="shared" si="75"/>
        <v>165</v>
      </c>
      <c r="K183" s="188"/>
      <c r="L183" s="187">
        <v>4.2</v>
      </c>
      <c r="M183" s="187">
        <v>6.11</v>
      </c>
    </row>
    <row r="184" spans="1:13" x14ac:dyDescent="0.25">
      <c r="A184" s="139">
        <f t="shared" si="57"/>
        <v>175</v>
      </c>
      <c r="B184" s="120"/>
      <c r="C184" s="117"/>
      <c r="D184" s="117"/>
      <c r="F184" s="119"/>
      <c r="G184" s="115"/>
      <c r="H184" s="115"/>
      <c r="I184" s="115"/>
      <c r="K184" s="188"/>
      <c r="L184" s="187"/>
      <c r="M184" s="187"/>
    </row>
    <row r="185" spans="1:13" x14ac:dyDescent="0.25">
      <c r="A185" s="139">
        <f t="shared" si="57"/>
        <v>176</v>
      </c>
      <c r="B185" s="120"/>
      <c r="C185" s="117"/>
      <c r="D185" s="117"/>
      <c r="F185" s="119"/>
      <c r="G185" s="115"/>
      <c r="H185" s="115"/>
      <c r="I185" s="115"/>
      <c r="K185" s="188"/>
      <c r="L185" s="187"/>
      <c r="M185" s="187"/>
    </row>
    <row r="186" spans="1:13" x14ac:dyDescent="0.25">
      <c r="A186" s="139">
        <f t="shared" si="57"/>
        <v>177</v>
      </c>
      <c r="B186" s="120" t="s">
        <v>199</v>
      </c>
      <c r="C186" s="117" t="s">
        <v>184</v>
      </c>
      <c r="D186" s="121" t="s">
        <v>198</v>
      </c>
      <c r="E186" s="137">
        <f t="shared" ref="E186:E200" si="76">SUM(L186:M186)</f>
        <v>1.1599999999999999</v>
      </c>
      <c r="F186" s="116">
        <f t="shared" ref="F186:F200" si="77">ROUND(+E186*$J$10,2)</f>
        <v>0.04</v>
      </c>
      <c r="G186" s="115">
        <v>24</v>
      </c>
      <c r="H186" s="108">
        <f t="shared" ref="H186:H200" si="78">ROUND($G186*E186,0)</f>
        <v>28</v>
      </c>
      <c r="I186" s="108">
        <f t="shared" ref="I186:I200" si="79">ROUND($G186*F186,0)</f>
        <v>1</v>
      </c>
      <c r="K186" s="188"/>
      <c r="L186" s="187">
        <v>0.47</v>
      </c>
      <c r="M186" s="187">
        <v>0.69</v>
      </c>
    </row>
    <row r="187" spans="1:13" x14ac:dyDescent="0.25">
      <c r="A187" s="139">
        <f t="shared" si="57"/>
        <v>178</v>
      </c>
      <c r="B187" s="120" t="str">
        <f t="shared" ref="B187:B200" si="80">B186</f>
        <v>58E &amp; 59E</v>
      </c>
      <c r="C187" s="117" t="s">
        <v>184</v>
      </c>
      <c r="D187" s="121" t="s">
        <v>197</v>
      </c>
      <c r="E187" s="137">
        <f t="shared" si="76"/>
        <v>1.94</v>
      </c>
      <c r="F187" s="116">
        <f t="shared" si="77"/>
        <v>0.06</v>
      </c>
      <c r="G187" s="115">
        <v>278</v>
      </c>
      <c r="H187" s="108">
        <f t="shared" si="78"/>
        <v>539</v>
      </c>
      <c r="I187" s="108">
        <f t="shared" si="79"/>
        <v>17</v>
      </c>
      <c r="K187" s="188"/>
      <c r="L187" s="187">
        <v>0.79</v>
      </c>
      <c r="M187" s="187">
        <v>1.1499999999999999</v>
      </c>
    </row>
    <row r="188" spans="1:13" x14ac:dyDescent="0.25">
      <c r="A188" s="139">
        <f t="shared" si="57"/>
        <v>179</v>
      </c>
      <c r="B188" s="120" t="str">
        <f t="shared" si="80"/>
        <v>58E &amp; 59E</v>
      </c>
      <c r="C188" s="117" t="s">
        <v>184</v>
      </c>
      <c r="D188" s="121" t="s">
        <v>196</v>
      </c>
      <c r="E188" s="137">
        <f t="shared" si="76"/>
        <v>2.7</v>
      </c>
      <c r="F188" s="116">
        <f t="shared" si="77"/>
        <v>0.09</v>
      </c>
      <c r="G188" s="115">
        <v>252</v>
      </c>
      <c r="H188" s="108">
        <f t="shared" si="78"/>
        <v>680</v>
      </c>
      <c r="I188" s="108">
        <f t="shared" si="79"/>
        <v>23</v>
      </c>
      <c r="K188" s="188"/>
      <c r="L188" s="187">
        <v>1.1000000000000001</v>
      </c>
      <c r="M188" s="187">
        <v>1.6</v>
      </c>
    </row>
    <row r="189" spans="1:13" x14ac:dyDescent="0.25">
      <c r="A189" s="139">
        <f t="shared" si="57"/>
        <v>180</v>
      </c>
      <c r="B189" s="120" t="str">
        <f t="shared" si="80"/>
        <v>58E &amp; 59E</v>
      </c>
      <c r="C189" s="117" t="s">
        <v>184</v>
      </c>
      <c r="D189" s="121" t="s">
        <v>195</v>
      </c>
      <c r="E189" s="137">
        <f t="shared" si="76"/>
        <v>3.48</v>
      </c>
      <c r="F189" s="116">
        <f t="shared" si="77"/>
        <v>0.12</v>
      </c>
      <c r="G189" s="115">
        <v>866</v>
      </c>
      <c r="H189" s="108">
        <f t="shared" si="78"/>
        <v>3014</v>
      </c>
      <c r="I189" s="108">
        <f t="shared" si="79"/>
        <v>104</v>
      </c>
      <c r="K189" s="188"/>
      <c r="L189" s="187">
        <v>1.42</v>
      </c>
      <c r="M189" s="187">
        <v>2.06</v>
      </c>
    </row>
    <row r="190" spans="1:13" x14ac:dyDescent="0.25">
      <c r="A190" s="139">
        <f t="shared" si="57"/>
        <v>181</v>
      </c>
      <c r="B190" s="120" t="str">
        <f t="shared" si="80"/>
        <v>58E &amp; 59E</v>
      </c>
      <c r="C190" s="117" t="s">
        <v>184</v>
      </c>
      <c r="D190" s="121" t="s">
        <v>194</v>
      </c>
      <c r="E190" s="137">
        <f t="shared" si="76"/>
        <v>4.25</v>
      </c>
      <c r="F190" s="116">
        <f t="shared" si="77"/>
        <v>0.14000000000000001</v>
      </c>
      <c r="G190" s="115">
        <v>57</v>
      </c>
      <c r="H190" s="108">
        <f t="shared" si="78"/>
        <v>242</v>
      </c>
      <c r="I190" s="108">
        <f t="shared" si="79"/>
        <v>8</v>
      </c>
      <c r="K190" s="188"/>
      <c r="L190" s="187">
        <v>1.73</v>
      </c>
      <c r="M190" s="187">
        <v>2.52</v>
      </c>
    </row>
    <row r="191" spans="1:13" x14ac:dyDescent="0.25">
      <c r="A191" s="139">
        <f t="shared" si="57"/>
        <v>182</v>
      </c>
      <c r="B191" s="120" t="str">
        <f t="shared" si="80"/>
        <v>58E &amp; 59E</v>
      </c>
      <c r="C191" s="117" t="s">
        <v>184</v>
      </c>
      <c r="D191" s="121" t="s">
        <v>193</v>
      </c>
      <c r="E191" s="137">
        <f t="shared" si="76"/>
        <v>5.0299999999999994</v>
      </c>
      <c r="F191" s="116">
        <f t="shared" si="77"/>
        <v>0.17</v>
      </c>
      <c r="G191" s="115"/>
      <c r="H191" s="108">
        <f t="shared" si="78"/>
        <v>0</v>
      </c>
      <c r="I191" s="108">
        <f t="shared" si="79"/>
        <v>0</v>
      </c>
      <c r="K191" s="188"/>
      <c r="L191" s="187">
        <v>2.0499999999999998</v>
      </c>
      <c r="M191" s="187">
        <v>2.98</v>
      </c>
    </row>
    <row r="192" spans="1:13" x14ac:dyDescent="0.25">
      <c r="A192" s="139">
        <f t="shared" si="57"/>
        <v>183</v>
      </c>
      <c r="B192" s="120" t="str">
        <f t="shared" si="80"/>
        <v>58E &amp; 59E</v>
      </c>
      <c r="C192" s="117" t="s">
        <v>184</v>
      </c>
      <c r="D192" s="121" t="s">
        <v>192</v>
      </c>
      <c r="E192" s="137">
        <f t="shared" si="76"/>
        <v>5.8</v>
      </c>
      <c r="F192" s="116">
        <f t="shared" si="77"/>
        <v>0.19</v>
      </c>
      <c r="G192" s="115">
        <v>39</v>
      </c>
      <c r="H192" s="108">
        <f t="shared" si="78"/>
        <v>226</v>
      </c>
      <c r="I192" s="108">
        <f t="shared" si="79"/>
        <v>7</v>
      </c>
      <c r="K192" s="188"/>
      <c r="L192" s="187">
        <v>2.36</v>
      </c>
      <c r="M192" s="187">
        <v>3.44</v>
      </c>
    </row>
    <row r="193" spans="1:13" x14ac:dyDescent="0.25">
      <c r="A193" s="139">
        <f t="shared" si="57"/>
        <v>184</v>
      </c>
      <c r="B193" s="120" t="str">
        <f t="shared" si="80"/>
        <v>58E &amp; 59E</v>
      </c>
      <c r="C193" s="117" t="s">
        <v>184</v>
      </c>
      <c r="D193" s="121" t="s">
        <v>191</v>
      </c>
      <c r="E193" s="137">
        <f t="shared" si="76"/>
        <v>6.57</v>
      </c>
      <c r="F193" s="116">
        <f t="shared" si="77"/>
        <v>0.22</v>
      </c>
      <c r="G193" s="115">
        <v>108</v>
      </c>
      <c r="H193" s="108">
        <f t="shared" si="78"/>
        <v>710</v>
      </c>
      <c r="I193" s="108">
        <f t="shared" si="79"/>
        <v>24</v>
      </c>
      <c r="K193" s="188"/>
      <c r="L193" s="187">
        <v>2.68</v>
      </c>
      <c r="M193" s="187">
        <v>3.89</v>
      </c>
    </row>
    <row r="194" spans="1:13" x14ac:dyDescent="0.25">
      <c r="A194" s="139">
        <f t="shared" si="57"/>
        <v>185</v>
      </c>
      <c r="B194" s="120" t="str">
        <f t="shared" si="80"/>
        <v>58E &amp; 59E</v>
      </c>
      <c r="C194" s="117" t="s">
        <v>184</v>
      </c>
      <c r="D194" s="121" t="s">
        <v>190</v>
      </c>
      <c r="E194" s="137">
        <f t="shared" si="76"/>
        <v>7.35</v>
      </c>
      <c r="F194" s="116">
        <f t="shared" si="77"/>
        <v>0.24</v>
      </c>
      <c r="G194" s="115"/>
      <c r="H194" s="108">
        <f t="shared" si="78"/>
        <v>0</v>
      </c>
      <c r="I194" s="108">
        <f t="shared" si="79"/>
        <v>0</v>
      </c>
      <c r="K194" s="188"/>
      <c r="L194" s="187">
        <v>3</v>
      </c>
      <c r="M194" s="187">
        <v>4.3499999999999996</v>
      </c>
    </row>
    <row r="195" spans="1:13" x14ac:dyDescent="0.25">
      <c r="A195" s="139">
        <f t="shared" si="57"/>
        <v>186</v>
      </c>
      <c r="B195" s="120" t="str">
        <f t="shared" si="80"/>
        <v>58E &amp; 59E</v>
      </c>
      <c r="C195" s="117" t="s">
        <v>184</v>
      </c>
      <c r="D195" s="121" t="s">
        <v>189</v>
      </c>
      <c r="E195" s="137">
        <f t="shared" si="76"/>
        <v>9.0299999999999994</v>
      </c>
      <c r="F195" s="116">
        <f t="shared" si="77"/>
        <v>0.3</v>
      </c>
      <c r="G195" s="115"/>
      <c r="H195" s="108">
        <f t="shared" si="78"/>
        <v>0</v>
      </c>
      <c r="I195" s="108">
        <f t="shared" si="79"/>
        <v>0</v>
      </c>
      <c r="K195" s="188"/>
      <c r="L195" s="187">
        <v>3.68</v>
      </c>
      <c r="M195" s="187">
        <v>5.35</v>
      </c>
    </row>
    <row r="196" spans="1:13" x14ac:dyDescent="0.25">
      <c r="A196" s="139">
        <f t="shared" si="57"/>
        <v>187</v>
      </c>
      <c r="B196" s="120" t="str">
        <f t="shared" si="80"/>
        <v>58E &amp; 59E</v>
      </c>
      <c r="C196" s="117" t="s">
        <v>184</v>
      </c>
      <c r="D196" s="121" t="s">
        <v>188</v>
      </c>
      <c r="E196" s="137">
        <f t="shared" si="76"/>
        <v>11.600000000000001</v>
      </c>
      <c r="F196" s="116">
        <f t="shared" si="77"/>
        <v>0.39</v>
      </c>
      <c r="G196" s="115"/>
      <c r="H196" s="108">
        <f t="shared" si="78"/>
        <v>0</v>
      </c>
      <c r="I196" s="108">
        <f t="shared" si="79"/>
        <v>0</v>
      </c>
      <c r="K196" s="188"/>
      <c r="L196" s="187">
        <v>4.7300000000000004</v>
      </c>
      <c r="M196" s="187">
        <v>6.87</v>
      </c>
    </row>
    <row r="197" spans="1:13" x14ac:dyDescent="0.25">
      <c r="A197" s="139">
        <f t="shared" si="57"/>
        <v>188</v>
      </c>
      <c r="B197" s="120" t="str">
        <f t="shared" si="80"/>
        <v>58E &amp; 59E</v>
      </c>
      <c r="C197" s="117" t="s">
        <v>184</v>
      </c>
      <c r="D197" s="121" t="s">
        <v>187</v>
      </c>
      <c r="E197" s="137">
        <f t="shared" si="76"/>
        <v>14.18</v>
      </c>
      <c r="F197" s="116">
        <f t="shared" si="77"/>
        <v>0.47</v>
      </c>
      <c r="G197" s="115"/>
      <c r="H197" s="108">
        <f t="shared" si="78"/>
        <v>0</v>
      </c>
      <c r="I197" s="108">
        <f t="shared" si="79"/>
        <v>0</v>
      </c>
      <c r="K197" s="188"/>
      <c r="L197" s="187">
        <v>5.78</v>
      </c>
      <c r="M197" s="187">
        <v>8.4</v>
      </c>
    </row>
    <row r="198" spans="1:13" x14ac:dyDescent="0.25">
      <c r="A198" s="139">
        <f t="shared" si="57"/>
        <v>189</v>
      </c>
      <c r="B198" s="120" t="str">
        <f t="shared" si="80"/>
        <v>58E &amp; 59E</v>
      </c>
      <c r="C198" s="117" t="s">
        <v>184</v>
      </c>
      <c r="D198" s="121" t="s">
        <v>186</v>
      </c>
      <c r="E198" s="137">
        <f t="shared" si="76"/>
        <v>16.759999999999998</v>
      </c>
      <c r="F198" s="116">
        <f t="shared" si="77"/>
        <v>0.56000000000000005</v>
      </c>
      <c r="G198" s="115"/>
      <c r="H198" s="108">
        <f t="shared" si="78"/>
        <v>0</v>
      </c>
      <c r="I198" s="108">
        <f t="shared" si="79"/>
        <v>0</v>
      </c>
      <c r="K198" s="188"/>
      <c r="L198" s="187">
        <v>6.83</v>
      </c>
      <c r="M198" s="187">
        <v>9.93</v>
      </c>
    </row>
    <row r="199" spans="1:13" x14ac:dyDescent="0.25">
      <c r="A199" s="139">
        <f t="shared" si="57"/>
        <v>190</v>
      </c>
      <c r="B199" s="120" t="str">
        <f t="shared" si="80"/>
        <v>58E &amp; 59E</v>
      </c>
      <c r="C199" s="117" t="s">
        <v>184</v>
      </c>
      <c r="D199" s="121" t="s">
        <v>185</v>
      </c>
      <c r="E199" s="137">
        <f t="shared" si="76"/>
        <v>19.329999999999998</v>
      </c>
      <c r="F199" s="116">
        <f t="shared" si="77"/>
        <v>0.64</v>
      </c>
      <c r="G199" s="115"/>
      <c r="H199" s="108">
        <f t="shared" si="78"/>
        <v>0</v>
      </c>
      <c r="I199" s="108">
        <f t="shared" si="79"/>
        <v>0</v>
      </c>
      <c r="K199" s="188"/>
      <c r="L199" s="187">
        <v>7.88</v>
      </c>
      <c r="M199" s="187">
        <v>11.45</v>
      </c>
    </row>
    <row r="200" spans="1:13" x14ac:dyDescent="0.25">
      <c r="A200" s="139">
        <f t="shared" si="57"/>
        <v>191</v>
      </c>
      <c r="B200" s="120" t="str">
        <f t="shared" si="80"/>
        <v>58E &amp; 59E</v>
      </c>
      <c r="C200" s="117" t="s">
        <v>184</v>
      </c>
      <c r="D200" s="121" t="s">
        <v>183</v>
      </c>
      <c r="E200" s="137">
        <f t="shared" si="76"/>
        <v>21.91</v>
      </c>
      <c r="F200" s="116">
        <f t="shared" si="77"/>
        <v>0.73</v>
      </c>
      <c r="G200" s="115"/>
      <c r="H200" s="108">
        <f t="shared" si="78"/>
        <v>0</v>
      </c>
      <c r="I200" s="108">
        <f t="shared" si="79"/>
        <v>0</v>
      </c>
      <c r="K200" s="188"/>
      <c r="L200" s="187">
        <v>8.93</v>
      </c>
      <c r="M200" s="187">
        <v>12.98</v>
      </c>
    </row>
    <row r="201" spans="1:13" x14ac:dyDescent="0.25">
      <c r="B201" s="110"/>
      <c r="G201" s="209"/>
      <c r="K201" s="188"/>
      <c r="L201" s="187"/>
      <c r="M201" s="187"/>
    </row>
    <row r="202" spans="1:13" x14ac:dyDescent="0.25">
      <c r="B202" s="110"/>
      <c r="K202" s="188"/>
      <c r="L202" s="187"/>
      <c r="M202" s="187"/>
    </row>
    <row r="204" spans="1:13" x14ac:dyDescent="0.25">
      <c r="K204" s="188"/>
      <c r="L204" s="187"/>
      <c r="M204" s="187"/>
    </row>
    <row r="205" spans="1:13" x14ac:dyDescent="0.25">
      <c r="K205" s="188"/>
      <c r="L205" s="187"/>
      <c r="M205" s="187"/>
    </row>
    <row r="206" spans="1:13" x14ac:dyDescent="0.25">
      <c r="K206" s="188"/>
      <c r="L206" s="187"/>
      <c r="M206" s="187"/>
    </row>
    <row r="207" spans="1:13" x14ac:dyDescent="0.25">
      <c r="K207" s="188"/>
      <c r="L207" s="187"/>
      <c r="M207" s="187"/>
    </row>
    <row r="208" spans="1:13" x14ac:dyDescent="0.25">
      <c r="K208" s="188"/>
      <c r="L208" s="187"/>
      <c r="M208" s="187"/>
    </row>
  </sheetData>
  <mergeCells count="4">
    <mergeCell ref="B4:F4"/>
    <mergeCell ref="A1:J1"/>
    <mergeCell ref="A2:J2"/>
    <mergeCell ref="A3:J3"/>
  </mergeCells>
  <printOptions horizontalCentered="1"/>
  <pageMargins left="0.7" right="0.7" top="0.75" bottom="0.75" header="0.3" footer="0.3"/>
  <pageSetup scale="60" fitToHeight="0" orientation="portrait" r:id="rId1"/>
  <headerFooter alignWithMargins="0">
    <oddHeader>&amp;RAdvice No. 2018-xx
Electric Schedule 140 Rate Design Workpapers
Page &amp;P of &amp;N</oddHeader>
    <oddFooter>&amp;L&amp;F
&amp;A&amp;R&amp;D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U87"/>
  <sheetViews>
    <sheetView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G31" sqref="G31"/>
    </sheetView>
  </sheetViews>
  <sheetFormatPr defaultColWidth="8.85546875" defaultRowHeight="12.75" x14ac:dyDescent="0.2"/>
  <cols>
    <col min="1" max="1" width="24.85546875" style="6" bestFit="1" customWidth="1"/>
    <col min="2" max="2" width="15.42578125" style="6" customWidth="1"/>
    <col min="3" max="3" width="11.42578125" style="6" bestFit="1" customWidth="1"/>
    <col min="4" max="4" width="12" style="6" bestFit="1" customWidth="1"/>
    <col min="5" max="5" width="8.5703125" style="6" bestFit="1" customWidth="1"/>
    <col min="6" max="6" width="12.28515625" style="6" bestFit="1" customWidth="1"/>
    <col min="7" max="7" width="11.5703125" style="6" bestFit="1" customWidth="1"/>
    <col min="8" max="8" width="9.140625" style="6" bestFit="1" customWidth="1"/>
    <col min="9" max="9" width="7.5703125" style="6" bestFit="1" customWidth="1"/>
    <col min="10" max="10" width="7.85546875" style="6" bestFit="1" customWidth="1"/>
    <col min="11" max="11" width="7.7109375" style="6" bestFit="1" customWidth="1"/>
    <col min="12" max="15" width="8.5703125" style="6" bestFit="1" customWidth="1"/>
    <col min="16" max="16" width="10.42578125" style="6" bestFit="1" customWidth="1"/>
    <col min="17" max="17" width="8.5703125" style="6" bestFit="1" customWidth="1"/>
    <col min="18" max="18" width="8.7109375" style="6" customWidth="1"/>
    <col min="19" max="19" width="9.5703125" style="6" bestFit="1" customWidth="1"/>
    <col min="20" max="20" width="10.42578125" style="6" bestFit="1" customWidth="1"/>
    <col min="21" max="21" width="9.5703125" style="6" bestFit="1" customWidth="1"/>
    <col min="22" max="16384" width="8.85546875" style="6"/>
  </cols>
  <sheetData>
    <row r="1" spans="1:21" x14ac:dyDescent="0.2">
      <c r="A1" s="153" t="s">
        <v>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x14ac:dyDescent="0.2">
      <c r="A2" s="153" t="s">
        <v>17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</row>
    <row r="3" spans="1:21" x14ac:dyDescent="0.2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</row>
    <row r="5" spans="1:21" ht="13.5" thickBot="1" x14ac:dyDescent="0.25">
      <c r="C5" s="325" t="s">
        <v>18</v>
      </c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</row>
    <row r="6" spans="1:21" s="156" customFormat="1" ht="38.25" x14ac:dyDescent="0.2">
      <c r="A6" s="154" t="s">
        <v>19</v>
      </c>
      <c r="B6" s="154" t="s">
        <v>20</v>
      </c>
      <c r="C6" s="155" t="s">
        <v>145</v>
      </c>
      <c r="D6" s="155" t="s">
        <v>146</v>
      </c>
      <c r="E6" s="155" t="s">
        <v>147</v>
      </c>
      <c r="F6" s="155" t="s">
        <v>148</v>
      </c>
      <c r="G6" s="155" t="s">
        <v>149</v>
      </c>
      <c r="H6" s="155" t="s">
        <v>150</v>
      </c>
      <c r="I6" s="155" t="s">
        <v>151</v>
      </c>
      <c r="J6" s="155" t="s">
        <v>152</v>
      </c>
      <c r="K6" s="155" t="s">
        <v>153</v>
      </c>
      <c r="L6" s="155" t="s">
        <v>257</v>
      </c>
      <c r="M6" s="155" t="s">
        <v>258</v>
      </c>
      <c r="N6" s="155" t="s">
        <v>154</v>
      </c>
      <c r="O6" s="155" t="s">
        <v>155</v>
      </c>
      <c r="P6" s="155" t="s">
        <v>156</v>
      </c>
      <c r="Q6" s="293" t="s">
        <v>157</v>
      </c>
      <c r="R6" s="294" t="s">
        <v>158</v>
      </c>
      <c r="S6" s="155" t="s">
        <v>21</v>
      </c>
      <c r="T6" s="155" t="s">
        <v>159</v>
      </c>
      <c r="U6" s="154" t="s">
        <v>22</v>
      </c>
    </row>
    <row r="7" spans="1:21" x14ac:dyDescent="0.2">
      <c r="A7" s="6" t="s">
        <v>23</v>
      </c>
      <c r="B7" s="157">
        <f>ROUND(+D73,0)</f>
        <v>1214</v>
      </c>
      <c r="C7" s="92">
        <f t="shared" ref="C7:C18" si="0">ROUND($F$33+IF($B7&gt;600,(600*$F$37+(($B7-600)*$F$46)),$B7*$F$37),2)</f>
        <v>125.16</v>
      </c>
      <c r="D7" s="92">
        <f t="shared" ref="D7:D18" si="1">ROUND($B7*$F$59,2)</f>
        <v>-1.33</v>
      </c>
      <c r="E7" s="92">
        <f t="shared" ref="E7:E18" si="2">ROUND($B7*$F$60,2)</f>
        <v>-2.3199999999999998</v>
      </c>
      <c r="F7" s="92">
        <f t="shared" ref="F7:F18" si="3">ROUND($B7*$F$61,2)</f>
        <v>4.74</v>
      </c>
      <c r="G7" s="92">
        <f t="shared" ref="G7:G18" si="4">ROUND($B7*$F$38,2)</f>
        <v>1.0900000000000001</v>
      </c>
      <c r="H7" s="92">
        <f t="shared" ref="H7:H18" si="5">ROUND($B7*$F$62,2)</f>
        <v>0</v>
      </c>
      <c r="I7" s="92">
        <f t="shared" ref="I7:I18" si="6">ROUND($B7*$F$63,2)</f>
        <v>-0.09</v>
      </c>
      <c r="J7" s="92">
        <f t="shared" ref="J7:J18" si="7">ROUND($B7*$F$39,2)</f>
        <v>3.92</v>
      </c>
      <c r="K7" s="92">
        <f t="shared" ref="K7:K18" si="8">ROUND($F$34+IF($B7&gt;600,(600*$F$40+(($B7-600)*$F$49)),$B7*$F$40),2)</f>
        <v>1.92</v>
      </c>
      <c r="L7" s="92">
        <f>ROUND($F$34+IF($B7&gt;600,(600*$F$41+(($B7-600)*$F$50)),$B7*$F$41),2)</f>
        <v>-1.92</v>
      </c>
      <c r="M7" s="92">
        <f>ROUND($F$34+IF($B7&gt;600,(600*$F$42+(($B7-600)*$F$51)),$B7*$F$42),2)</f>
        <v>-1.54</v>
      </c>
      <c r="N7" s="92">
        <f t="shared" ref="N7:N18" si="9">ROUND($B7*$F$43,2)</f>
        <v>0.75</v>
      </c>
      <c r="O7" s="92">
        <f t="shared" ref="O7:O18" si="10">ROUND($B7*$F$55,2)</f>
        <v>-8.99</v>
      </c>
      <c r="P7" s="92">
        <f>SUM(C7:O7)</f>
        <v>121.39</v>
      </c>
      <c r="Q7" s="295">
        <f>-G7</f>
        <v>-1.0900000000000001</v>
      </c>
      <c r="R7" s="296">
        <f t="shared" ref="R7:R18" si="11">ROUND($B7*$G$38,2)</f>
        <v>1.3</v>
      </c>
      <c r="S7" s="92">
        <f>SUM(Q7:R7)</f>
        <v>0.20999999999999996</v>
      </c>
      <c r="T7" s="92">
        <f>+P7+S7</f>
        <v>121.6</v>
      </c>
      <c r="U7" s="158">
        <f>+S7/P7</f>
        <v>1.7299612818189305E-3</v>
      </c>
    </row>
    <row r="8" spans="1:21" x14ac:dyDescent="0.2">
      <c r="A8" s="6" t="s">
        <v>24</v>
      </c>
      <c r="B8" s="157">
        <f t="shared" ref="B8:B18" si="12">ROUND(+D74,0)</f>
        <v>1053</v>
      </c>
      <c r="C8" s="92">
        <f t="shared" si="0"/>
        <v>108.04</v>
      </c>
      <c r="D8" s="92">
        <f t="shared" si="1"/>
        <v>-1.1599999999999999</v>
      </c>
      <c r="E8" s="92">
        <f t="shared" si="2"/>
        <v>-2.0099999999999998</v>
      </c>
      <c r="F8" s="92">
        <f t="shared" si="3"/>
        <v>4.1100000000000003</v>
      </c>
      <c r="G8" s="92">
        <f t="shared" si="4"/>
        <v>0.94</v>
      </c>
      <c r="H8" s="92">
        <f t="shared" si="5"/>
        <v>0</v>
      </c>
      <c r="I8" s="92">
        <f t="shared" si="6"/>
        <v>-0.08</v>
      </c>
      <c r="J8" s="92">
        <f t="shared" si="7"/>
        <v>3.4</v>
      </c>
      <c r="K8" s="92">
        <f t="shared" si="8"/>
        <v>1.64</v>
      </c>
      <c r="L8" s="92">
        <f t="shared" ref="L8:L18" si="13">ROUND($F$34+IF($B8&gt;600,(600*$F$41+(($B8-600)*$F$50)),$B8*$F$41),2)</f>
        <v>-1.64</v>
      </c>
      <c r="M8" s="92">
        <f t="shared" ref="M8:M18" si="14">ROUND($F$34+IF($B8&gt;600,(600*$F$42+(($B8-600)*$F$51)),$B8*$F$42),2)</f>
        <v>-1.34</v>
      </c>
      <c r="N8" s="92">
        <f t="shared" si="9"/>
        <v>0.65</v>
      </c>
      <c r="O8" s="92">
        <f t="shared" si="10"/>
        <v>-7.8</v>
      </c>
      <c r="P8" s="92">
        <f t="shared" ref="P8:P18" si="15">SUM(C8:O8)</f>
        <v>104.75000000000001</v>
      </c>
      <c r="Q8" s="295">
        <f t="shared" ref="Q8:Q18" si="16">-G8</f>
        <v>-0.94</v>
      </c>
      <c r="R8" s="296">
        <f t="shared" si="11"/>
        <v>1.1200000000000001</v>
      </c>
      <c r="S8" s="92">
        <f t="shared" ref="S8:S18" si="17">SUM(Q8:R8)</f>
        <v>0.18000000000000016</v>
      </c>
      <c r="T8" s="92">
        <f t="shared" ref="T8:T18" si="18">+P8+S8</f>
        <v>104.93000000000002</v>
      </c>
      <c r="U8" s="158">
        <f t="shared" ref="U8:U22" si="19">+S8/P8</f>
        <v>1.7183770883054906E-3</v>
      </c>
    </row>
    <row r="9" spans="1:21" x14ac:dyDescent="0.2">
      <c r="A9" s="6" t="s">
        <v>25</v>
      </c>
      <c r="B9" s="157">
        <f t="shared" si="12"/>
        <v>1014</v>
      </c>
      <c r="C9" s="92">
        <f t="shared" si="0"/>
        <v>103.9</v>
      </c>
      <c r="D9" s="92">
        <f t="shared" si="1"/>
        <v>-1.1100000000000001</v>
      </c>
      <c r="E9" s="92">
        <f t="shared" si="2"/>
        <v>-1.94</v>
      </c>
      <c r="F9" s="92">
        <f t="shared" si="3"/>
        <v>3.96</v>
      </c>
      <c r="G9" s="92">
        <f t="shared" si="4"/>
        <v>0.91</v>
      </c>
      <c r="H9" s="92">
        <f t="shared" si="5"/>
        <v>0</v>
      </c>
      <c r="I9" s="92">
        <f t="shared" si="6"/>
        <v>-7.0000000000000007E-2</v>
      </c>
      <c r="J9" s="92">
        <f t="shared" si="7"/>
        <v>3.27</v>
      </c>
      <c r="K9" s="92">
        <f t="shared" si="8"/>
        <v>1.57</v>
      </c>
      <c r="L9" s="92">
        <f t="shared" si="13"/>
        <v>-1.57</v>
      </c>
      <c r="M9" s="92">
        <f t="shared" si="14"/>
        <v>-1.29</v>
      </c>
      <c r="N9" s="92">
        <f t="shared" si="9"/>
        <v>0.63</v>
      </c>
      <c r="O9" s="92">
        <f t="shared" si="10"/>
        <v>-7.51</v>
      </c>
      <c r="P9" s="92">
        <f t="shared" si="15"/>
        <v>100.74999999999999</v>
      </c>
      <c r="Q9" s="295">
        <f t="shared" si="16"/>
        <v>-0.91</v>
      </c>
      <c r="R9" s="296">
        <f t="shared" si="11"/>
        <v>1.08</v>
      </c>
      <c r="S9" s="92">
        <f t="shared" si="17"/>
        <v>0.17000000000000004</v>
      </c>
      <c r="T9" s="92">
        <f t="shared" si="18"/>
        <v>100.91999999999999</v>
      </c>
      <c r="U9" s="158">
        <f t="shared" si="19"/>
        <v>1.6873449131513654E-3</v>
      </c>
    </row>
    <row r="10" spans="1:21" x14ac:dyDescent="0.2">
      <c r="A10" s="6" t="s">
        <v>26</v>
      </c>
      <c r="B10" s="157">
        <f t="shared" si="12"/>
        <v>835</v>
      </c>
      <c r="C10" s="92">
        <f t="shared" si="0"/>
        <v>84.87</v>
      </c>
      <c r="D10" s="92">
        <f t="shared" si="1"/>
        <v>-0.92</v>
      </c>
      <c r="E10" s="92">
        <f t="shared" si="2"/>
        <v>-1.6</v>
      </c>
      <c r="F10" s="92">
        <f t="shared" si="3"/>
        <v>3.26</v>
      </c>
      <c r="G10" s="92">
        <f t="shared" si="4"/>
        <v>0.75</v>
      </c>
      <c r="H10" s="92">
        <f t="shared" si="5"/>
        <v>0</v>
      </c>
      <c r="I10" s="92">
        <f t="shared" si="6"/>
        <v>-0.06</v>
      </c>
      <c r="J10" s="92">
        <f t="shared" si="7"/>
        <v>2.7</v>
      </c>
      <c r="K10" s="92">
        <f t="shared" si="8"/>
        <v>1.26</v>
      </c>
      <c r="L10" s="92">
        <f t="shared" si="13"/>
        <v>-1.26</v>
      </c>
      <c r="M10" s="92">
        <f t="shared" si="14"/>
        <v>-1.06</v>
      </c>
      <c r="N10" s="92">
        <f t="shared" si="9"/>
        <v>0.52</v>
      </c>
      <c r="O10" s="92">
        <f t="shared" si="10"/>
        <v>-6.18</v>
      </c>
      <c r="P10" s="92">
        <f t="shared" si="15"/>
        <v>82.28</v>
      </c>
      <c r="Q10" s="295">
        <f t="shared" si="16"/>
        <v>-0.75</v>
      </c>
      <c r="R10" s="296">
        <f t="shared" si="11"/>
        <v>0.89</v>
      </c>
      <c r="S10" s="92">
        <f t="shared" si="17"/>
        <v>0.14000000000000001</v>
      </c>
      <c r="T10" s="92">
        <f t="shared" si="18"/>
        <v>82.42</v>
      </c>
      <c r="U10" s="158">
        <f t="shared" si="19"/>
        <v>1.7015070491006321E-3</v>
      </c>
    </row>
    <row r="11" spans="1:21" x14ac:dyDescent="0.2">
      <c r="A11" s="6" t="s">
        <v>27</v>
      </c>
      <c r="B11" s="157">
        <f t="shared" si="12"/>
        <v>712</v>
      </c>
      <c r="C11" s="92">
        <f t="shared" si="0"/>
        <v>71.8</v>
      </c>
      <c r="D11" s="92">
        <f t="shared" si="1"/>
        <v>-0.78</v>
      </c>
      <c r="E11" s="92">
        <f t="shared" si="2"/>
        <v>-1.36</v>
      </c>
      <c r="F11" s="92">
        <f t="shared" si="3"/>
        <v>2.78</v>
      </c>
      <c r="G11" s="92">
        <f t="shared" si="4"/>
        <v>0.64</v>
      </c>
      <c r="H11" s="92">
        <f t="shared" si="5"/>
        <v>0</v>
      </c>
      <c r="I11" s="92">
        <f t="shared" si="6"/>
        <v>-0.05</v>
      </c>
      <c r="J11" s="92">
        <f t="shared" si="7"/>
        <v>2.2999999999999998</v>
      </c>
      <c r="K11" s="92">
        <f t="shared" si="8"/>
        <v>1.05</v>
      </c>
      <c r="L11" s="92">
        <f t="shared" si="13"/>
        <v>-1.05</v>
      </c>
      <c r="M11" s="92">
        <f t="shared" si="14"/>
        <v>-0.9</v>
      </c>
      <c r="N11" s="92">
        <f t="shared" si="9"/>
        <v>0.44</v>
      </c>
      <c r="O11" s="92">
        <f t="shared" si="10"/>
        <v>-5.27</v>
      </c>
      <c r="P11" s="92">
        <f t="shared" si="15"/>
        <v>69.599999999999994</v>
      </c>
      <c r="Q11" s="295">
        <f t="shared" si="16"/>
        <v>-0.64</v>
      </c>
      <c r="R11" s="296">
        <f t="shared" si="11"/>
        <v>0.76</v>
      </c>
      <c r="S11" s="92">
        <f t="shared" si="17"/>
        <v>0.12</v>
      </c>
      <c r="T11" s="92">
        <f t="shared" si="18"/>
        <v>69.72</v>
      </c>
      <c r="U11" s="158">
        <f t="shared" si="19"/>
        <v>1.7241379310344827E-3</v>
      </c>
    </row>
    <row r="12" spans="1:21" x14ac:dyDescent="0.2">
      <c r="A12" s="6" t="s">
        <v>28</v>
      </c>
      <c r="B12" s="157">
        <f t="shared" si="12"/>
        <v>656</v>
      </c>
      <c r="C12" s="92">
        <f t="shared" si="0"/>
        <v>65.84</v>
      </c>
      <c r="D12" s="92">
        <f t="shared" si="1"/>
        <v>-0.72</v>
      </c>
      <c r="E12" s="92">
        <f t="shared" si="2"/>
        <v>-1.25</v>
      </c>
      <c r="F12" s="92">
        <f t="shared" si="3"/>
        <v>2.56</v>
      </c>
      <c r="G12" s="92">
        <f t="shared" si="4"/>
        <v>0.59</v>
      </c>
      <c r="H12" s="92">
        <f t="shared" si="5"/>
        <v>0</v>
      </c>
      <c r="I12" s="92">
        <f t="shared" si="6"/>
        <v>-0.05</v>
      </c>
      <c r="J12" s="92">
        <f t="shared" si="7"/>
        <v>2.12</v>
      </c>
      <c r="K12" s="92">
        <f t="shared" si="8"/>
        <v>0.95</v>
      </c>
      <c r="L12" s="92">
        <f t="shared" si="13"/>
        <v>-0.95</v>
      </c>
      <c r="M12" s="92">
        <f t="shared" si="14"/>
        <v>-0.83</v>
      </c>
      <c r="N12" s="92">
        <f t="shared" si="9"/>
        <v>0.41</v>
      </c>
      <c r="O12" s="92">
        <f t="shared" si="10"/>
        <v>-4.8600000000000003</v>
      </c>
      <c r="P12" s="92">
        <f t="shared" si="15"/>
        <v>63.810000000000016</v>
      </c>
      <c r="Q12" s="295">
        <f t="shared" si="16"/>
        <v>-0.59</v>
      </c>
      <c r="R12" s="296">
        <f t="shared" si="11"/>
        <v>0.7</v>
      </c>
      <c r="S12" s="92">
        <f t="shared" si="17"/>
        <v>0.10999999999999999</v>
      </c>
      <c r="T12" s="92">
        <f t="shared" si="18"/>
        <v>63.920000000000016</v>
      </c>
      <c r="U12" s="158">
        <f t="shared" si="19"/>
        <v>1.723867732330355E-3</v>
      </c>
    </row>
    <row r="13" spans="1:21" x14ac:dyDescent="0.2">
      <c r="A13" s="6" t="s">
        <v>29</v>
      </c>
      <c r="B13" s="157">
        <f t="shared" si="12"/>
        <v>672</v>
      </c>
      <c r="C13" s="92">
        <f t="shared" si="0"/>
        <v>67.540000000000006</v>
      </c>
      <c r="D13" s="92">
        <f t="shared" si="1"/>
        <v>-0.74</v>
      </c>
      <c r="E13" s="92">
        <f t="shared" si="2"/>
        <v>-1.29</v>
      </c>
      <c r="F13" s="92">
        <f t="shared" si="3"/>
        <v>2.62</v>
      </c>
      <c r="G13" s="92">
        <f t="shared" si="4"/>
        <v>0.6</v>
      </c>
      <c r="H13" s="92">
        <f t="shared" si="5"/>
        <v>0</v>
      </c>
      <c r="I13" s="92">
        <f t="shared" si="6"/>
        <v>-0.05</v>
      </c>
      <c r="J13" s="92">
        <f t="shared" si="7"/>
        <v>2.17</v>
      </c>
      <c r="K13" s="92">
        <f t="shared" si="8"/>
        <v>0.98</v>
      </c>
      <c r="L13" s="92">
        <f t="shared" si="13"/>
        <v>-0.98</v>
      </c>
      <c r="M13" s="92">
        <f t="shared" si="14"/>
        <v>-0.85</v>
      </c>
      <c r="N13" s="92">
        <f t="shared" si="9"/>
        <v>0.42</v>
      </c>
      <c r="O13" s="92">
        <f t="shared" si="10"/>
        <v>-4.9800000000000004</v>
      </c>
      <c r="P13" s="92">
        <f t="shared" si="15"/>
        <v>65.440000000000012</v>
      </c>
      <c r="Q13" s="295">
        <f t="shared" si="16"/>
        <v>-0.6</v>
      </c>
      <c r="R13" s="296">
        <f t="shared" si="11"/>
        <v>0.72</v>
      </c>
      <c r="S13" s="92">
        <f t="shared" si="17"/>
        <v>0.12</v>
      </c>
      <c r="T13" s="92">
        <f t="shared" si="18"/>
        <v>65.560000000000016</v>
      </c>
      <c r="U13" s="158">
        <f t="shared" si="19"/>
        <v>1.8337408312958431E-3</v>
      </c>
    </row>
    <row r="14" spans="1:21" x14ac:dyDescent="0.2">
      <c r="A14" s="6" t="s">
        <v>30</v>
      </c>
      <c r="B14" s="157">
        <f t="shared" si="12"/>
        <v>658</v>
      </c>
      <c r="C14" s="92">
        <f t="shared" si="0"/>
        <v>66.06</v>
      </c>
      <c r="D14" s="92">
        <f t="shared" si="1"/>
        <v>-0.72</v>
      </c>
      <c r="E14" s="92">
        <f t="shared" si="2"/>
        <v>-1.26</v>
      </c>
      <c r="F14" s="92">
        <f t="shared" si="3"/>
        <v>2.57</v>
      </c>
      <c r="G14" s="92">
        <f t="shared" si="4"/>
        <v>0.59</v>
      </c>
      <c r="H14" s="92">
        <f t="shared" si="5"/>
        <v>0</v>
      </c>
      <c r="I14" s="92">
        <f t="shared" si="6"/>
        <v>-0.05</v>
      </c>
      <c r="J14" s="92">
        <f t="shared" si="7"/>
        <v>2.12</v>
      </c>
      <c r="K14" s="92">
        <f t="shared" si="8"/>
        <v>0.96</v>
      </c>
      <c r="L14" s="92">
        <f t="shared" si="13"/>
        <v>-0.96</v>
      </c>
      <c r="M14" s="92">
        <f t="shared" si="14"/>
        <v>-0.84</v>
      </c>
      <c r="N14" s="92">
        <f t="shared" si="9"/>
        <v>0.41</v>
      </c>
      <c r="O14" s="92">
        <f t="shared" si="10"/>
        <v>-4.87</v>
      </c>
      <c r="P14" s="92">
        <f t="shared" si="15"/>
        <v>64.009999999999991</v>
      </c>
      <c r="Q14" s="295">
        <f t="shared" si="16"/>
        <v>-0.59</v>
      </c>
      <c r="R14" s="296">
        <f t="shared" si="11"/>
        <v>0.7</v>
      </c>
      <c r="S14" s="92">
        <f t="shared" si="17"/>
        <v>0.10999999999999999</v>
      </c>
      <c r="T14" s="92">
        <f t="shared" si="18"/>
        <v>64.11999999999999</v>
      </c>
      <c r="U14" s="158">
        <f t="shared" si="19"/>
        <v>1.7184814872676145E-3</v>
      </c>
    </row>
    <row r="15" spans="1:21" x14ac:dyDescent="0.2">
      <c r="A15" s="6" t="s">
        <v>31</v>
      </c>
      <c r="B15" s="157">
        <f t="shared" si="12"/>
        <v>647</v>
      </c>
      <c r="C15" s="92">
        <f t="shared" si="0"/>
        <v>64.89</v>
      </c>
      <c r="D15" s="92">
        <f t="shared" si="1"/>
        <v>-0.71</v>
      </c>
      <c r="E15" s="92">
        <f t="shared" si="2"/>
        <v>-1.24</v>
      </c>
      <c r="F15" s="92">
        <f t="shared" si="3"/>
        <v>2.5299999999999998</v>
      </c>
      <c r="G15" s="92">
        <f t="shared" si="4"/>
        <v>0.57999999999999996</v>
      </c>
      <c r="H15" s="92">
        <f t="shared" si="5"/>
        <v>0</v>
      </c>
      <c r="I15" s="92">
        <f t="shared" si="6"/>
        <v>-0.05</v>
      </c>
      <c r="J15" s="92">
        <f t="shared" si="7"/>
        <v>2.09</v>
      </c>
      <c r="K15" s="92">
        <f t="shared" si="8"/>
        <v>0.94</v>
      </c>
      <c r="L15" s="92">
        <f t="shared" si="13"/>
        <v>-0.94</v>
      </c>
      <c r="M15" s="92">
        <f t="shared" si="14"/>
        <v>-0.82</v>
      </c>
      <c r="N15" s="92">
        <f t="shared" si="9"/>
        <v>0.4</v>
      </c>
      <c r="O15" s="92">
        <f t="shared" si="10"/>
        <v>-4.79</v>
      </c>
      <c r="P15" s="92">
        <f t="shared" si="15"/>
        <v>62.880000000000017</v>
      </c>
      <c r="Q15" s="295">
        <f t="shared" si="16"/>
        <v>-0.57999999999999996</v>
      </c>
      <c r="R15" s="296">
        <f t="shared" si="11"/>
        <v>0.69</v>
      </c>
      <c r="S15" s="92">
        <f t="shared" si="17"/>
        <v>0.10999999999999999</v>
      </c>
      <c r="T15" s="92">
        <f t="shared" si="18"/>
        <v>62.990000000000016</v>
      </c>
      <c r="U15" s="158">
        <f t="shared" si="19"/>
        <v>1.7493638676844777E-3</v>
      </c>
    </row>
    <row r="16" spans="1:21" x14ac:dyDescent="0.2">
      <c r="A16" s="6" t="s">
        <v>32</v>
      </c>
      <c r="B16" s="157">
        <f t="shared" si="12"/>
        <v>818</v>
      </c>
      <c r="C16" s="92">
        <f t="shared" si="0"/>
        <v>83.06</v>
      </c>
      <c r="D16" s="92">
        <f t="shared" si="1"/>
        <v>-0.9</v>
      </c>
      <c r="E16" s="92">
        <f t="shared" si="2"/>
        <v>-1.56</v>
      </c>
      <c r="F16" s="92">
        <f t="shared" si="3"/>
        <v>3.19</v>
      </c>
      <c r="G16" s="92">
        <f t="shared" si="4"/>
        <v>0.73</v>
      </c>
      <c r="H16" s="92">
        <f t="shared" si="5"/>
        <v>0</v>
      </c>
      <c r="I16" s="92">
        <f t="shared" si="6"/>
        <v>-0.06</v>
      </c>
      <c r="J16" s="92">
        <f t="shared" si="7"/>
        <v>2.64</v>
      </c>
      <c r="K16" s="92">
        <f t="shared" si="8"/>
        <v>1.23</v>
      </c>
      <c r="L16" s="92">
        <f t="shared" si="13"/>
        <v>-1.23</v>
      </c>
      <c r="M16" s="92">
        <f t="shared" si="14"/>
        <v>-1.04</v>
      </c>
      <c r="N16" s="92">
        <f t="shared" si="9"/>
        <v>0.51</v>
      </c>
      <c r="O16" s="92">
        <f t="shared" si="10"/>
        <v>-6.06</v>
      </c>
      <c r="P16" s="92">
        <f t="shared" si="15"/>
        <v>80.509999999999991</v>
      </c>
      <c r="Q16" s="295">
        <f t="shared" si="16"/>
        <v>-0.73</v>
      </c>
      <c r="R16" s="296">
        <f t="shared" si="11"/>
        <v>0.87</v>
      </c>
      <c r="S16" s="92">
        <f t="shared" si="17"/>
        <v>0.14000000000000001</v>
      </c>
      <c r="T16" s="92">
        <f t="shared" si="18"/>
        <v>80.649999999999991</v>
      </c>
      <c r="U16" s="158">
        <f t="shared" si="19"/>
        <v>1.7389144205688738E-3</v>
      </c>
    </row>
    <row r="17" spans="1:21" x14ac:dyDescent="0.2">
      <c r="A17" s="6" t="s">
        <v>33</v>
      </c>
      <c r="B17" s="157">
        <f t="shared" si="12"/>
        <v>1005</v>
      </c>
      <c r="C17" s="92">
        <f t="shared" si="0"/>
        <v>102.94</v>
      </c>
      <c r="D17" s="92">
        <f t="shared" si="1"/>
        <v>-1.1000000000000001</v>
      </c>
      <c r="E17" s="92">
        <f t="shared" si="2"/>
        <v>-1.92</v>
      </c>
      <c r="F17" s="92">
        <f t="shared" si="3"/>
        <v>3.92</v>
      </c>
      <c r="G17" s="92">
        <f t="shared" si="4"/>
        <v>0.9</v>
      </c>
      <c r="H17" s="92">
        <f t="shared" si="5"/>
        <v>0</v>
      </c>
      <c r="I17" s="92">
        <f t="shared" si="6"/>
        <v>-7.0000000000000007E-2</v>
      </c>
      <c r="J17" s="92">
        <f t="shared" si="7"/>
        <v>3.24</v>
      </c>
      <c r="K17" s="92">
        <f t="shared" si="8"/>
        <v>1.56</v>
      </c>
      <c r="L17" s="92">
        <f t="shared" si="13"/>
        <v>-1.56</v>
      </c>
      <c r="M17" s="92">
        <f t="shared" si="14"/>
        <v>-1.28</v>
      </c>
      <c r="N17" s="92">
        <f t="shared" si="9"/>
        <v>0.62</v>
      </c>
      <c r="O17" s="92">
        <f t="shared" si="10"/>
        <v>-7.44</v>
      </c>
      <c r="P17" s="92">
        <f t="shared" si="15"/>
        <v>99.810000000000016</v>
      </c>
      <c r="Q17" s="295">
        <f t="shared" si="16"/>
        <v>-0.9</v>
      </c>
      <c r="R17" s="296">
        <f t="shared" si="11"/>
        <v>1.07</v>
      </c>
      <c r="S17" s="92">
        <f t="shared" si="17"/>
        <v>0.17000000000000004</v>
      </c>
      <c r="T17" s="92">
        <f t="shared" si="18"/>
        <v>99.980000000000018</v>
      </c>
      <c r="U17" s="158">
        <f t="shared" si="19"/>
        <v>1.7032361486824968E-3</v>
      </c>
    </row>
    <row r="18" spans="1:21" x14ac:dyDescent="0.2">
      <c r="A18" s="6" t="s">
        <v>34</v>
      </c>
      <c r="B18" s="157">
        <f t="shared" si="12"/>
        <v>1265</v>
      </c>
      <c r="C18" s="92">
        <f t="shared" si="0"/>
        <v>130.58000000000001</v>
      </c>
      <c r="D18" s="92">
        <f t="shared" si="1"/>
        <v>-1.39</v>
      </c>
      <c r="E18" s="92">
        <f t="shared" si="2"/>
        <v>-2.42</v>
      </c>
      <c r="F18" s="92">
        <f t="shared" si="3"/>
        <v>4.9400000000000004</v>
      </c>
      <c r="G18" s="92">
        <f t="shared" si="4"/>
        <v>1.1299999999999999</v>
      </c>
      <c r="H18" s="92">
        <f t="shared" si="5"/>
        <v>0</v>
      </c>
      <c r="I18" s="92">
        <f t="shared" si="6"/>
        <v>-0.09</v>
      </c>
      <c r="J18" s="92">
        <f t="shared" si="7"/>
        <v>4.08</v>
      </c>
      <c r="K18" s="92">
        <f t="shared" si="8"/>
        <v>2.0099999999999998</v>
      </c>
      <c r="L18" s="92">
        <f t="shared" si="13"/>
        <v>-2.0099999999999998</v>
      </c>
      <c r="M18" s="92">
        <f t="shared" si="14"/>
        <v>-1.61</v>
      </c>
      <c r="N18" s="92">
        <f t="shared" si="9"/>
        <v>0.79</v>
      </c>
      <c r="O18" s="92">
        <f t="shared" si="10"/>
        <v>-9.3699999999999992</v>
      </c>
      <c r="P18" s="92">
        <f t="shared" si="15"/>
        <v>126.64000000000001</v>
      </c>
      <c r="Q18" s="295">
        <f t="shared" si="16"/>
        <v>-1.1299999999999999</v>
      </c>
      <c r="R18" s="296">
        <f t="shared" si="11"/>
        <v>1.35</v>
      </c>
      <c r="S18" s="92">
        <f t="shared" si="17"/>
        <v>0.2200000000000002</v>
      </c>
      <c r="T18" s="92">
        <f t="shared" si="18"/>
        <v>126.86000000000001</v>
      </c>
      <c r="U18" s="158">
        <f t="shared" si="19"/>
        <v>1.7372078332280494E-3</v>
      </c>
    </row>
    <row r="19" spans="1:21" x14ac:dyDescent="0.2"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295"/>
      <c r="R19" s="296"/>
      <c r="S19" s="92"/>
      <c r="T19" s="92"/>
      <c r="U19" s="158"/>
    </row>
    <row r="20" spans="1:21" ht="13.5" thickBot="1" x14ac:dyDescent="0.25">
      <c r="A20" s="159" t="s">
        <v>35</v>
      </c>
      <c r="B20" s="160">
        <f>SUM(B7:B19)</f>
        <v>10549</v>
      </c>
      <c r="C20" s="161">
        <f>SUM(C7:C19)</f>
        <v>1074.68</v>
      </c>
      <c r="D20" s="161">
        <f t="shared" ref="D20:T20" si="20">SUM(D7:D19)</f>
        <v>-11.580000000000002</v>
      </c>
      <c r="E20" s="161">
        <f t="shared" si="20"/>
        <v>-20.170000000000002</v>
      </c>
      <c r="F20" s="161">
        <f t="shared" si="20"/>
        <v>41.18</v>
      </c>
      <c r="G20" s="161">
        <f t="shared" si="20"/>
        <v>9.4499999999999993</v>
      </c>
      <c r="H20" s="161">
        <f t="shared" si="20"/>
        <v>0</v>
      </c>
      <c r="I20" s="161">
        <f t="shared" si="20"/>
        <v>-0.76999999999999991</v>
      </c>
      <c r="J20" s="161">
        <f t="shared" si="20"/>
        <v>34.050000000000004</v>
      </c>
      <c r="K20" s="161">
        <f t="shared" si="20"/>
        <v>16.07</v>
      </c>
      <c r="L20" s="161">
        <f t="shared" ref="L20:M20" si="21">SUM(L7:L19)</f>
        <v>-16.07</v>
      </c>
      <c r="M20" s="161">
        <f t="shared" si="21"/>
        <v>-13.4</v>
      </c>
      <c r="N20" s="161">
        <f t="shared" si="20"/>
        <v>6.55</v>
      </c>
      <c r="O20" s="161">
        <f t="shared" si="20"/>
        <v>-78.12</v>
      </c>
      <c r="P20" s="161">
        <f t="shared" si="20"/>
        <v>1041.8700000000001</v>
      </c>
      <c r="Q20" s="297">
        <f t="shared" si="20"/>
        <v>-9.4499999999999993</v>
      </c>
      <c r="R20" s="298">
        <f t="shared" si="20"/>
        <v>11.249999999999998</v>
      </c>
      <c r="S20" s="161">
        <f t="shared" si="20"/>
        <v>1.8000000000000003</v>
      </c>
      <c r="T20" s="161">
        <f t="shared" si="20"/>
        <v>1043.67</v>
      </c>
      <c r="U20" s="162">
        <f t="shared" si="19"/>
        <v>1.7276627602292034E-3</v>
      </c>
    </row>
    <row r="21" spans="1:21" ht="13.5" thickTop="1" x14ac:dyDescent="0.2">
      <c r="A21" s="159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299"/>
      <c r="R21" s="300"/>
      <c r="S21" s="163"/>
      <c r="T21" s="163"/>
      <c r="U21" s="164"/>
    </row>
    <row r="22" spans="1:21" ht="13.5" thickBot="1" x14ac:dyDescent="0.25">
      <c r="A22" s="106" t="s">
        <v>36</v>
      </c>
      <c r="B22" s="160">
        <f>ROUND(+B20/12,0)</f>
        <v>879</v>
      </c>
      <c r="C22" s="161">
        <f>+C20/12</f>
        <v>89.556666666666672</v>
      </c>
      <c r="D22" s="161">
        <f t="shared" ref="D22:T22" si="22">+D20/12</f>
        <v>-0.96500000000000019</v>
      </c>
      <c r="E22" s="161">
        <f t="shared" si="22"/>
        <v>-1.6808333333333334</v>
      </c>
      <c r="F22" s="161">
        <f t="shared" si="22"/>
        <v>3.4316666666666666</v>
      </c>
      <c r="G22" s="161">
        <f t="shared" si="22"/>
        <v>0.78749999999999998</v>
      </c>
      <c r="H22" s="161">
        <f t="shared" si="22"/>
        <v>0</v>
      </c>
      <c r="I22" s="161">
        <f t="shared" si="22"/>
        <v>-6.4166666666666664E-2</v>
      </c>
      <c r="J22" s="161">
        <f t="shared" si="22"/>
        <v>2.8375000000000004</v>
      </c>
      <c r="K22" s="161">
        <f t="shared" si="22"/>
        <v>1.3391666666666666</v>
      </c>
      <c r="L22" s="161">
        <f t="shared" ref="L22:M22" si="23">+L20/12</f>
        <v>-1.3391666666666666</v>
      </c>
      <c r="M22" s="161">
        <f t="shared" si="23"/>
        <v>-1.1166666666666667</v>
      </c>
      <c r="N22" s="161">
        <f t="shared" si="22"/>
        <v>0.54583333333333328</v>
      </c>
      <c r="O22" s="161">
        <f t="shared" si="22"/>
        <v>-6.5100000000000007</v>
      </c>
      <c r="P22" s="161">
        <f t="shared" si="22"/>
        <v>86.822500000000005</v>
      </c>
      <c r="Q22" s="297">
        <f t="shared" si="22"/>
        <v>-0.78749999999999998</v>
      </c>
      <c r="R22" s="298">
        <f t="shared" si="22"/>
        <v>0.93749999999999989</v>
      </c>
      <c r="S22" s="161">
        <f t="shared" si="22"/>
        <v>0.15000000000000002</v>
      </c>
      <c r="T22" s="161">
        <f t="shared" si="22"/>
        <v>86.972500000000011</v>
      </c>
      <c r="U22" s="162">
        <f t="shared" si="19"/>
        <v>1.7276627602292034E-3</v>
      </c>
    </row>
    <row r="23" spans="1:21" ht="13.5" thickTop="1" x14ac:dyDescent="0.2"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299"/>
      <c r="R23" s="300"/>
      <c r="S23" s="163"/>
      <c r="T23" s="163"/>
    </row>
    <row r="24" spans="1:21" x14ac:dyDescent="0.2">
      <c r="A24" s="6" t="s">
        <v>37</v>
      </c>
      <c r="C24" s="94">
        <f>+C20/$B$20*100</f>
        <v>10.187505924732204</v>
      </c>
      <c r="D24" s="94">
        <f t="shared" ref="D24:T24" si="24">+D20/$B$20*100</f>
        <v>-0.10977343824059155</v>
      </c>
      <c r="E24" s="94">
        <f t="shared" si="24"/>
        <v>-0.19120295762631531</v>
      </c>
      <c r="F24" s="94">
        <f t="shared" si="24"/>
        <v>0.39036875533225901</v>
      </c>
      <c r="G24" s="94">
        <f t="shared" si="24"/>
        <v>8.9581950895819495E-2</v>
      </c>
      <c r="H24" s="94">
        <f t="shared" si="24"/>
        <v>0</v>
      </c>
      <c r="I24" s="94">
        <f t="shared" si="24"/>
        <v>-7.2992700729926996E-3</v>
      </c>
      <c r="J24" s="94">
        <f t="shared" si="24"/>
        <v>0.32277941037065128</v>
      </c>
      <c r="K24" s="94">
        <f t="shared" si="24"/>
        <v>0.15233671438051</v>
      </c>
      <c r="L24" s="94">
        <f t="shared" ref="L24:M24" si="25">+L20/$B$20*100</f>
        <v>-0.15233671438051</v>
      </c>
      <c r="M24" s="94">
        <f t="shared" si="25"/>
        <v>-0.12702625841311974</v>
      </c>
      <c r="N24" s="94">
        <f t="shared" si="24"/>
        <v>6.2091193478054793E-2</v>
      </c>
      <c r="O24" s="94">
        <f t="shared" si="24"/>
        <v>-0.74054412740544129</v>
      </c>
      <c r="P24" s="94">
        <f t="shared" si="24"/>
        <v>9.8764811830505277</v>
      </c>
      <c r="Q24" s="301">
        <f t="shared" si="24"/>
        <v>-8.9581950895819495E-2</v>
      </c>
      <c r="R24" s="302">
        <f t="shared" si="24"/>
        <v>0.10664517963788035</v>
      </c>
      <c r="S24" s="94">
        <f t="shared" si="24"/>
        <v>1.7063228742060864E-2</v>
      </c>
      <c r="T24" s="94">
        <f t="shared" si="24"/>
        <v>9.8935444117925879</v>
      </c>
    </row>
    <row r="25" spans="1:21" x14ac:dyDescent="0.2"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299"/>
      <c r="R25" s="300"/>
      <c r="S25" s="163"/>
      <c r="T25" s="163"/>
    </row>
    <row r="26" spans="1:21" ht="13.5" thickBot="1" x14ac:dyDescent="0.25">
      <c r="A26" s="106" t="s">
        <v>171</v>
      </c>
      <c r="B26" s="160">
        <v>1000</v>
      </c>
      <c r="C26" s="161">
        <f>ROUND($F$33+IF($B26&gt;600,(600*$F$37+(($B26-600)*$F$46)),$B26*$F$37),2)</f>
        <v>102.41</v>
      </c>
      <c r="D26" s="161">
        <f>ROUND($B26*$F$59,2)</f>
        <v>-1.1000000000000001</v>
      </c>
      <c r="E26" s="161">
        <f>ROUND($B26*$F$60,2)</f>
        <v>-1.91</v>
      </c>
      <c r="F26" s="161">
        <f>ROUND($B26*$F$61,2)</f>
        <v>3.91</v>
      </c>
      <c r="G26" s="161">
        <f>ROUND($B26*$F$38,2)</f>
        <v>0.9</v>
      </c>
      <c r="H26" s="161">
        <f>ROUND($B26*$F$62,2)</f>
        <v>0</v>
      </c>
      <c r="I26" s="161">
        <f>ROUND($B26*$F$63,2)</f>
        <v>-7.0000000000000007E-2</v>
      </c>
      <c r="J26" s="161">
        <f>ROUND($B26*$F$39,2)</f>
        <v>3.23</v>
      </c>
      <c r="K26" s="161">
        <f>ROUND($F$34+IF($B26&gt;600,(600*$F$40+(($B26-600)*$F$49)),$B26*$F$37),2)</f>
        <v>1.55</v>
      </c>
      <c r="L26" s="161">
        <f>ROUND($F$34+IF($B26&gt;600,(600*$F$41+(($B26-600)*$F$50)),$B26*$F$37),2)</f>
        <v>-1.55</v>
      </c>
      <c r="M26" s="161">
        <f>ROUND($F$34+IF($B26&gt;600,(600*$F$42+(($B26-600)*$F$51)),$B26*$F$37),2)</f>
        <v>-1.27</v>
      </c>
      <c r="N26" s="161">
        <f>ROUND($B26*$F$43,2)</f>
        <v>0.62</v>
      </c>
      <c r="O26" s="161">
        <f>ROUND($B26*$F$55,2)</f>
        <v>-7.41</v>
      </c>
      <c r="P26" s="161">
        <f>SUM(C26:O26)</f>
        <v>99.310000000000031</v>
      </c>
      <c r="Q26" s="297">
        <f>-G26</f>
        <v>-0.9</v>
      </c>
      <c r="R26" s="298">
        <f>ROUND($B26*$G$38,2)</f>
        <v>1.07</v>
      </c>
      <c r="S26" s="161">
        <f>SUM(Q26:R26)</f>
        <v>0.17000000000000004</v>
      </c>
      <c r="T26" s="161">
        <f>+P26+S26</f>
        <v>99.480000000000032</v>
      </c>
      <c r="U26" s="162">
        <f>+S26/P26</f>
        <v>1.7118114993454837E-3</v>
      </c>
    </row>
    <row r="27" spans="1:21" ht="13.5" thickTop="1" x14ac:dyDescent="0.2">
      <c r="Q27" s="39"/>
      <c r="R27" s="40"/>
    </row>
    <row r="28" spans="1:21" ht="13.5" thickBot="1" x14ac:dyDescent="0.25">
      <c r="A28" s="106" t="s">
        <v>160</v>
      </c>
      <c r="B28" s="160">
        <f>ROUND(B22,-2)</f>
        <v>900</v>
      </c>
      <c r="C28" s="161">
        <f>ROUND($F$33+IF($B28&gt;600,(600*$F$37+(($B28-600)*$F$46)),$B28*$F$37),2)</f>
        <v>91.78</v>
      </c>
      <c r="D28" s="161">
        <f>ROUND($B28*$F$59,2)</f>
        <v>-0.99</v>
      </c>
      <c r="E28" s="161">
        <f>ROUND($B28*$F$60,2)</f>
        <v>-1.72</v>
      </c>
      <c r="F28" s="161">
        <f>ROUND($B28*$F$61,2)</f>
        <v>3.51</v>
      </c>
      <c r="G28" s="161">
        <f>ROUND($B28*$F$38,2)</f>
        <v>0.81</v>
      </c>
      <c r="H28" s="161">
        <f>ROUND($B28*$F$62,2)</f>
        <v>0</v>
      </c>
      <c r="I28" s="161">
        <f>ROUND($B28*$F$63,2)</f>
        <v>-7.0000000000000007E-2</v>
      </c>
      <c r="J28" s="161">
        <f>ROUND($B28*$F$39,2)</f>
        <v>2.91</v>
      </c>
      <c r="K28" s="161">
        <f>ROUND($F$34+IF($B28&gt;600,(600*$F$40+(($B28-600)*$F$49)),$B28*$F$37),2)</f>
        <v>1.38</v>
      </c>
      <c r="L28" s="161">
        <f>ROUND($F$34+IF($B28&gt;600,(600*$F$41+(($B28-600)*$F$50)),$B28*$F$37),2)</f>
        <v>-1.38</v>
      </c>
      <c r="M28" s="161">
        <f>ROUND($F$34+IF($B28&gt;600,(600*$F$42+(($B28-600)*$F$51)),$B28*$F$37),2)</f>
        <v>-1.1399999999999999</v>
      </c>
      <c r="N28" s="161">
        <f>ROUND($B28*$F$43,2)</f>
        <v>0.56000000000000005</v>
      </c>
      <c r="O28" s="161">
        <f>ROUND($B28*$F$55,2)</f>
        <v>-6.67</v>
      </c>
      <c r="P28" s="161">
        <f>SUM(C28:O28)</f>
        <v>88.980000000000018</v>
      </c>
      <c r="Q28" s="303">
        <f>-G28</f>
        <v>-0.81</v>
      </c>
      <c r="R28" s="304">
        <f>ROUND($B28*$G$38,2)</f>
        <v>0.96</v>
      </c>
      <c r="S28" s="161">
        <f>SUM(Q28:R28)</f>
        <v>0.14999999999999991</v>
      </c>
      <c r="T28" s="161">
        <f>+P28+S28</f>
        <v>89.130000000000024</v>
      </c>
      <c r="U28" s="162">
        <f>+S28/P28</f>
        <v>1.685772083614294E-3</v>
      </c>
    </row>
    <row r="29" spans="1:21" ht="13.5" thickTop="1" x14ac:dyDescent="0.2"/>
    <row r="31" spans="1:21" ht="51" x14ac:dyDescent="0.2">
      <c r="A31" s="165" t="s">
        <v>161</v>
      </c>
      <c r="B31" s="166"/>
      <c r="C31" s="166"/>
      <c r="D31" s="166"/>
      <c r="F31" s="292" t="s">
        <v>318</v>
      </c>
      <c r="G31" s="291" t="s">
        <v>317</v>
      </c>
      <c r="H31" s="93"/>
      <c r="I31" s="93"/>
      <c r="J31" s="93"/>
      <c r="K31" s="93"/>
      <c r="L31" s="93"/>
      <c r="M31" s="93"/>
      <c r="N31" s="93"/>
      <c r="O31" s="93"/>
    </row>
    <row r="32" spans="1:21" x14ac:dyDescent="0.2">
      <c r="A32" s="326" t="s">
        <v>38</v>
      </c>
      <c r="B32" s="326"/>
      <c r="C32" s="326"/>
      <c r="D32" s="326"/>
      <c r="F32" s="167"/>
      <c r="G32" s="168"/>
      <c r="H32" s="93"/>
      <c r="I32" s="93"/>
      <c r="J32" s="93"/>
      <c r="K32" s="93"/>
      <c r="L32" s="93"/>
      <c r="M32" s="93"/>
      <c r="N32" s="93"/>
      <c r="O32" s="93"/>
    </row>
    <row r="33" spans="1:15" x14ac:dyDescent="0.2">
      <c r="A33" s="327" t="s">
        <v>162</v>
      </c>
      <c r="B33" s="327"/>
      <c r="C33" s="327"/>
      <c r="D33" s="327"/>
      <c r="F33" s="169">
        <v>7.49</v>
      </c>
      <c r="G33" s="170">
        <f>+F33</f>
        <v>7.49</v>
      </c>
      <c r="H33" s="93" t="s">
        <v>39</v>
      </c>
      <c r="I33" s="93"/>
      <c r="J33" s="93"/>
      <c r="K33" s="93"/>
      <c r="L33" s="93"/>
      <c r="M33" s="93"/>
      <c r="N33" s="93"/>
      <c r="O33" s="93"/>
    </row>
    <row r="34" spans="1:15" x14ac:dyDescent="0.2">
      <c r="A34" s="327" t="s">
        <v>121</v>
      </c>
      <c r="B34" s="327"/>
      <c r="C34" s="327"/>
      <c r="D34" s="327"/>
      <c r="F34" s="171">
        <v>0</v>
      </c>
      <c r="G34" s="172">
        <f>+F34</f>
        <v>0</v>
      </c>
      <c r="H34" s="93" t="s">
        <v>39</v>
      </c>
      <c r="I34" s="93"/>
      <c r="J34" s="93"/>
      <c r="K34" s="93"/>
      <c r="L34" s="93"/>
      <c r="M34" s="93"/>
      <c r="N34" s="93"/>
      <c r="O34" s="93"/>
    </row>
    <row r="35" spans="1:15" ht="13.5" thickBot="1" x14ac:dyDescent="0.25">
      <c r="A35" s="324" t="s">
        <v>125</v>
      </c>
      <c r="B35" s="324"/>
      <c r="C35" s="324"/>
      <c r="D35" s="324"/>
      <c r="F35" s="173">
        <f>SUM(F33:F34)</f>
        <v>7.49</v>
      </c>
      <c r="G35" s="174">
        <f>SUM(G33:G34)</f>
        <v>7.49</v>
      </c>
      <c r="H35" s="93"/>
      <c r="I35" s="93"/>
      <c r="J35" s="93"/>
      <c r="K35" s="93"/>
      <c r="L35" s="93"/>
      <c r="M35" s="93"/>
      <c r="N35" s="93"/>
      <c r="O35" s="93"/>
    </row>
    <row r="36" spans="1:15" ht="13.5" thickTop="1" x14ac:dyDescent="0.2">
      <c r="A36" s="326" t="s">
        <v>40</v>
      </c>
      <c r="B36" s="326"/>
      <c r="C36" s="326"/>
      <c r="D36" s="326"/>
      <c r="F36" s="152"/>
      <c r="G36" s="175"/>
      <c r="H36" s="93"/>
      <c r="I36" s="93"/>
      <c r="J36" s="93"/>
      <c r="K36" s="93"/>
      <c r="L36" s="93"/>
      <c r="M36" s="93"/>
      <c r="N36" s="93"/>
      <c r="O36" s="93"/>
    </row>
    <row r="37" spans="1:15" x14ac:dyDescent="0.2">
      <c r="A37" s="327" t="s">
        <v>41</v>
      </c>
      <c r="B37" s="327"/>
      <c r="C37" s="327"/>
      <c r="D37" s="327"/>
      <c r="F37" s="176">
        <v>8.7335999999999997E-2</v>
      </c>
      <c r="G37" s="177">
        <f>+F37</f>
        <v>8.7335999999999997E-2</v>
      </c>
      <c r="H37" s="93" t="s">
        <v>11</v>
      </c>
      <c r="I37" s="93"/>
      <c r="J37" s="93"/>
      <c r="K37" s="93"/>
      <c r="L37" s="93"/>
      <c r="M37" s="93"/>
      <c r="N37" s="93"/>
      <c r="O37" s="93"/>
    </row>
    <row r="38" spans="1:15" x14ac:dyDescent="0.2">
      <c r="A38" s="328" t="s">
        <v>46</v>
      </c>
      <c r="B38" s="328"/>
      <c r="C38" s="328"/>
      <c r="D38" s="328"/>
      <c r="E38" s="312"/>
      <c r="F38" s="313">
        <f>+'2019 Proposed Impacts'!F9</f>
        <v>8.9541873144173675E-4</v>
      </c>
      <c r="G38" s="185">
        <f>+'2019 Proposed Impacts'!G9</f>
        <v>1.0679999999999999E-3</v>
      </c>
      <c r="H38" s="93" t="s">
        <v>11</v>
      </c>
      <c r="I38" s="93"/>
      <c r="J38" s="93"/>
      <c r="K38" s="93"/>
      <c r="L38" s="93"/>
      <c r="M38" s="93"/>
      <c r="N38" s="93"/>
      <c r="O38" s="93"/>
    </row>
    <row r="39" spans="1:15" x14ac:dyDescent="0.2">
      <c r="A39" s="327" t="s">
        <v>120</v>
      </c>
      <c r="B39" s="327"/>
      <c r="C39" s="327"/>
      <c r="D39" s="327"/>
      <c r="F39" s="176">
        <v>3.228E-3</v>
      </c>
      <c r="G39" s="177">
        <f t="shared" ref="G39:G43" si="26">+F39</f>
        <v>3.228E-3</v>
      </c>
      <c r="H39" s="93" t="s">
        <v>11</v>
      </c>
      <c r="I39" s="93"/>
      <c r="J39" s="93"/>
      <c r="K39" s="93"/>
      <c r="L39" s="93"/>
      <c r="M39" s="93"/>
      <c r="N39" s="93"/>
      <c r="O39" s="93"/>
    </row>
    <row r="40" spans="1:15" x14ac:dyDescent="0.2">
      <c r="A40" s="190" t="s">
        <v>122</v>
      </c>
      <c r="B40" s="190"/>
      <c r="C40" s="190"/>
      <c r="D40" s="190"/>
      <c r="F40" s="176">
        <v>1.4250000000000001E-3</v>
      </c>
      <c r="G40" s="177">
        <f t="shared" si="26"/>
        <v>1.4250000000000001E-3</v>
      </c>
      <c r="H40" s="93" t="s">
        <v>11</v>
      </c>
      <c r="I40" s="93"/>
      <c r="J40" s="93"/>
      <c r="K40" s="93"/>
      <c r="L40" s="93"/>
      <c r="M40" s="93"/>
      <c r="N40" s="93"/>
      <c r="O40" s="93"/>
    </row>
    <row r="41" spans="1:15" x14ac:dyDescent="0.2">
      <c r="A41" s="190" t="s">
        <v>259</v>
      </c>
      <c r="B41" s="190"/>
      <c r="C41" s="190"/>
      <c r="D41" s="190"/>
      <c r="F41" s="176">
        <v>-1.4250000000000001E-3</v>
      </c>
      <c r="G41" s="177">
        <f t="shared" ref="G41:G42" si="27">+F41</f>
        <v>-1.4250000000000001E-3</v>
      </c>
      <c r="H41" s="93" t="s">
        <v>11</v>
      </c>
      <c r="I41" s="93"/>
      <c r="J41" s="93"/>
      <c r="K41" s="93"/>
      <c r="L41" s="93"/>
      <c r="M41" s="93"/>
      <c r="N41" s="93"/>
      <c r="O41" s="93"/>
    </row>
    <row r="42" spans="1:15" x14ac:dyDescent="0.2">
      <c r="A42" s="190" t="s">
        <v>260</v>
      </c>
      <c r="B42" s="190"/>
      <c r="C42" s="190"/>
      <c r="D42" s="190"/>
      <c r="F42" s="176">
        <v>-1.271E-3</v>
      </c>
      <c r="G42" s="177">
        <f t="shared" si="27"/>
        <v>-1.271E-3</v>
      </c>
      <c r="H42" s="93" t="s">
        <v>11</v>
      </c>
      <c r="I42" s="93"/>
      <c r="J42" s="93"/>
      <c r="K42" s="93"/>
      <c r="L42" s="93"/>
      <c r="M42" s="93"/>
      <c r="N42" s="93"/>
      <c r="O42" s="93"/>
    </row>
    <row r="43" spans="1:15" x14ac:dyDescent="0.2">
      <c r="A43" s="327" t="s">
        <v>124</v>
      </c>
      <c r="B43" s="327"/>
      <c r="C43" s="327"/>
      <c r="D43" s="327"/>
      <c r="F43" s="176">
        <v>6.2100000000000002E-4</v>
      </c>
      <c r="G43" s="177">
        <f t="shared" si="26"/>
        <v>6.2100000000000002E-4</v>
      </c>
      <c r="H43" s="93" t="s">
        <v>11</v>
      </c>
      <c r="I43" s="93"/>
      <c r="J43" s="93"/>
      <c r="K43" s="93"/>
      <c r="L43" s="93"/>
      <c r="M43" s="93"/>
      <c r="N43" s="93"/>
      <c r="O43" s="93"/>
    </row>
    <row r="44" spans="1:15" ht="13.5" thickBot="1" x14ac:dyDescent="0.25">
      <c r="A44" s="324" t="s">
        <v>126</v>
      </c>
      <c r="B44" s="324"/>
      <c r="C44" s="324"/>
      <c r="D44" s="324"/>
      <c r="F44" s="178">
        <f>SUM(F37:F43)</f>
        <v>9.0809418731441729E-2</v>
      </c>
      <c r="G44" s="179">
        <f>SUM(G37:G43)</f>
        <v>9.0981999999999993E-2</v>
      </c>
      <c r="H44" s="93" t="s">
        <v>11</v>
      </c>
      <c r="I44" s="93"/>
      <c r="J44" s="93"/>
      <c r="K44" s="93"/>
      <c r="L44" s="93"/>
      <c r="M44" s="93"/>
      <c r="N44" s="93"/>
      <c r="O44" s="93"/>
    </row>
    <row r="45" spans="1:15" ht="13.5" thickTop="1" x14ac:dyDescent="0.2">
      <c r="A45" s="326"/>
      <c r="B45" s="326"/>
      <c r="C45" s="326"/>
      <c r="D45" s="326"/>
      <c r="F45" s="176"/>
      <c r="G45" s="177"/>
      <c r="H45" s="93"/>
      <c r="I45" s="93"/>
      <c r="J45" s="93"/>
      <c r="K45" s="93"/>
      <c r="L45" s="93"/>
      <c r="M45" s="93"/>
      <c r="N45" s="93"/>
      <c r="O45" s="93"/>
    </row>
    <row r="46" spans="1:15" x14ac:dyDescent="0.2">
      <c r="A46" s="326" t="s">
        <v>42</v>
      </c>
      <c r="B46" s="326"/>
      <c r="C46" s="326"/>
      <c r="D46" s="326"/>
      <c r="F46" s="176">
        <v>0.106297</v>
      </c>
      <c r="G46" s="177">
        <f>+F46</f>
        <v>0.106297</v>
      </c>
      <c r="H46" s="93" t="s">
        <v>11</v>
      </c>
      <c r="I46" s="93"/>
      <c r="J46" s="93"/>
      <c r="K46" s="93"/>
      <c r="L46" s="93"/>
      <c r="M46" s="93"/>
      <c r="N46" s="93"/>
      <c r="O46" s="93"/>
    </row>
    <row r="47" spans="1:15" x14ac:dyDescent="0.2">
      <c r="A47" s="327" t="s">
        <v>46</v>
      </c>
      <c r="B47" s="327"/>
      <c r="C47" s="327"/>
      <c r="D47" s="327"/>
      <c r="F47" s="176">
        <f>+F38</f>
        <v>8.9541873144173675E-4</v>
      </c>
      <c r="G47" s="177">
        <f>+G38</f>
        <v>1.0679999999999999E-3</v>
      </c>
      <c r="H47" s="93" t="s">
        <v>11</v>
      </c>
      <c r="I47" s="93"/>
      <c r="J47" s="93"/>
      <c r="K47" s="93"/>
      <c r="L47" s="93"/>
      <c r="M47" s="93"/>
      <c r="N47" s="93"/>
      <c r="O47" s="93"/>
    </row>
    <row r="48" spans="1:15" x14ac:dyDescent="0.2">
      <c r="A48" s="327" t="s">
        <v>120</v>
      </c>
      <c r="B48" s="327"/>
      <c r="C48" s="327"/>
      <c r="D48" s="327"/>
      <c r="F48" s="176">
        <f t="shared" ref="F48:G51" si="28">+F39</f>
        <v>3.228E-3</v>
      </c>
      <c r="G48" s="177">
        <f t="shared" si="28"/>
        <v>3.228E-3</v>
      </c>
      <c r="H48" s="93" t="s">
        <v>11</v>
      </c>
      <c r="I48" s="93"/>
      <c r="J48" s="93"/>
      <c r="K48" s="93"/>
      <c r="L48" s="93"/>
      <c r="M48" s="93"/>
      <c r="N48" s="93"/>
      <c r="O48" s="93"/>
    </row>
    <row r="49" spans="1:15" x14ac:dyDescent="0.2">
      <c r="A49" s="327" t="s">
        <v>123</v>
      </c>
      <c r="B49" s="327"/>
      <c r="C49" s="327"/>
      <c r="D49" s="327"/>
      <c r="F49" s="176">
        <v>1.7340000000000001E-3</v>
      </c>
      <c r="G49" s="177">
        <f t="shared" si="28"/>
        <v>1.4250000000000001E-3</v>
      </c>
      <c r="H49" s="93" t="s">
        <v>11</v>
      </c>
      <c r="I49" s="93"/>
      <c r="J49" s="93"/>
      <c r="K49" s="93"/>
      <c r="L49" s="93"/>
      <c r="M49" s="93"/>
      <c r="N49" s="93"/>
      <c r="O49" s="93"/>
    </row>
    <row r="50" spans="1:15" x14ac:dyDescent="0.2">
      <c r="A50" s="190" t="s">
        <v>261</v>
      </c>
      <c r="B50" s="190"/>
      <c r="C50" s="190"/>
      <c r="D50" s="190"/>
      <c r="F50" s="176">
        <v>-1.7340000000000001E-3</v>
      </c>
      <c r="G50" s="177">
        <f t="shared" si="28"/>
        <v>-1.4250000000000001E-3</v>
      </c>
      <c r="H50" s="93"/>
      <c r="I50" s="93"/>
      <c r="J50" s="93"/>
      <c r="K50" s="93"/>
      <c r="L50" s="93"/>
      <c r="M50" s="93"/>
      <c r="N50" s="93"/>
      <c r="O50" s="93"/>
    </row>
    <row r="51" spans="1:15" x14ac:dyDescent="0.2">
      <c r="A51" s="190" t="s">
        <v>262</v>
      </c>
      <c r="B51" s="190"/>
      <c r="C51" s="190"/>
      <c r="D51" s="190"/>
      <c r="F51" s="176">
        <f t="shared" si="28"/>
        <v>-1.271E-3</v>
      </c>
      <c r="G51" s="177">
        <f t="shared" si="28"/>
        <v>-1.271E-3</v>
      </c>
      <c r="H51" s="93"/>
      <c r="I51" s="93"/>
      <c r="J51" s="93"/>
      <c r="K51" s="93"/>
      <c r="L51" s="93"/>
      <c r="M51" s="93"/>
      <c r="N51" s="93"/>
      <c r="O51" s="93"/>
    </row>
    <row r="52" spans="1:15" x14ac:dyDescent="0.2">
      <c r="A52" s="327" t="s">
        <v>124</v>
      </c>
      <c r="B52" s="327"/>
      <c r="C52" s="327"/>
      <c r="D52" s="327"/>
      <c r="F52" s="176">
        <f>+F43</f>
        <v>6.2100000000000002E-4</v>
      </c>
      <c r="G52" s="177">
        <f t="shared" ref="G52" si="29">+G43</f>
        <v>6.2100000000000002E-4</v>
      </c>
      <c r="H52" s="93" t="s">
        <v>11</v>
      </c>
      <c r="I52" s="93"/>
      <c r="J52" s="93"/>
      <c r="K52" s="93"/>
      <c r="L52" s="93"/>
      <c r="M52" s="93"/>
      <c r="N52" s="93"/>
      <c r="O52" s="93"/>
    </row>
    <row r="53" spans="1:15" ht="13.5" thickBot="1" x14ac:dyDescent="0.25">
      <c r="A53" s="324" t="s">
        <v>127</v>
      </c>
      <c r="B53" s="324"/>
      <c r="C53" s="324"/>
      <c r="D53" s="324"/>
      <c r="F53" s="178">
        <f>SUM(F46:F52)</f>
        <v>0.10977041873144174</v>
      </c>
      <c r="G53" s="179">
        <f>SUM(G46:G52)</f>
        <v>0.109943</v>
      </c>
      <c r="H53" s="93" t="s">
        <v>11</v>
      </c>
      <c r="I53" s="93"/>
      <c r="J53" s="93"/>
      <c r="K53" s="93"/>
      <c r="L53" s="93"/>
      <c r="M53" s="93"/>
      <c r="N53" s="93"/>
      <c r="O53" s="93"/>
    </row>
    <row r="54" spans="1:15" ht="13.5" thickTop="1" x14ac:dyDescent="0.2">
      <c r="A54" s="326"/>
      <c r="B54" s="326"/>
      <c r="C54" s="326"/>
      <c r="D54" s="326"/>
      <c r="F54" s="176"/>
      <c r="G54" s="177"/>
      <c r="H54" s="93"/>
      <c r="I54" s="93"/>
      <c r="J54" s="93"/>
      <c r="K54" s="93"/>
      <c r="L54" s="93"/>
      <c r="M54" s="93"/>
      <c r="N54" s="93"/>
      <c r="O54" s="93"/>
    </row>
    <row r="55" spans="1:15" x14ac:dyDescent="0.2">
      <c r="A55" s="324" t="s">
        <v>47</v>
      </c>
      <c r="B55" s="324"/>
      <c r="C55" s="324"/>
      <c r="D55" s="324"/>
      <c r="F55" s="176">
        <v>-7.4060000000000003E-3</v>
      </c>
      <c r="G55" s="177">
        <f>+F55</f>
        <v>-7.4060000000000003E-3</v>
      </c>
      <c r="H55" s="93" t="s">
        <v>11</v>
      </c>
      <c r="I55" s="93"/>
      <c r="J55" s="93"/>
      <c r="K55" s="93"/>
      <c r="L55" s="93"/>
      <c r="M55" s="93"/>
      <c r="N55" s="93"/>
      <c r="O55" s="93"/>
    </row>
    <row r="56" spans="1:15" x14ac:dyDescent="0.2">
      <c r="A56" s="324" t="s">
        <v>86</v>
      </c>
      <c r="B56" s="324"/>
      <c r="C56" s="324"/>
      <c r="D56" s="324"/>
      <c r="F56" s="176">
        <v>0</v>
      </c>
      <c r="G56" s="177">
        <f>+F56</f>
        <v>0</v>
      </c>
      <c r="H56" s="93" t="s">
        <v>11</v>
      </c>
      <c r="K56" s="93"/>
      <c r="L56" s="93"/>
      <c r="M56" s="93"/>
      <c r="N56" s="93"/>
      <c r="O56" s="93"/>
    </row>
    <row r="57" spans="1:15" x14ac:dyDescent="0.2">
      <c r="A57" s="326"/>
      <c r="B57" s="326"/>
      <c r="C57" s="326"/>
      <c r="D57" s="326"/>
      <c r="F57" s="176"/>
      <c r="G57" s="177"/>
      <c r="I57" s="93"/>
      <c r="J57" s="93"/>
      <c r="K57" s="93"/>
      <c r="L57" s="93"/>
      <c r="M57" s="93"/>
      <c r="N57" s="93"/>
      <c r="O57" s="93"/>
    </row>
    <row r="58" spans="1:15" x14ac:dyDescent="0.2">
      <c r="A58" s="326" t="s">
        <v>163</v>
      </c>
      <c r="B58" s="326"/>
      <c r="C58" s="326"/>
      <c r="D58" s="326"/>
      <c r="F58" s="176"/>
      <c r="G58" s="177"/>
      <c r="H58" s="93" t="s">
        <v>11</v>
      </c>
      <c r="I58" s="93"/>
      <c r="J58" s="93"/>
      <c r="K58" s="93"/>
      <c r="L58" s="93"/>
      <c r="M58" s="93"/>
      <c r="N58" s="93"/>
      <c r="O58" s="93"/>
    </row>
    <row r="59" spans="1:15" x14ac:dyDescent="0.2">
      <c r="A59" s="327" t="s">
        <v>43</v>
      </c>
      <c r="B59" s="327"/>
      <c r="C59" s="327"/>
      <c r="D59" s="327"/>
      <c r="F59" s="176">
        <v>-1.098E-3</v>
      </c>
      <c r="G59" s="177">
        <f>+F59</f>
        <v>-1.098E-3</v>
      </c>
      <c r="H59" s="93" t="s">
        <v>11</v>
      </c>
      <c r="I59" s="93"/>
      <c r="J59" s="93"/>
      <c r="K59" s="93"/>
      <c r="L59" s="93"/>
      <c r="M59" s="93"/>
      <c r="N59" s="93"/>
      <c r="O59" s="93"/>
    </row>
    <row r="60" spans="1:15" x14ac:dyDescent="0.2">
      <c r="A60" s="327" t="s">
        <v>44</v>
      </c>
      <c r="B60" s="327"/>
      <c r="C60" s="327"/>
      <c r="D60" s="327"/>
      <c r="F60" s="176">
        <v>-1.913E-3</v>
      </c>
      <c r="G60" s="177">
        <f t="shared" ref="G60:G63" si="30">+F60</f>
        <v>-1.913E-3</v>
      </c>
      <c r="H60" s="93" t="s">
        <v>11</v>
      </c>
      <c r="I60" s="93"/>
      <c r="J60" s="93"/>
      <c r="K60" s="93"/>
      <c r="L60" s="93"/>
      <c r="M60" s="93"/>
      <c r="N60" s="93"/>
      <c r="O60" s="93"/>
    </row>
    <row r="61" spans="1:15" x14ac:dyDescent="0.2">
      <c r="A61" s="327" t="s">
        <v>45</v>
      </c>
      <c r="B61" s="327"/>
      <c r="C61" s="327"/>
      <c r="D61" s="327"/>
      <c r="F61" s="176">
        <v>3.9050000000000001E-3</v>
      </c>
      <c r="G61" s="177">
        <f t="shared" si="30"/>
        <v>3.9050000000000001E-3</v>
      </c>
      <c r="H61" s="93" t="s">
        <v>11</v>
      </c>
      <c r="I61" s="93"/>
      <c r="J61" s="93"/>
      <c r="K61" s="93"/>
      <c r="L61" s="93"/>
      <c r="M61" s="93"/>
      <c r="N61" s="93"/>
      <c r="O61" s="93"/>
    </row>
    <row r="62" spans="1:15" x14ac:dyDescent="0.2">
      <c r="A62" s="327" t="s">
        <v>83</v>
      </c>
      <c r="B62" s="327"/>
      <c r="C62" s="327"/>
      <c r="D62" s="327"/>
      <c r="F62" s="176">
        <v>0</v>
      </c>
      <c r="G62" s="177">
        <f t="shared" si="30"/>
        <v>0</v>
      </c>
      <c r="H62" s="93" t="s">
        <v>11</v>
      </c>
      <c r="I62" s="93"/>
      <c r="J62" s="93"/>
      <c r="K62" s="93"/>
      <c r="L62" s="93"/>
      <c r="M62" s="93"/>
      <c r="N62" s="93"/>
      <c r="O62" s="93"/>
    </row>
    <row r="63" spans="1:15" x14ac:dyDescent="0.2">
      <c r="A63" s="327" t="s">
        <v>110</v>
      </c>
      <c r="B63" s="327"/>
      <c r="C63" s="327"/>
      <c r="D63" s="327"/>
      <c r="F63" s="176">
        <v>-7.2999999999999999E-5</v>
      </c>
      <c r="G63" s="177">
        <f t="shared" si="30"/>
        <v>-7.2999999999999999E-5</v>
      </c>
      <c r="H63" s="93" t="s">
        <v>11</v>
      </c>
      <c r="I63" s="93"/>
      <c r="J63" s="93"/>
      <c r="K63" s="93"/>
      <c r="L63" s="93"/>
      <c r="M63" s="93"/>
      <c r="N63" s="93"/>
      <c r="O63" s="93"/>
    </row>
    <row r="64" spans="1:15" ht="13.5" thickBot="1" x14ac:dyDescent="0.25">
      <c r="A64" s="324" t="s">
        <v>164</v>
      </c>
      <c r="B64" s="324"/>
      <c r="C64" s="324"/>
      <c r="D64" s="324"/>
      <c r="F64" s="178">
        <f>SUM(F59:F63)</f>
        <v>8.2100000000000022E-4</v>
      </c>
      <c r="G64" s="179">
        <f>SUM(G59:G63)</f>
        <v>8.2100000000000022E-4</v>
      </c>
      <c r="H64" s="93" t="s">
        <v>11</v>
      </c>
    </row>
    <row r="65" spans="1:21" ht="13.5" thickTop="1" x14ac:dyDescent="0.2">
      <c r="A65" s="326"/>
      <c r="B65" s="326"/>
      <c r="C65" s="326"/>
      <c r="D65" s="326"/>
      <c r="F65" s="152"/>
      <c r="G65" s="175"/>
    </row>
    <row r="66" spans="1:21" x14ac:dyDescent="0.2">
      <c r="A66" s="324" t="s">
        <v>165</v>
      </c>
      <c r="B66" s="324"/>
      <c r="C66" s="324"/>
      <c r="D66" s="324"/>
      <c r="F66" s="180">
        <f>SUM(F44,F55:F56,F64)</f>
        <v>8.4224418731441736E-2</v>
      </c>
      <c r="G66" s="181">
        <f>SUM(G44,G55:G56,G64)</f>
        <v>8.4397E-2</v>
      </c>
      <c r="H66" s="93" t="s">
        <v>11</v>
      </c>
    </row>
    <row r="67" spans="1:21" x14ac:dyDescent="0.2">
      <c r="A67" s="324" t="s">
        <v>166</v>
      </c>
      <c r="B67" s="324"/>
      <c r="C67" s="324"/>
      <c r="D67" s="324"/>
      <c r="F67" s="182">
        <f>SUM(F53,F55:F56,F64)</f>
        <v>0.10318541873144174</v>
      </c>
      <c r="G67" s="183">
        <f>SUM(G53,G55:G56,G64)</f>
        <v>0.10335800000000001</v>
      </c>
      <c r="H67" s="93" t="s">
        <v>11</v>
      </c>
    </row>
    <row r="71" spans="1:21" x14ac:dyDescent="0.2">
      <c r="B71" s="192" t="s">
        <v>264</v>
      </c>
      <c r="C71" s="191"/>
    </row>
    <row r="72" spans="1:21" ht="38.25" x14ac:dyDescent="0.2">
      <c r="A72" s="156"/>
      <c r="B72" s="193" t="s">
        <v>167</v>
      </c>
      <c r="C72" s="193" t="s">
        <v>168</v>
      </c>
      <c r="D72" s="156" t="s">
        <v>169</v>
      </c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</row>
    <row r="73" spans="1:21" x14ac:dyDescent="0.2">
      <c r="A73" s="6" t="str">
        <f t="shared" ref="A73:A84" si="31">+A7</f>
        <v>January</v>
      </c>
      <c r="B73" s="194">
        <v>1252326999.9999998</v>
      </c>
      <c r="C73" s="194">
        <v>1031989</v>
      </c>
      <c r="D73" s="184">
        <f>+B73/C73</f>
        <v>1213.5080897180103</v>
      </c>
    </row>
    <row r="74" spans="1:21" x14ac:dyDescent="0.2">
      <c r="A74" s="6" t="str">
        <f t="shared" si="31"/>
        <v>February</v>
      </c>
      <c r="B74" s="194">
        <v>1088361000</v>
      </c>
      <c r="C74" s="194">
        <v>1033260</v>
      </c>
      <c r="D74" s="184">
        <f t="shared" ref="D74:D84" si="32">+B74/C74</f>
        <v>1053.3273329074966</v>
      </c>
    </row>
    <row r="75" spans="1:21" x14ac:dyDescent="0.2">
      <c r="A75" s="6" t="str">
        <f t="shared" si="31"/>
        <v>March</v>
      </c>
      <c r="B75" s="194">
        <v>1049153000.0000002</v>
      </c>
      <c r="C75" s="194">
        <v>1034261</v>
      </c>
      <c r="D75" s="184">
        <f t="shared" si="32"/>
        <v>1014.3986865984507</v>
      </c>
    </row>
    <row r="76" spans="1:21" x14ac:dyDescent="0.2">
      <c r="A76" s="6" t="str">
        <f t="shared" si="31"/>
        <v>April</v>
      </c>
      <c r="B76" s="194">
        <v>864607000</v>
      </c>
      <c r="C76" s="194">
        <v>1035099</v>
      </c>
      <c r="D76" s="184">
        <f t="shared" si="32"/>
        <v>835.28918489922216</v>
      </c>
    </row>
    <row r="77" spans="1:21" x14ac:dyDescent="0.2">
      <c r="A77" s="6" t="str">
        <f t="shared" si="31"/>
        <v>May</v>
      </c>
      <c r="B77" s="194">
        <v>737952000.00000012</v>
      </c>
      <c r="C77" s="194">
        <v>1035847</v>
      </c>
      <c r="D77" s="184">
        <f t="shared" si="32"/>
        <v>712.41409204255081</v>
      </c>
    </row>
    <row r="78" spans="1:21" x14ac:dyDescent="0.2">
      <c r="A78" s="6" t="str">
        <f t="shared" si="31"/>
        <v>June</v>
      </c>
      <c r="B78" s="194">
        <v>680005999.99999988</v>
      </c>
      <c r="C78" s="194">
        <v>1036691</v>
      </c>
      <c r="D78" s="184">
        <f t="shared" si="32"/>
        <v>655.93894419841581</v>
      </c>
    </row>
    <row r="79" spans="1:21" x14ac:dyDescent="0.2">
      <c r="A79" s="6" t="str">
        <f t="shared" si="31"/>
        <v>July</v>
      </c>
      <c r="B79" s="194">
        <v>696924000.00000012</v>
      </c>
      <c r="C79" s="194">
        <v>1037136</v>
      </c>
      <c r="D79" s="184">
        <f t="shared" si="32"/>
        <v>671.9697320312863</v>
      </c>
    </row>
    <row r="80" spans="1:21" x14ac:dyDescent="0.2">
      <c r="A80" s="6" t="str">
        <f t="shared" si="31"/>
        <v>August</v>
      </c>
      <c r="B80" s="194">
        <v>682561999.99999988</v>
      </c>
      <c r="C80" s="194">
        <v>1037921</v>
      </c>
      <c r="D80" s="184">
        <f t="shared" si="32"/>
        <v>657.62423151665678</v>
      </c>
    </row>
    <row r="81" spans="1:4" x14ac:dyDescent="0.2">
      <c r="A81" s="6" t="str">
        <f t="shared" si="31"/>
        <v>September</v>
      </c>
      <c r="B81" s="194">
        <v>672653999.99999988</v>
      </c>
      <c r="C81" s="194">
        <v>1039166</v>
      </c>
      <c r="D81" s="184">
        <f t="shared" si="32"/>
        <v>647.3017785416381</v>
      </c>
    </row>
    <row r="82" spans="1:4" x14ac:dyDescent="0.2">
      <c r="A82" s="6" t="str">
        <f t="shared" si="31"/>
        <v>October</v>
      </c>
      <c r="B82" s="194">
        <v>840345000</v>
      </c>
      <c r="C82" s="194">
        <v>1027933</v>
      </c>
      <c r="D82" s="184">
        <f t="shared" si="32"/>
        <v>817.50950694257313</v>
      </c>
    </row>
    <row r="83" spans="1:4" x14ac:dyDescent="0.2">
      <c r="A83" s="6" t="str">
        <f t="shared" si="31"/>
        <v>November</v>
      </c>
      <c r="B83" s="194">
        <v>1034560000.0000001</v>
      </c>
      <c r="C83" s="194">
        <v>1029469</v>
      </c>
      <c r="D83" s="184">
        <f t="shared" si="32"/>
        <v>1004.9452679002477</v>
      </c>
    </row>
    <row r="84" spans="1:4" x14ac:dyDescent="0.2">
      <c r="A84" s="6" t="str">
        <f t="shared" si="31"/>
        <v>December</v>
      </c>
      <c r="B84" s="194">
        <v>1304073999.9999998</v>
      </c>
      <c r="C84" s="194">
        <v>1030732</v>
      </c>
      <c r="D84" s="184">
        <f t="shared" si="32"/>
        <v>1265.1921158943351</v>
      </c>
    </row>
    <row r="85" spans="1:4" x14ac:dyDescent="0.2">
      <c r="A85" s="6" t="s">
        <v>63</v>
      </c>
      <c r="B85" s="194">
        <f>SUM(B73:B84)</f>
        <v>10903525000</v>
      </c>
      <c r="C85" s="194">
        <f>SUM(C73:C84)</f>
        <v>12409504</v>
      </c>
      <c r="D85" s="184">
        <f>SUM(D73:D84)</f>
        <v>10549.418963190883</v>
      </c>
    </row>
    <row r="86" spans="1:4" x14ac:dyDescent="0.2">
      <c r="D86" s="184"/>
    </row>
    <row r="87" spans="1:4" x14ac:dyDescent="0.2">
      <c r="A87" s="6" t="s">
        <v>170</v>
      </c>
      <c r="B87" s="184"/>
      <c r="C87" s="184"/>
      <c r="D87" s="184">
        <f>AVERAGE(D73:D84)</f>
        <v>879.11824693257358</v>
      </c>
    </row>
  </sheetData>
  <mergeCells count="32">
    <mergeCell ref="A65:D65"/>
    <mergeCell ref="A66:D66"/>
    <mergeCell ref="A67:D67"/>
    <mergeCell ref="A59:D59"/>
    <mergeCell ref="A60:D60"/>
    <mergeCell ref="A61:D61"/>
    <mergeCell ref="A62:D62"/>
    <mergeCell ref="A63:D63"/>
    <mergeCell ref="A64:D64"/>
    <mergeCell ref="A58:D58"/>
    <mergeCell ref="A45:D45"/>
    <mergeCell ref="A46:D46"/>
    <mergeCell ref="A47:D47"/>
    <mergeCell ref="A48:D48"/>
    <mergeCell ref="A49:D49"/>
    <mergeCell ref="A52:D52"/>
    <mergeCell ref="A53:D53"/>
    <mergeCell ref="A54:D54"/>
    <mergeCell ref="A55:D55"/>
    <mergeCell ref="A56:D56"/>
    <mergeCell ref="A57:D57"/>
    <mergeCell ref="A44:D44"/>
    <mergeCell ref="C5:P5"/>
    <mergeCell ref="A32:D32"/>
    <mergeCell ref="A33:D33"/>
    <mergeCell ref="A34:D34"/>
    <mergeCell ref="A35:D35"/>
    <mergeCell ref="A36:D36"/>
    <mergeCell ref="A37:D37"/>
    <mergeCell ref="A38:D38"/>
    <mergeCell ref="A39:D39"/>
    <mergeCell ref="A43:D43"/>
  </mergeCells>
  <phoneticPr fontId="0" type="noConversion"/>
  <printOptions horizontalCentered="1"/>
  <pageMargins left="0.7" right="0.7" top="0.75" bottom="0.75" header="0.3" footer="0.3"/>
  <pageSetup scale="58" orientation="landscape" r:id="rId1"/>
  <headerFooter alignWithMargins="0">
    <oddHeader>&amp;R2018 Low Income Filing
Advice 2018-xx
Page &amp;P of &amp;N</oddHeader>
    <oddFooter>&amp;L&amp;F
&amp;A&amp;R&amp;D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O47"/>
  <sheetViews>
    <sheetView zoomScaleNormal="100" workbookViewId="0">
      <pane xSplit="3" ySplit="8" topLeftCell="D21" activePane="bottomRight" state="frozen"/>
      <selection activeCell="J7" sqref="J7"/>
      <selection pane="topRight" activeCell="J7" sqref="J7"/>
      <selection pane="bottomLeft" activeCell="J7" sqref="J7"/>
      <selection pane="bottomRight" activeCell="E8" sqref="E8"/>
    </sheetView>
  </sheetViews>
  <sheetFormatPr defaultColWidth="9.140625" defaultRowHeight="12.75" x14ac:dyDescent="0.2"/>
  <cols>
    <col min="1" max="1" width="3.7109375" style="60" bestFit="1" customWidth="1"/>
    <col min="2" max="2" width="33.7109375" style="60" bestFit="1" customWidth="1"/>
    <col min="3" max="3" width="10.85546875" style="60" bestFit="1" customWidth="1"/>
    <col min="4" max="4" width="17.28515625" style="60" bestFit="1" customWidth="1"/>
    <col min="5" max="5" width="15.7109375" style="60" bestFit="1" customWidth="1"/>
    <col min="6" max="6" width="14.7109375" style="60" bestFit="1" customWidth="1"/>
    <col min="7" max="10" width="14.7109375" style="60" customWidth="1"/>
    <col min="11" max="11" width="12.85546875" style="60" bestFit="1" customWidth="1"/>
    <col min="12" max="12" width="9.140625" style="60"/>
    <col min="13" max="13" width="17.28515625" style="60" bestFit="1" customWidth="1"/>
    <col min="14" max="14" width="13.42578125" style="60" bestFit="1" customWidth="1"/>
    <col min="15" max="15" width="14.7109375" style="60" bestFit="1" customWidth="1"/>
    <col min="16" max="16384" width="9.140625" style="60"/>
  </cols>
  <sheetData>
    <row r="1" spans="1:15" x14ac:dyDescent="0.2">
      <c r="A1" s="332" t="s">
        <v>7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5" x14ac:dyDescent="0.2">
      <c r="A2" s="332" t="s">
        <v>128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5" x14ac:dyDescent="0.2">
      <c r="A3" s="333" t="s">
        <v>315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</row>
    <row r="4" spans="1:15" x14ac:dyDescent="0.2">
      <c r="A4" s="335" t="s">
        <v>178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</row>
    <row r="5" spans="1:15" x14ac:dyDescent="0.2">
      <c r="A5" s="335" t="s">
        <v>268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</row>
    <row r="6" spans="1:15" ht="13.5" thickBot="1" x14ac:dyDescent="0.25">
      <c r="A6" s="84"/>
      <c r="B6" s="85"/>
      <c r="C6" s="85"/>
    </row>
    <row r="7" spans="1:15" ht="13.5" thickBot="1" x14ac:dyDescent="0.25">
      <c r="A7" s="197"/>
      <c r="B7" s="196"/>
      <c r="C7" s="196"/>
      <c r="E7" s="329" t="s">
        <v>274</v>
      </c>
      <c r="F7" s="330"/>
      <c r="G7" s="330"/>
      <c r="H7" s="330"/>
      <c r="I7" s="330"/>
      <c r="J7" s="330"/>
      <c r="K7" s="331"/>
      <c r="M7" s="329" t="s">
        <v>275</v>
      </c>
      <c r="N7" s="330"/>
      <c r="O7" s="331"/>
    </row>
    <row r="8" spans="1:15" s="62" customFormat="1" ht="76.5" x14ac:dyDescent="0.2">
      <c r="A8" s="61" t="s">
        <v>9</v>
      </c>
      <c r="B8" s="61" t="s">
        <v>87</v>
      </c>
      <c r="C8" s="61" t="s">
        <v>0</v>
      </c>
      <c r="D8" s="308" t="s">
        <v>306</v>
      </c>
      <c r="E8" s="308" t="s">
        <v>307</v>
      </c>
      <c r="F8" s="308" t="s">
        <v>308</v>
      </c>
      <c r="G8" s="308" t="s">
        <v>309</v>
      </c>
      <c r="H8" s="308" t="s">
        <v>310</v>
      </c>
      <c r="I8" s="308" t="s">
        <v>311</v>
      </c>
      <c r="J8" s="308" t="s">
        <v>312</v>
      </c>
      <c r="K8" s="308" t="s">
        <v>313</v>
      </c>
      <c r="M8" s="135" t="s">
        <v>319</v>
      </c>
      <c r="N8" s="308" t="s">
        <v>273</v>
      </c>
      <c r="O8" s="308" t="s">
        <v>314</v>
      </c>
    </row>
    <row r="9" spans="1:15" s="62" customFormat="1" x14ac:dyDescent="0.2">
      <c r="A9" s="63"/>
      <c r="B9" s="63" t="s">
        <v>88</v>
      </c>
      <c r="C9" s="64" t="s">
        <v>89</v>
      </c>
      <c r="D9" s="65" t="s">
        <v>179</v>
      </c>
      <c r="E9" s="65" t="s">
        <v>269</v>
      </c>
      <c r="F9" s="65" t="s">
        <v>116</v>
      </c>
      <c r="G9" s="65" t="s">
        <v>91</v>
      </c>
      <c r="H9" s="65" t="s">
        <v>117</v>
      </c>
      <c r="I9" s="65" t="s">
        <v>118</v>
      </c>
      <c r="J9" s="65" t="s">
        <v>119</v>
      </c>
      <c r="K9" s="65" t="s">
        <v>270</v>
      </c>
      <c r="M9" s="65" t="s">
        <v>271</v>
      </c>
      <c r="N9" s="65" t="s">
        <v>272</v>
      </c>
      <c r="O9" s="65" t="s">
        <v>276</v>
      </c>
    </row>
    <row r="10" spans="1:15" s="62" customFormat="1" x14ac:dyDescent="0.2">
      <c r="A10" s="62">
        <v>1</v>
      </c>
      <c r="B10" s="66" t="s">
        <v>1</v>
      </c>
      <c r="C10" s="63"/>
    </row>
    <row r="11" spans="1:15" x14ac:dyDescent="0.2">
      <c r="A11" s="62">
        <v>2</v>
      </c>
      <c r="B11" s="67" t="s">
        <v>1</v>
      </c>
      <c r="C11" s="68">
        <v>7</v>
      </c>
      <c r="D11" s="289">
        <v>10602809000</v>
      </c>
      <c r="E11" s="69">
        <f>SUM(F11:K11)</f>
        <v>1084824000</v>
      </c>
      <c r="F11" s="305">
        <v>1103358000</v>
      </c>
      <c r="G11" s="305">
        <v>-11642000</v>
      </c>
      <c r="H11" s="305">
        <v>16502000</v>
      </c>
      <c r="I11" s="305">
        <v>-16502000</v>
      </c>
      <c r="J11" s="305">
        <v>-13476000</v>
      </c>
      <c r="K11" s="305">
        <v>6584000</v>
      </c>
      <c r="L11" s="306"/>
      <c r="M11" s="305">
        <v>1070368000</v>
      </c>
      <c r="N11" s="305">
        <v>9494000</v>
      </c>
      <c r="O11" s="305">
        <f>+M11-N11</f>
        <v>1060874000</v>
      </c>
    </row>
    <row r="12" spans="1:15" x14ac:dyDescent="0.2">
      <c r="A12" s="62">
        <v>3</v>
      </c>
      <c r="B12" s="70" t="s">
        <v>92</v>
      </c>
      <c r="C12" s="68"/>
      <c r="D12" s="199">
        <f t="shared" ref="D12" si="0">SUM(D11:D11)</f>
        <v>10602809000</v>
      </c>
      <c r="E12" s="71">
        <f>SUM(E11:E11)</f>
        <v>1084824000</v>
      </c>
      <c r="F12" s="71">
        <f t="shared" ref="F12" si="1">SUM(F11:F11)</f>
        <v>1103358000</v>
      </c>
      <c r="G12" s="71">
        <f t="shared" ref="G12:H12" si="2">SUM(G11:G11)</f>
        <v>-11642000</v>
      </c>
      <c r="H12" s="71">
        <f t="shared" si="2"/>
        <v>16502000</v>
      </c>
      <c r="I12" s="71">
        <f t="shared" ref="I12:K12" si="3">SUM(I11:I11)</f>
        <v>-16502000</v>
      </c>
      <c r="J12" s="71">
        <f t="shared" si="3"/>
        <v>-13476000</v>
      </c>
      <c r="K12" s="71">
        <f t="shared" si="3"/>
        <v>6584000</v>
      </c>
      <c r="M12" s="71">
        <f t="shared" ref="M12:N12" si="4">SUM(M11:M11)</f>
        <v>1070368000</v>
      </c>
      <c r="N12" s="71">
        <f t="shared" si="4"/>
        <v>9494000</v>
      </c>
      <c r="O12" s="71">
        <f>SUM(O11:O11)</f>
        <v>1060874000</v>
      </c>
    </row>
    <row r="13" spans="1:15" x14ac:dyDescent="0.2">
      <c r="A13" s="62">
        <v>4</v>
      </c>
      <c r="C13" s="68"/>
      <c r="D13" s="200"/>
      <c r="E13" s="72"/>
      <c r="F13" s="72"/>
      <c r="G13" s="72"/>
      <c r="H13" s="72"/>
      <c r="I13" s="72"/>
      <c r="J13" s="72"/>
      <c r="K13" s="72"/>
      <c r="M13" s="72"/>
      <c r="N13" s="72"/>
      <c r="O13" s="72"/>
    </row>
    <row r="14" spans="1:15" x14ac:dyDescent="0.2">
      <c r="A14" s="62">
        <v>5</v>
      </c>
      <c r="B14" s="60" t="s">
        <v>93</v>
      </c>
      <c r="C14" s="68"/>
      <c r="D14" s="200"/>
      <c r="E14" s="72"/>
      <c r="F14" s="72"/>
      <c r="G14" s="72"/>
      <c r="H14" s="72"/>
      <c r="I14" s="72"/>
      <c r="J14" s="72"/>
      <c r="K14" s="72"/>
      <c r="M14" s="72"/>
      <c r="N14" s="72"/>
      <c r="O14" s="72"/>
    </row>
    <row r="15" spans="1:15" x14ac:dyDescent="0.2">
      <c r="A15" s="62">
        <v>6</v>
      </c>
      <c r="B15" s="73" t="s">
        <v>94</v>
      </c>
      <c r="C15" s="68" t="s">
        <v>136</v>
      </c>
      <c r="D15" s="289">
        <v>2812057000</v>
      </c>
      <c r="E15" s="69">
        <f>SUM(F15:K15)</f>
        <v>276328000</v>
      </c>
      <c r="F15" s="305">
        <v>273654000</v>
      </c>
      <c r="G15" s="305">
        <v>-2595000</v>
      </c>
      <c r="H15" s="305">
        <v>3069000</v>
      </c>
      <c r="I15" s="305">
        <v>-3069000</v>
      </c>
      <c r="J15" s="305">
        <v>-2652000</v>
      </c>
      <c r="K15" s="305">
        <v>7921000</v>
      </c>
      <c r="L15" s="306"/>
      <c r="M15" s="305">
        <v>288348000</v>
      </c>
      <c r="N15" s="305">
        <v>2409000</v>
      </c>
      <c r="O15" s="305">
        <f>+M15-N15</f>
        <v>285939000</v>
      </c>
    </row>
    <row r="16" spans="1:15" x14ac:dyDescent="0.2">
      <c r="A16" s="62">
        <v>7</v>
      </c>
      <c r="B16" s="73" t="s">
        <v>95</v>
      </c>
      <c r="C16" s="88" t="s">
        <v>139</v>
      </c>
      <c r="D16" s="289">
        <v>2964787000</v>
      </c>
      <c r="E16" s="69">
        <f t="shared" ref="E16:E18" si="5">SUM(F16:K16)</f>
        <v>260322000</v>
      </c>
      <c r="F16" s="305">
        <v>267438000</v>
      </c>
      <c r="G16" s="305">
        <v>-2597000</v>
      </c>
      <c r="H16" s="305">
        <v>2600000</v>
      </c>
      <c r="I16" s="305">
        <v>-2600000</v>
      </c>
      <c r="J16" s="305">
        <v>-2570000</v>
      </c>
      <c r="K16" s="305">
        <v>-1949000</v>
      </c>
      <c r="L16" s="306"/>
      <c r="M16" s="305">
        <v>272508000</v>
      </c>
      <c r="N16" s="305">
        <v>2361000</v>
      </c>
      <c r="O16" s="305">
        <f t="shared" ref="O16:O18" si="6">+M16-N16</f>
        <v>270147000</v>
      </c>
    </row>
    <row r="17" spans="1:15" x14ac:dyDescent="0.2">
      <c r="A17" s="62">
        <v>8</v>
      </c>
      <c r="B17" s="73" t="s">
        <v>96</v>
      </c>
      <c r="C17" s="88" t="s">
        <v>140</v>
      </c>
      <c r="D17" s="289">
        <v>1755234000</v>
      </c>
      <c r="E17" s="69">
        <f t="shared" si="5"/>
        <v>143614000</v>
      </c>
      <c r="F17" s="305">
        <v>145432000</v>
      </c>
      <c r="G17" s="305">
        <v>-1725000</v>
      </c>
      <c r="H17" s="305">
        <v>1413000</v>
      </c>
      <c r="I17" s="305">
        <v>-1413000</v>
      </c>
      <c r="J17" s="305">
        <v>-1504000</v>
      </c>
      <c r="K17" s="305">
        <v>1411000</v>
      </c>
      <c r="L17" s="306"/>
      <c r="M17" s="305">
        <v>151430000</v>
      </c>
      <c r="N17" s="305">
        <v>1259000</v>
      </c>
      <c r="O17" s="305">
        <f t="shared" si="6"/>
        <v>150171000</v>
      </c>
    </row>
    <row r="18" spans="1:15" x14ac:dyDescent="0.2">
      <c r="A18" s="62">
        <v>10</v>
      </c>
      <c r="B18" s="73" t="s">
        <v>97</v>
      </c>
      <c r="C18" s="68">
        <v>29</v>
      </c>
      <c r="D18" s="289">
        <v>14656000</v>
      </c>
      <c r="E18" s="69">
        <f t="shared" si="5"/>
        <v>1132000</v>
      </c>
      <c r="F18" s="305">
        <v>1165000</v>
      </c>
      <c r="G18" s="305">
        <v>-10000</v>
      </c>
      <c r="H18" s="305">
        <v>11000</v>
      </c>
      <c r="I18" s="305">
        <v>-11000</v>
      </c>
      <c r="J18" s="305">
        <v>-13000</v>
      </c>
      <c r="K18" s="305">
        <v>-10000</v>
      </c>
      <c r="L18" s="306"/>
      <c r="M18" s="305">
        <v>1082000</v>
      </c>
      <c r="N18" s="305">
        <v>10000</v>
      </c>
      <c r="O18" s="305">
        <f t="shared" si="6"/>
        <v>1072000</v>
      </c>
    </row>
    <row r="19" spans="1:15" x14ac:dyDescent="0.2">
      <c r="A19" s="62">
        <v>11</v>
      </c>
      <c r="B19" s="60" t="s">
        <v>98</v>
      </c>
      <c r="C19" s="68"/>
      <c r="D19" s="199">
        <f t="shared" ref="D19" si="7">SUM(D15:D18)</f>
        <v>7546734000</v>
      </c>
      <c r="E19" s="71">
        <f>SUM(E15:E18)</f>
        <v>681396000</v>
      </c>
      <c r="F19" s="71">
        <f t="shared" ref="F19" si="8">SUM(F15:F18)</f>
        <v>687689000</v>
      </c>
      <c r="G19" s="71">
        <f t="shared" ref="G19:H19" si="9">SUM(G15:G18)</f>
        <v>-6927000</v>
      </c>
      <c r="H19" s="71">
        <f t="shared" si="9"/>
        <v>7093000</v>
      </c>
      <c r="I19" s="71">
        <f t="shared" ref="I19:K19" si="10">SUM(I15:I18)</f>
        <v>-7093000</v>
      </c>
      <c r="J19" s="71">
        <f t="shared" si="10"/>
        <v>-6739000</v>
      </c>
      <c r="K19" s="71">
        <f t="shared" si="10"/>
        <v>7373000</v>
      </c>
      <c r="M19" s="71">
        <f t="shared" ref="M19:N19" si="11">SUM(M15:M18)</f>
        <v>713368000</v>
      </c>
      <c r="N19" s="71">
        <f t="shared" si="11"/>
        <v>6039000</v>
      </c>
      <c r="O19" s="71">
        <f>SUM(O15:O18)</f>
        <v>707329000</v>
      </c>
    </row>
    <row r="20" spans="1:15" x14ac:dyDescent="0.2">
      <c r="A20" s="62">
        <v>12</v>
      </c>
      <c r="C20" s="68"/>
      <c r="D20" s="200"/>
      <c r="E20" s="72"/>
      <c r="F20" s="72"/>
      <c r="G20" s="72"/>
      <c r="H20" s="72"/>
      <c r="I20" s="72"/>
      <c r="J20" s="72"/>
      <c r="K20" s="72"/>
      <c r="M20" s="72"/>
      <c r="N20" s="72"/>
      <c r="O20" s="72"/>
    </row>
    <row r="21" spans="1:15" x14ac:dyDescent="0.2">
      <c r="A21" s="62">
        <v>13</v>
      </c>
      <c r="B21" s="74" t="s">
        <v>99</v>
      </c>
      <c r="C21" s="68"/>
      <c r="D21" s="289"/>
      <c r="E21" s="72"/>
      <c r="F21" s="72"/>
      <c r="G21" s="72"/>
      <c r="H21" s="72"/>
      <c r="I21" s="72"/>
      <c r="J21" s="72"/>
      <c r="K21" s="72"/>
      <c r="M21" s="72"/>
      <c r="N21" s="72"/>
      <c r="O21" s="72"/>
    </row>
    <row r="22" spans="1:15" x14ac:dyDescent="0.2">
      <c r="A22" s="62">
        <v>14</v>
      </c>
      <c r="B22" s="67" t="s">
        <v>100</v>
      </c>
      <c r="C22" s="68" t="s">
        <v>137</v>
      </c>
      <c r="D22" s="289">
        <v>1293218000</v>
      </c>
      <c r="E22" s="69">
        <f>SUM(F22:K22)</f>
        <v>102905000</v>
      </c>
      <c r="F22" s="305">
        <v>104884000</v>
      </c>
      <c r="G22" s="305">
        <v>-1136000</v>
      </c>
      <c r="H22" s="305">
        <v>1019000</v>
      </c>
      <c r="I22" s="305">
        <v>-1019000</v>
      </c>
      <c r="J22" s="305">
        <v>-1050000</v>
      </c>
      <c r="K22" s="305">
        <v>207000</v>
      </c>
      <c r="L22" s="306"/>
      <c r="M22" s="305">
        <v>108132000</v>
      </c>
      <c r="N22" s="305">
        <v>910000</v>
      </c>
      <c r="O22" s="305">
        <f>+M22-N22</f>
        <v>107222000</v>
      </c>
    </row>
    <row r="23" spans="1:15" x14ac:dyDescent="0.2">
      <c r="A23" s="62">
        <v>15</v>
      </c>
      <c r="B23" s="67" t="s">
        <v>97</v>
      </c>
      <c r="C23" s="68">
        <v>35</v>
      </c>
      <c r="D23" s="289">
        <v>4316000</v>
      </c>
      <c r="E23" s="69">
        <f t="shared" ref="E23:E24" si="12">SUM(F23:K23)</f>
        <v>247000</v>
      </c>
      <c r="F23" s="305">
        <v>257000</v>
      </c>
      <c r="G23" s="305">
        <v>-3000</v>
      </c>
      <c r="H23" s="305">
        <v>6000</v>
      </c>
      <c r="I23" s="305">
        <v>-6000</v>
      </c>
      <c r="J23" s="305">
        <v>-4000</v>
      </c>
      <c r="K23" s="305">
        <v>-3000</v>
      </c>
      <c r="L23" s="306"/>
      <c r="M23" s="305">
        <v>231000</v>
      </c>
      <c r="N23" s="305">
        <v>2000</v>
      </c>
      <c r="O23" s="305">
        <f t="shared" ref="O23:O24" si="13">+M23-N23</f>
        <v>229000</v>
      </c>
    </row>
    <row r="24" spans="1:15" x14ac:dyDescent="0.2">
      <c r="A24" s="62">
        <v>16</v>
      </c>
      <c r="B24" s="67" t="s">
        <v>101</v>
      </c>
      <c r="C24" s="68">
        <v>43</v>
      </c>
      <c r="D24" s="289">
        <v>116239000</v>
      </c>
      <c r="E24" s="69">
        <f t="shared" si="12"/>
        <v>9903000</v>
      </c>
      <c r="F24" s="305">
        <v>10197000</v>
      </c>
      <c r="G24" s="305">
        <v>-85000</v>
      </c>
      <c r="H24" s="305">
        <v>153000</v>
      </c>
      <c r="I24" s="305">
        <v>-153000</v>
      </c>
      <c r="J24" s="305">
        <v>-133000</v>
      </c>
      <c r="K24" s="305">
        <v>-76000</v>
      </c>
      <c r="L24" s="306"/>
      <c r="M24" s="305">
        <v>10469000</v>
      </c>
      <c r="N24" s="305">
        <v>91000</v>
      </c>
      <c r="O24" s="305">
        <f t="shared" si="13"/>
        <v>10378000</v>
      </c>
    </row>
    <row r="25" spans="1:15" x14ac:dyDescent="0.2">
      <c r="A25" s="62">
        <v>17</v>
      </c>
      <c r="B25" s="60" t="s">
        <v>102</v>
      </c>
      <c r="C25" s="68"/>
      <c r="D25" s="199">
        <f t="shared" ref="D25" si="14">SUM(D22:D24)</f>
        <v>1413773000</v>
      </c>
      <c r="E25" s="71">
        <f>SUM(E22:E24)</f>
        <v>113055000</v>
      </c>
      <c r="F25" s="71">
        <f t="shared" ref="F25" si="15">SUM(F22:F24)</f>
        <v>115338000</v>
      </c>
      <c r="G25" s="71">
        <f t="shared" ref="G25:H25" si="16">SUM(G22:G24)</f>
        <v>-1224000</v>
      </c>
      <c r="H25" s="71">
        <f t="shared" si="16"/>
        <v>1178000</v>
      </c>
      <c r="I25" s="71">
        <f t="shared" ref="I25:K25" si="17">SUM(I22:I24)</f>
        <v>-1178000</v>
      </c>
      <c r="J25" s="71">
        <f t="shared" si="17"/>
        <v>-1187000</v>
      </c>
      <c r="K25" s="71">
        <f t="shared" si="17"/>
        <v>128000</v>
      </c>
      <c r="M25" s="71">
        <f t="shared" ref="M25:N25" si="18">SUM(M22:M24)</f>
        <v>118832000</v>
      </c>
      <c r="N25" s="71">
        <f t="shared" si="18"/>
        <v>1003000</v>
      </c>
      <c r="O25" s="71">
        <f>SUM(O22:O24)</f>
        <v>117829000</v>
      </c>
    </row>
    <row r="26" spans="1:15" x14ac:dyDescent="0.2">
      <c r="A26" s="62">
        <v>18</v>
      </c>
      <c r="C26" s="68"/>
      <c r="D26" s="201"/>
    </row>
    <row r="27" spans="1:15" x14ac:dyDescent="0.2">
      <c r="A27" s="62">
        <v>19</v>
      </c>
      <c r="B27" s="60" t="s">
        <v>77</v>
      </c>
      <c r="C27" s="68">
        <v>40</v>
      </c>
      <c r="D27" s="290">
        <v>122776000</v>
      </c>
      <c r="E27" s="71">
        <f>SUM(F27:K27)</f>
        <v>8517000</v>
      </c>
      <c r="F27" s="307">
        <v>8273000</v>
      </c>
      <c r="G27" s="307">
        <v>-164000</v>
      </c>
      <c r="H27" s="307">
        <v>74000</v>
      </c>
      <c r="I27" s="307">
        <v>-74000</v>
      </c>
      <c r="J27" s="307">
        <v>-105000</v>
      </c>
      <c r="K27" s="307">
        <v>513000</v>
      </c>
      <c r="L27" s="306"/>
      <c r="M27" s="307">
        <v>9083000</v>
      </c>
      <c r="N27" s="307">
        <v>80000</v>
      </c>
      <c r="O27" s="307">
        <f>+M27-N27</f>
        <v>9003000</v>
      </c>
    </row>
    <row r="28" spans="1:15" x14ac:dyDescent="0.2">
      <c r="A28" s="62">
        <v>20</v>
      </c>
      <c r="C28" s="68"/>
      <c r="D28" s="201"/>
    </row>
    <row r="29" spans="1:15" x14ac:dyDescent="0.2">
      <c r="A29" s="62">
        <v>21</v>
      </c>
      <c r="B29" s="74" t="s">
        <v>103</v>
      </c>
      <c r="C29" s="68"/>
      <c r="D29" s="200"/>
      <c r="E29" s="72"/>
      <c r="F29" s="72"/>
      <c r="G29" s="72"/>
      <c r="H29" s="72"/>
      <c r="I29" s="72"/>
      <c r="J29" s="72"/>
      <c r="K29" s="72"/>
      <c r="M29" s="72"/>
      <c r="N29" s="72"/>
      <c r="O29" s="72"/>
    </row>
    <row r="30" spans="1:15" x14ac:dyDescent="0.2">
      <c r="A30" s="62">
        <v>22</v>
      </c>
      <c r="B30" s="73" t="s">
        <v>104</v>
      </c>
      <c r="C30" s="68">
        <v>46</v>
      </c>
      <c r="D30" s="289">
        <v>71567000</v>
      </c>
      <c r="E30" s="72">
        <f>SUM(F30:K30)</f>
        <v>4721000</v>
      </c>
      <c r="F30" s="305">
        <v>4764000</v>
      </c>
      <c r="G30" s="305">
        <v>-9000</v>
      </c>
      <c r="H30" s="305">
        <v>47000</v>
      </c>
      <c r="I30" s="305">
        <v>-47000</v>
      </c>
      <c r="J30" s="305">
        <v>-47000</v>
      </c>
      <c r="K30" s="305">
        <v>13000</v>
      </c>
      <c r="L30" s="306"/>
      <c r="M30" s="305">
        <v>4948000</v>
      </c>
      <c r="N30" s="305">
        <v>42000</v>
      </c>
      <c r="O30" s="305">
        <f>+M30-N30</f>
        <v>4906000</v>
      </c>
    </row>
    <row r="31" spans="1:15" x14ac:dyDescent="0.2">
      <c r="A31" s="62">
        <v>23</v>
      </c>
      <c r="B31" s="73" t="s">
        <v>100</v>
      </c>
      <c r="C31" s="68">
        <v>49</v>
      </c>
      <c r="D31" s="289">
        <v>543143000</v>
      </c>
      <c r="E31" s="72">
        <f>SUM(F31:K31)</f>
        <v>34894000</v>
      </c>
      <c r="F31" s="305">
        <v>35378000</v>
      </c>
      <c r="G31" s="305">
        <v>-229000</v>
      </c>
      <c r="H31" s="305">
        <v>343000</v>
      </c>
      <c r="I31" s="305">
        <v>-343000</v>
      </c>
      <c r="J31" s="305">
        <v>-355000</v>
      </c>
      <c r="K31" s="305">
        <v>100000</v>
      </c>
      <c r="L31" s="306"/>
      <c r="M31" s="305">
        <v>36871000</v>
      </c>
      <c r="N31" s="305">
        <v>311000</v>
      </c>
      <c r="O31" s="305">
        <f>+M31-N31</f>
        <v>36560000</v>
      </c>
    </row>
    <row r="32" spans="1:15" x14ac:dyDescent="0.2">
      <c r="A32" s="62">
        <v>24</v>
      </c>
      <c r="B32" s="60" t="s">
        <v>105</v>
      </c>
      <c r="C32" s="68"/>
      <c r="D32" s="199">
        <f t="shared" ref="D32" si="19">SUM(D30:D31)</f>
        <v>614710000</v>
      </c>
      <c r="E32" s="71">
        <f>SUM(E30:E31)</f>
        <v>39615000</v>
      </c>
      <c r="F32" s="71">
        <f t="shared" ref="F32" si="20">SUM(F30:F31)</f>
        <v>40142000</v>
      </c>
      <c r="G32" s="71">
        <f t="shared" ref="G32:H32" si="21">SUM(G30:G31)</f>
        <v>-238000</v>
      </c>
      <c r="H32" s="71">
        <f t="shared" si="21"/>
        <v>390000</v>
      </c>
      <c r="I32" s="71">
        <f t="shared" ref="I32:K32" si="22">SUM(I30:I31)</f>
        <v>-390000</v>
      </c>
      <c r="J32" s="71">
        <f t="shared" si="22"/>
        <v>-402000</v>
      </c>
      <c r="K32" s="71">
        <f t="shared" si="22"/>
        <v>113000</v>
      </c>
      <c r="M32" s="71">
        <f t="shared" ref="M32:N32" si="23">SUM(M30:M31)</f>
        <v>41819000</v>
      </c>
      <c r="N32" s="71">
        <f t="shared" si="23"/>
        <v>353000</v>
      </c>
      <c r="O32" s="71">
        <f>SUM(O30:O31)</f>
        <v>41466000</v>
      </c>
    </row>
    <row r="33" spans="1:15" x14ac:dyDescent="0.2">
      <c r="A33" s="62">
        <v>25</v>
      </c>
      <c r="C33" s="68"/>
      <c r="D33" s="201"/>
    </row>
    <row r="34" spans="1:15" x14ac:dyDescent="0.2">
      <c r="A34" s="62">
        <v>26</v>
      </c>
      <c r="B34" s="60" t="s">
        <v>106</v>
      </c>
      <c r="C34" s="88" t="s">
        <v>236</v>
      </c>
      <c r="D34" s="290">
        <v>66443000</v>
      </c>
      <c r="E34" s="71">
        <f>SUM(F34:K34)</f>
        <v>15267000</v>
      </c>
      <c r="F34" s="307">
        <v>15545000</v>
      </c>
      <c r="G34" s="307">
        <v>-40000</v>
      </c>
      <c r="H34" s="307">
        <v>233000</v>
      </c>
      <c r="I34" s="307">
        <v>-233000</v>
      </c>
      <c r="J34" s="307">
        <v>-238000</v>
      </c>
      <c r="K34" s="307">
        <v>0</v>
      </c>
      <c r="L34" s="306"/>
      <c r="M34" s="307">
        <v>16122000</v>
      </c>
      <c r="N34" s="307">
        <v>130000</v>
      </c>
      <c r="O34" s="307">
        <f>+M34-N34</f>
        <v>15992000</v>
      </c>
    </row>
    <row r="35" spans="1:15" x14ac:dyDescent="0.2">
      <c r="A35" s="62">
        <v>27</v>
      </c>
      <c r="B35" s="67"/>
      <c r="C35" s="68"/>
      <c r="D35" s="201"/>
    </row>
    <row r="36" spans="1:15" x14ac:dyDescent="0.2">
      <c r="A36" s="62">
        <v>30</v>
      </c>
      <c r="B36" s="74" t="s">
        <v>107</v>
      </c>
      <c r="C36" s="88" t="s">
        <v>141</v>
      </c>
      <c r="D36" s="290">
        <v>1971862000</v>
      </c>
      <c r="E36" s="71">
        <f>SUM(F36:K36)</f>
        <v>8066000</v>
      </c>
      <c r="F36" s="307">
        <v>8285000</v>
      </c>
      <c r="G36" s="307">
        <v>0</v>
      </c>
      <c r="H36" s="307">
        <v>5000</v>
      </c>
      <c r="I36" s="307">
        <v>-5000</v>
      </c>
      <c r="J36" s="307">
        <v>-219000</v>
      </c>
      <c r="K36" s="307">
        <v>0</v>
      </c>
      <c r="L36" s="306"/>
      <c r="M36" s="307">
        <v>9742000</v>
      </c>
      <c r="N36" s="307">
        <v>65000</v>
      </c>
      <c r="O36" s="307">
        <f>+M36-N36</f>
        <v>9677000</v>
      </c>
    </row>
    <row r="37" spans="1:15" x14ac:dyDescent="0.2">
      <c r="A37" s="62">
        <v>31</v>
      </c>
      <c r="B37" s="74"/>
      <c r="C37" s="68"/>
      <c r="D37" s="201"/>
    </row>
    <row r="38" spans="1:15" x14ac:dyDescent="0.2">
      <c r="A38" s="62">
        <v>30</v>
      </c>
      <c r="B38" s="74" t="s">
        <v>251</v>
      </c>
      <c r="C38" s="88" t="s">
        <v>252</v>
      </c>
      <c r="D38" s="290">
        <v>469522000</v>
      </c>
      <c r="E38" s="71">
        <f>SUM(F38:K38)</f>
        <v>3351000</v>
      </c>
      <c r="F38" s="307">
        <v>3753000</v>
      </c>
      <c r="G38" s="307">
        <v>0</v>
      </c>
      <c r="H38" s="307">
        <v>285000</v>
      </c>
      <c r="I38" s="307">
        <v>-285000</v>
      </c>
      <c r="J38" s="307">
        <v>-402000</v>
      </c>
      <c r="K38" s="307">
        <v>0</v>
      </c>
      <c r="L38" s="306"/>
      <c r="M38" s="307">
        <v>6352000</v>
      </c>
      <c r="N38" s="307">
        <v>288000</v>
      </c>
      <c r="O38" s="307">
        <f>+M38-N38</f>
        <v>6064000</v>
      </c>
    </row>
    <row r="39" spans="1:15" x14ac:dyDescent="0.2">
      <c r="A39" s="62">
        <v>31</v>
      </c>
      <c r="B39" s="74"/>
      <c r="C39" s="189"/>
      <c r="D39" s="201"/>
    </row>
    <row r="40" spans="1:15" ht="13.5" thickBot="1" x14ac:dyDescent="0.25">
      <c r="A40" s="62">
        <v>32</v>
      </c>
      <c r="B40" s="60" t="s">
        <v>108</v>
      </c>
      <c r="C40" s="68"/>
      <c r="D40" s="202">
        <f t="shared" ref="D40" si="24">SUM(D12,D19,D25,D27,D32,D34,D36,D38)</f>
        <v>22808629000</v>
      </c>
      <c r="E40" s="75">
        <f>SUM(E12,E19,E25,E27,E32,E34,E36,E38)</f>
        <v>1954091000</v>
      </c>
      <c r="F40" s="75">
        <f t="shared" ref="F40" si="25">SUM(F12,F19,F25,F27,F32,F34,F36,F38)</f>
        <v>1982383000</v>
      </c>
      <c r="G40" s="75">
        <f t="shared" ref="G40:H40" si="26">SUM(G12,G19,G25,G27,G32,G34,G36,G38)</f>
        <v>-20235000</v>
      </c>
      <c r="H40" s="75">
        <f t="shared" si="26"/>
        <v>25760000</v>
      </c>
      <c r="I40" s="75">
        <f t="shared" ref="I40:K40" si="27">SUM(I12,I19,I25,I27,I32,I34,I36,I38)</f>
        <v>-25760000</v>
      </c>
      <c r="J40" s="75">
        <f t="shared" si="27"/>
        <v>-22768000</v>
      </c>
      <c r="K40" s="75">
        <f t="shared" si="27"/>
        <v>14711000</v>
      </c>
      <c r="M40" s="75">
        <f t="shared" ref="M40:O40" si="28">SUM(M12,M19,M25,M27,M32,M34,M36,M38)</f>
        <v>1985686000</v>
      </c>
      <c r="N40" s="75">
        <f t="shared" si="28"/>
        <v>17452000</v>
      </c>
      <c r="O40" s="75">
        <f t="shared" si="28"/>
        <v>1968234000</v>
      </c>
    </row>
    <row r="41" spans="1:15" ht="13.5" thickTop="1" x14ac:dyDescent="0.2">
      <c r="A41" s="62">
        <v>33</v>
      </c>
      <c r="B41" s="74"/>
      <c r="C41" s="68"/>
      <c r="D41" s="203"/>
      <c r="E41" s="76"/>
      <c r="F41" s="76"/>
      <c r="G41" s="76"/>
      <c r="H41" s="76"/>
      <c r="I41" s="76"/>
      <c r="J41" s="76"/>
      <c r="K41" s="76"/>
      <c r="M41" s="76"/>
      <c r="N41" s="76"/>
      <c r="O41" s="76"/>
    </row>
    <row r="42" spans="1:15" x14ac:dyDescent="0.2">
      <c r="A42" s="62">
        <v>34</v>
      </c>
      <c r="B42" s="74" t="s">
        <v>254</v>
      </c>
      <c r="C42" s="68">
        <v>5</v>
      </c>
      <c r="D42" s="290">
        <v>7247000</v>
      </c>
      <c r="E42" s="71">
        <f>SUM(F42:K42)</f>
        <v>326000</v>
      </c>
      <c r="F42" s="307">
        <v>330000</v>
      </c>
      <c r="G42" s="307">
        <v>-4000</v>
      </c>
      <c r="H42" s="307">
        <v>4000</v>
      </c>
      <c r="I42" s="307">
        <v>-4000</v>
      </c>
      <c r="J42" s="307">
        <v>0</v>
      </c>
      <c r="K42" s="307">
        <v>0</v>
      </c>
      <c r="L42" s="306"/>
      <c r="M42" s="307">
        <v>325000</v>
      </c>
      <c r="N42" s="307">
        <v>0</v>
      </c>
      <c r="O42" s="307">
        <f>+M42-N42</f>
        <v>325000</v>
      </c>
    </row>
    <row r="43" spans="1:15" x14ac:dyDescent="0.2">
      <c r="A43" s="62">
        <v>35</v>
      </c>
      <c r="B43" s="74"/>
      <c r="C43" s="68"/>
      <c r="D43" s="201"/>
    </row>
    <row r="44" spans="1:15" ht="13.5" thickBot="1" x14ac:dyDescent="0.25">
      <c r="A44" s="62">
        <v>36</v>
      </c>
      <c r="B44" s="60" t="s">
        <v>109</v>
      </c>
      <c r="D44" s="202">
        <f t="shared" ref="D44" si="29">SUM(D40,D42)</f>
        <v>22815876000</v>
      </c>
      <c r="E44" s="75">
        <f>SUM(E40,E42)</f>
        <v>1954417000</v>
      </c>
      <c r="F44" s="75">
        <f t="shared" ref="F44" si="30">SUM(F40,F42)</f>
        <v>1982713000</v>
      </c>
      <c r="G44" s="75">
        <f t="shared" ref="G44:H44" si="31">SUM(G40,G42)</f>
        <v>-20239000</v>
      </c>
      <c r="H44" s="75">
        <f t="shared" si="31"/>
        <v>25764000</v>
      </c>
      <c r="I44" s="75">
        <f t="shared" ref="I44:K44" si="32">SUM(I40,I42)</f>
        <v>-25764000</v>
      </c>
      <c r="J44" s="75">
        <f t="shared" si="32"/>
        <v>-22768000</v>
      </c>
      <c r="K44" s="75">
        <f t="shared" si="32"/>
        <v>14711000</v>
      </c>
      <c r="M44" s="75">
        <f t="shared" ref="M44:N44" si="33">SUM(M40,M42)</f>
        <v>1986011000</v>
      </c>
      <c r="N44" s="75">
        <f t="shared" si="33"/>
        <v>17452000</v>
      </c>
      <c r="O44" s="75">
        <f>SUM(O40,O42)</f>
        <v>1968559000</v>
      </c>
    </row>
    <row r="45" spans="1:15" ht="13.5" thickTop="1" x14ac:dyDescent="0.2">
      <c r="A45" s="62"/>
      <c r="D45" s="201"/>
    </row>
    <row r="46" spans="1:15" x14ac:dyDescent="0.2">
      <c r="D46" s="201">
        <v>22815876000</v>
      </c>
      <c r="E46" s="91">
        <v>1954417000</v>
      </c>
      <c r="F46" s="91">
        <v>1982713000</v>
      </c>
      <c r="G46" s="91">
        <v>-20239000</v>
      </c>
      <c r="H46" s="91">
        <v>25764000</v>
      </c>
      <c r="I46" s="91">
        <v>-25764000</v>
      </c>
      <c r="J46" s="91">
        <v>-22768000</v>
      </c>
      <c r="K46" s="91">
        <v>14711000</v>
      </c>
      <c r="M46" s="91">
        <v>1986011000</v>
      </c>
      <c r="N46" s="91">
        <v>17452000</v>
      </c>
      <c r="O46" s="91">
        <f>+M46-N46</f>
        <v>1968559000</v>
      </c>
    </row>
    <row r="47" spans="1:15" x14ac:dyDescent="0.2">
      <c r="D47" s="201">
        <f t="shared" ref="D47" si="34">+D44-D46</f>
        <v>0</v>
      </c>
      <c r="E47" s="91">
        <f t="shared" ref="E47:G47" si="35">+E44-E46</f>
        <v>0</v>
      </c>
      <c r="F47" s="91">
        <f t="shared" si="35"/>
        <v>0</v>
      </c>
      <c r="G47" s="91">
        <f t="shared" si="35"/>
        <v>0</v>
      </c>
      <c r="H47" s="91">
        <f t="shared" ref="H47:K47" si="36">+H44-H46</f>
        <v>0</v>
      </c>
      <c r="I47" s="91">
        <f t="shared" si="36"/>
        <v>0</v>
      </c>
      <c r="J47" s="91">
        <f t="shared" si="36"/>
        <v>0</v>
      </c>
      <c r="K47" s="91">
        <f t="shared" si="36"/>
        <v>0</v>
      </c>
      <c r="M47" s="91">
        <f>+M44-M46</f>
        <v>0</v>
      </c>
      <c r="N47" s="91">
        <f>+N44-N46</f>
        <v>0</v>
      </c>
      <c r="O47" s="91">
        <f>+O44-O46</f>
        <v>0</v>
      </c>
    </row>
  </sheetData>
  <mergeCells count="7">
    <mergeCell ref="E7:K7"/>
    <mergeCell ref="M7:O7"/>
    <mergeCell ref="A1:O1"/>
    <mergeCell ref="A2:O2"/>
    <mergeCell ref="A3:O3"/>
    <mergeCell ref="A4:O4"/>
    <mergeCell ref="A5:O5"/>
  </mergeCells>
  <phoneticPr fontId="0" type="noConversion"/>
  <printOptions horizontalCentered="1"/>
  <pageMargins left="0.7" right="0.7" top="0.75" bottom="0.75" header="0.3" footer="0.3"/>
  <pageSetup scale="77" orientation="landscape" r:id="rId1"/>
  <headerFooter alignWithMargins="0">
    <oddHeader>&amp;R2018 Low Income Filing
Advice 2018-xx
Page &amp;P of &amp;N</oddHeader>
    <oddFooter>&amp;L&amp;F
&amp;A&amp;R&amp;D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zoomScale="90" workbookViewId="0">
      <pane xSplit="1" ySplit="4" topLeftCell="B5" activePane="bottomRight" state="frozen"/>
      <selection activeCell="J7" sqref="J7"/>
      <selection pane="topRight" activeCell="J7" sqref="J7"/>
      <selection pane="bottomLeft" activeCell="J7" sqref="J7"/>
      <selection pane="bottomRight" activeCell="D4" sqref="D4"/>
    </sheetView>
  </sheetViews>
  <sheetFormatPr defaultColWidth="9.140625" defaultRowHeight="12.75" x14ac:dyDescent="0.2"/>
  <cols>
    <col min="1" max="1" width="8.42578125" style="4" bestFit="1" customWidth="1"/>
    <col min="2" max="2" width="46.28515625" style="4" bestFit="1" customWidth="1"/>
    <col min="3" max="3" width="11.85546875" style="4" bestFit="1" customWidth="1"/>
    <col min="4" max="5" width="16.85546875" style="4" bestFit="1" customWidth="1"/>
    <col min="6" max="6" width="11.7109375" style="4" bestFit="1" customWidth="1"/>
    <col min="7" max="7" width="16.140625" style="4" bestFit="1" customWidth="1"/>
    <col min="8" max="8" width="13.28515625" style="4" bestFit="1" customWidth="1"/>
    <col min="9" max="9" width="9.7109375" style="4" bestFit="1" customWidth="1"/>
    <col min="10" max="10" width="9.140625" style="4"/>
    <col min="11" max="11" width="18.85546875" style="4" bestFit="1" customWidth="1"/>
    <col min="12" max="12" width="14" style="4" bestFit="1" customWidth="1"/>
    <col min="13" max="13" width="9.140625" style="4"/>
    <col min="14" max="14" width="18.85546875" style="4" bestFit="1" customWidth="1"/>
    <col min="15" max="15" width="18.42578125" style="4" bestFit="1" customWidth="1"/>
    <col min="16" max="16384" width="9.140625" style="4"/>
  </cols>
  <sheetData>
    <row r="1" spans="1:15" x14ac:dyDescent="0.2">
      <c r="A1" s="32" t="s">
        <v>173</v>
      </c>
      <c r="B1" s="33"/>
      <c r="C1" s="33"/>
      <c r="D1" s="34"/>
      <c r="E1" s="34"/>
      <c r="F1" s="33"/>
      <c r="G1" s="34"/>
      <c r="H1" s="33"/>
      <c r="I1" s="35"/>
    </row>
    <row r="2" spans="1:15" x14ac:dyDescent="0.2">
      <c r="A2" s="36" t="s">
        <v>8</v>
      </c>
      <c r="B2" s="1"/>
      <c r="C2" s="1"/>
      <c r="D2" s="37"/>
      <c r="E2" s="37"/>
      <c r="F2" s="1"/>
      <c r="G2" s="37"/>
      <c r="H2" s="1"/>
      <c r="I2" s="38"/>
    </row>
    <row r="3" spans="1:15" x14ac:dyDescent="0.2">
      <c r="A3" s="39"/>
      <c r="C3" s="5"/>
      <c r="D3" s="54"/>
      <c r="E3" s="54"/>
      <c r="G3" s="54"/>
      <c r="I3" s="40"/>
    </row>
    <row r="4" spans="1:15" s="7" customFormat="1" ht="81" customHeight="1" thickBot="1" x14ac:dyDescent="0.25">
      <c r="A4" s="41" t="s">
        <v>9</v>
      </c>
      <c r="B4" s="42" t="s">
        <v>69</v>
      </c>
      <c r="C4" s="42" t="s">
        <v>0</v>
      </c>
      <c r="D4" s="43" t="s">
        <v>174</v>
      </c>
      <c r="E4" s="57" t="s">
        <v>239</v>
      </c>
      <c r="F4" s="44" t="s">
        <v>176</v>
      </c>
      <c r="G4" s="57" t="s">
        <v>175</v>
      </c>
      <c r="H4" s="44" t="s">
        <v>177</v>
      </c>
      <c r="I4" s="80" t="s">
        <v>111</v>
      </c>
    </row>
    <row r="5" spans="1:15" s="7" customFormat="1" ht="26.25" thickBot="1" x14ac:dyDescent="0.25">
      <c r="A5" s="41"/>
      <c r="B5" s="42"/>
      <c r="C5" s="42"/>
      <c r="D5" s="43" t="s">
        <v>14</v>
      </c>
      <c r="E5" s="43" t="s">
        <v>15</v>
      </c>
      <c r="F5" s="44" t="s">
        <v>144</v>
      </c>
      <c r="G5" s="42" t="s">
        <v>72</v>
      </c>
      <c r="H5" s="43" t="s">
        <v>73</v>
      </c>
      <c r="I5" s="80" t="s">
        <v>74</v>
      </c>
    </row>
    <row r="6" spans="1:15" x14ac:dyDescent="0.2">
      <c r="A6" s="39"/>
      <c r="C6" s="5"/>
      <c r="D6" s="54"/>
      <c r="E6" s="54"/>
      <c r="G6" s="54"/>
      <c r="I6" s="40"/>
    </row>
    <row r="7" spans="1:15" x14ac:dyDescent="0.2">
      <c r="A7" s="104">
        <v>1</v>
      </c>
      <c r="B7" s="77" t="s">
        <v>1</v>
      </c>
      <c r="C7" s="18">
        <v>7</v>
      </c>
      <c r="D7" s="54">
        <v>10809562000</v>
      </c>
      <c r="E7" s="55">
        <v>1112711000</v>
      </c>
      <c r="F7" s="90">
        <v>8.9541873144173675E-4</v>
      </c>
      <c r="G7" s="55">
        <v>1122390084.2934809</v>
      </c>
      <c r="H7" s="55">
        <v>9679084.2934808023</v>
      </c>
      <c r="I7" s="46">
        <v>8.6986506770228775E-3</v>
      </c>
      <c r="K7" s="287"/>
      <c r="L7" s="58"/>
      <c r="N7" s="288"/>
      <c r="O7" s="79"/>
    </row>
    <row r="8" spans="1:15" x14ac:dyDescent="0.2">
      <c r="A8" s="104">
        <v>2</v>
      </c>
      <c r="B8" s="77"/>
      <c r="C8" s="18"/>
      <c r="D8" s="54"/>
      <c r="E8" s="55"/>
      <c r="F8" s="45"/>
      <c r="G8" s="55"/>
      <c r="H8" s="55"/>
      <c r="I8" s="46"/>
      <c r="K8" s="287"/>
      <c r="L8" s="58"/>
      <c r="N8" s="288"/>
      <c r="O8" s="79"/>
    </row>
    <row r="9" spans="1:15" x14ac:dyDescent="0.2">
      <c r="A9" s="104">
        <v>3</v>
      </c>
      <c r="B9" s="102" t="s">
        <v>49</v>
      </c>
      <c r="C9" s="86" t="s">
        <v>130</v>
      </c>
      <c r="D9" s="54">
        <v>3049254000</v>
      </c>
      <c r="E9" s="55">
        <v>300311000</v>
      </c>
      <c r="F9" s="90">
        <v>8.5670150255354833E-4</v>
      </c>
      <c r="G9" s="55">
        <v>300337123.00483465</v>
      </c>
      <c r="H9" s="55">
        <v>2612300.4834674173</v>
      </c>
      <c r="I9" s="46">
        <v>8.6986506770228775E-3</v>
      </c>
      <c r="K9" s="287"/>
      <c r="L9" s="58"/>
      <c r="N9" s="288"/>
      <c r="O9" s="79"/>
    </row>
    <row r="10" spans="1:15" x14ac:dyDescent="0.2">
      <c r="A10" s="104">
        <v>4</v>
      </c>
      <c r="B10" s="102" t="s">
        <v>50</v>
      </c>
      <c r="C10" s="87" t="s">
        <v>131</v>
      </c>
      <c r="D10" s="54">
        <v>3208495000</v>
      </c>
      <c r="E10" s="55">
        <v>293729000</v>
      </c>
      <c r="F10" s="90">
        <v>7.9633783587359575E-4</v>
      </c>
      <c r="G10" s="55">
        <v>293754550.45964712</v>
      </c>
      <c r="H10" s="55">
        <v>2555045.9647112526</v>
      </c>
      <c r="I10" s="46">
        <v>8.6986506770228775E-3</v>
      </c>
      <c r="K10" s="287"/>
      <c r="L10" s="58"/>
      <c r="N10" s="288"/>
      <c r="O10" s="79"/>
    </row>
    <row r="11" spans="1:15" x14ac:dyDescent="0.2">
      <c r="A11" s="104">
        <v>5</v>
      </c>
      <c r="B11" s="102" t="s">
        <v>51</v>
      </c>
      <c r="C11" s="87" t="s">
        <v>132</v>
      </c>
      <c r="D11" s="54">
        <v>1921550000</v>
      </c>
      <c r="E11" s="55">
        <v>158357000</v>
      </c>
      <c r="F11" s="90">
        <v>7.1686514806344444E-4</v>
      </c>
      <c r="G11" s="55">
        <v>158370774.92225263</v>
      </c>
      <c r="H11" s="55">
        <v>1377492.2252613117</v>
      </c>
      <c r="I11" s="46">
        <v>8.6986506770228775E-3</v>
      </c>
      <c r="K11" s="287"/>
      <c r="L11" s="58"/>
      <c r="N11" s="288"/>
      <c r="O11" s="79"/>
    </row>
    <row r="12" spans="1:15" x14ac:dyDescent="0.2">
      <c r="A12" s="104">
        <v>6</v>
      </c>
      <c r="B12" s="103" t="s">
        <v>52</v>
      </c>
      <c r="C12" s="18">
        <v>29</v>
      </c>
      <c r="D12" s="54">
        <v>16140000</v>
      </c>
      <c r="E12" s="55">
        <v>1322000</v>
      </c>
      <c r="F12" s="90">
        <v>7.1249170972888752E-4</v>
      </c>
      <c r="G12" s="55">
        <v>1322114.9961619503</v>
      </c>
      <c r="H12" s="55">
        <v>11499.616195024244</v>
      </c>
      <c r="I12" s="46">
        <v>8.6986506770228775E-3</v>
      </c>
      <c r="K12" s="287"/>
      <c r="L12" s="58"/>
      <c r="N12" s="288"/>
      <c r="O12" s="79"/>
    </row>
    <row r="13" spans="1:15" x14ac:dyDescent="0.2">
      <c r="A13" s="104">
        <v>7</v>
      </c>
      <c r="B13" s="77"/>
      <c r="C13" s="18"/>
      <c r="D13" s="54"/>
      <c r="E13" s="55"/>
      <c r="F13" s="45"/>
      <c r="G13" s="55"/>
      <c r="H13" s="55"/>
      <c r="I13" s="46"/>
      <c r="K13" s="287"/>
      <c r="L13" s="58"/>
      <c r="O13" s="79"/>
    </row>
    <row r="14" spans="1:15" x14ac:dyDescent="0.2">
      <c r="A14" s="104">
        <v>8</v>
      </c>
      <c r="B14" s="77" t="s">
        <v>53</v>
      </c>
      <c r="C14" s="18"/>
      <c r="D14" s="54">
        <v>8195439000</v>
      </c>
      <c r="E14" s="55">
        <v>753719000</v>
      </c>
      <c r="F14" s="90">
        <v>7.9999842468902582E-4</v>
      </c>
      <c r="G14" s="55">
        <v>753784563.38289642</v>
      </c>
      <c r="H14" s="55">
        <v>6556338.2896350054</v>
      </c>
      <c r="I14" s="46">
        <v>8.6986506770228757E-3</v>
      </c>
      <c r="K14" s="287"/>
      <c r="L14" s="58"/>
      <c r="N14" s="288"/>
      <c r="O14" s="79"/>
    </row>
    <row r="15" spans="1:15" x14ac:dyDescent="0.2">
      <c r="A15" s="104">
        <v>9</v>
      </c>
      <c r="B15" s="77"/>
      <c r="C15" s="18"/>
      <c r="D15" s="54"/>
      <c r="E15" s="55"/>
      <c r="F15" s="45"/>
      <c r="G15" s="55"/>
      <c r="H15" s="55"/>
      <c r="I15" s="46"/>
      <c r="K15" s="287"/>
      <c r="L15" s="58"/>
      <c r="N15" s="288"/>
      <c r="O15" s="79"/>
    </row>
    <row r="16" spans="1:15" x14ac:dyDescent="0.2">
      <c r="A16" s="104">
        <v>10</v>
      </c>
      <c r="B16" s="102" t="s">
        <v>54</v>
      </c>
      <c r="C16" s="87" t="s">
        <v>134</v>
      </c>
      <c r="D16" s="54">
        <v>1409546000</v>
      </c>
      <c r="E16" s="55">
        <v>114140000</v>
      </c>
      <c r="F16" s="90">
        <v>7.0438565912385356E-4</v>
      </c>
      <c r="G16" s="55">
        <v>114149928.63988276</v>
      </c>
      <c r="H16" s="55">
        <v>992863.98827539128</v>
      </c>
      <c r="I16" s="46">
        <v>8.6986506770228775E-3</v>
      </c>
      <c r="K16" s="287"/>
      <c r="L16" s="58"/>
      <c r="N16" s="288"/>
      <c r="O16" s="79"/>
    </row>
    <row r="17" spans="1:15" x14ac:dyDescent="0.2">
      <c r="A17" s="104">
        <v>11</v>
      </c>
      <c r="B17" s="103" t="s">
        <v>55</v>
      </c>
      <c r="C17" s="18">
        <v>35</v>
      </c>
      <c r="D17" s="54">
        <v>5150000</v>
      </c>
      <c r="E17" s="55">
        <v>303000</v>
      </c>
      <c r="F17" s="90">
        <v>5.1178469031804496E-4</v>
      </c>
      <c r="G17" s="55">
        <v>303026.35691155138</v>
      </c>
      <c r="H17" s="55">
        <v>2635.6911551379317</v>
      </c>
      <c r="I17" s="46">
        <v>8.6986506770228775E-3</v>
      </c>
      <c r="K17" s="287"/>
      <c r="L17" s="58"/>
      <c r="N17" s="288"/>
      <c r="O17" s="79"/>
    </row>
    <row r="18" spans="1:15" x14ac:dyDescent="0.2">
      <c r="A18" s="104">
        <v>12</v>
      </c>
      <c r="B18" s="103" t="s">
        <v>56</v>
      </c>
      <c r="C18" s="18">
        <v>43</v>
      </c>
      <c r="D18" s="54">
        <v>123766000</v>
      </c>
      <c r="E18" s="55">
        <v>11083000</v>
      </c>
      <c r="F18" s="90">
        <v>7.7894692769778901E-4</v>
      </c>
      <c r="G18" s="55">
        <v>11083964.071454534</v>
      </c>
      <c r="H18" s="55">
        <v>96407.145453444551</v>
      </c>
      <c r="I18" s="46">
        <v>8.6986506770228775E-3</v>
      </c>
      <c r="K18" s="287"/>
      <c r="L18" s="58"/>
      <c r="N18" s="288"/>
      <c r="O18" s="79"/>
    </row>
    <row r="19" spans="1:15" x14ac:dyDescent="0.2">
      <c r="A19" s="104">
        <v>13</v>
      </c>
      <c r="B19" s="59"/>
      <c r="C19" s="18"/>
      <c r="D19" s="54"/>
      <c r="E19" s="55"/>
      <c r="F19" s="45"/>
      <c r="G19" s="55"/>
      <c r="H19" s="55"/>
      <c r="I19" s="46"/>
      <c r="K19" s="287"/>
      <c r="L19" s="58"/>
      <c r="O19" s="79"/>
    </row>
    <row r="20" spans="1:15" x14ac:dyDescent="0.2">
      <c r="A20" s="104">
        <v>14</v>
      </c>
      <c r="B20" s="59" t="s">
        <v>57</v>
      </c>
      <c r="C20" s="18"/>
      <c r="D20" s="54">
        <v>1538462000</v>
      </c>
      <c r="E20" s="55">
        <v>125526000</v>
      </c>
      <c r="F20" s="90">
        <v>7.0973922325281589E-4</v>
      </c>
      <c r="G20" s="55">
        <v>125536919.06824885</v>
      </c>
      <c r="H20" s="55">
        <v>1091906.8248839737</v>
      </c>
      <c r="I20" s="46">
        <v>8.6986506770228775E-3</v>
      </c>
      <c r="K20" s="287"/>
      <c r="L20" s="58"/>
      <c r="N20" s="288"/>
      <c r="O20" s="79"/>
    </row>
    <row r="21" spans="1:15" x14ac:dyDescent="0.2">
      <c r="A21" s="104">
        <v>15</v>
      </c>
      <c r="B21" s="59"/>
      <c r="C21" s="18"/>
      <c r="D21" s="54"/>
      <c r="E21" s="55"/>
      <c r="F21" s="45"/>
      <c r="G21" s="55"/>
      <c r="H21" s="55"/>
      <c r="I21" s="46"/>
      <c r="K21" s="287"/>
      <c r="L21" s="58"/>
      <c r="N21" s="288"/>
      <c r="O21" s="79"/>
    </row>
    <row r="22" spans="1:15" x14ac:dyDescent="0.2">
      <c r="A22" s="104">
        <v>16</v>
      </c>
      <c r="B22" s="77" t="s">
        <v>77</v>
      </c>
      <c r="C22" s="18">
        <v>40</v>
      </c>
      <c r="D22" s="54">
        <v>586365000</v>
      </c>
      <c r="E22" s="55">
        <v>43672000</v>
      </c>
      <c r="F22" s="90">
        <v>6.4786860124145041E-4</v>
      </c>
      <c r="G22" s="55">
        <v>43675798.874723673</v>
      </c>
      <c r="H22" s="55">
        <v>379887.47236694308</v>
      </c>
      <c r="I22" s="46">
        <v>8.6986506770228775E-3</v>
      </c>
      <c r="K22" s="287"/>
      <c r="L22" s="58"/>
      <c r="N22" s="288"/>
      <c r="O22" s="79"/>
    </row>
    <row r="23" spans="1:15" x14ac:dyDescent="0.2">
      <c r="A23" s="104">
        <v>17</v>
      </c>
      <c r="B23" s="59"/>
      <c r="C23" s="18"/>
      <c r="D23" s="54"/>
      <c r="E23" s="55"/>
      <c r="F23" s="45"/>
      <c r="G23" s="55"/>
      <c r="H23" s="55"/>
      <c r="I23" s="46"/>
      <c r="K23" s="287"/>
      <c r="L23" s="58"/>
      <c r="N23" s="288"/>
      <c r="O23" s="79"/>
    </row>
    <row r="24" spans="1:15" x14ac:dyDescent="0.2">
      <c r="A24" s="104">
        <v>18</v>
      </c>
      <c r="B24" s="103" t="s">
        <v>59</v>
      </c>
      <c r="C24" s="18">
        <v>46</v>
      </c>
      <c r="D24" s="54">
        <v>79268000</v>
      </c>
      <c r="E24" s="55">
        <v>5361000</v>
      </c>
      <c r="F24" s="90">
        <v>5.8830128525407031E-4</v>
      </c>
      <c r="G24" s="55">
        <v>5361466.3346627951</v>
      </c>
      <c r="H24" s="55">
        <v>46633.466279519649</v>
      </c>
      <c r="I24" s="46">
        <v>8.6986506770228775E-3</v>
      </c>
      <c r="K24" s="287"/>
      <c r="L24" s="58"/>
      <c r="N24" s="288"/>
      <c r="O24" s="79"/>
    </row>
    <row r="25" spans="1:15" x14ac:dyDescent="0.2">
      <c r="A25" s="104">
        <v>19</v>
      </c>
      <c r="B25" s="102" t="s">
        <v>60</v>
      </c>
      <c r="C25" s="18">
        <v>49</v>
      </c>
      <c r="D25" s="54">
        <v>597895000</v>
      </c>
      <c r="E25" s="55">
        <v>39373000</v>
      </c>
      <c r="F25" s="90">
        <v>5.7282963247128971E-4</v>
      </c>
      <c r="G25" s="55">
        <v>39376424.919731066</v>
      </c>
      <c r="H25" s="55">
        <v>342491.97310642176</v>
      </c>
      <c r="I25" s="46">
        <v>8.6986506770228775E-3</v>
      </c>
      <c r="K25" s="287"/>
      <c r="L25" s="58"/>
      <c r="N25" s="288"/>
      <c r="O25" s="79"/>
    </row>
    <row r="26" spans="1:15" x14ac:dyDescent="0.2">
      <c r="A26" s="104">
        <v>20</v>
      </c>
      <c r="B26" s="77"/>
      <c r="C26" s="18"/>
      <c r="D26" s="54"/>
      <c r="E26" s="55"/>
      <c r="F26" s="45"/>
      <c r="G26" s="55"/>
      <c r="H26" s="55"/>
      <c r="I26" s="46"/>
      <c r="K26" s="287"/>
      <c r="L26" s="58"/>
      <c r="O26" s="79"/>
    </row>
    <row r="27" spans="1:15" x14ac:dyDescent="0.2">
      <c r="A27" s="104">
        <v>21</v>
      </c>
      <c r="B27" s="77" t="s">
        <v>61</v>
      </c>
      <c r="C27" s="18"/>
      <c r="D27" s="54">
        <v>677163000</v>
      </c>
      <c r="E27" s="55">
        <v>44734000</v>
      </c>
      <c r="F27" s="90">
        <v>5.7464072813479385E-4</v>
      </c>
      <c r="G27" s="54">
        <v>44737891.254393861</v>
      </c>
      <c r="H27" s="55">
        <v>389125.43938594143</v>
      </c>
      <c r="I27" s="46">
        <v>8.6986506770228775E-3</v>
      </c>
      <c r="K27" s="287"/>
      <c r="L27" s="58"/>
      <c r="N27" s="288"/>
      <c r="O27" s="79"/>
    </row>
    <row r="28" spans="1:15" x14ac:dyDescent="0.2">
      <c r="A28" s="104">
        <v>22</v>
      </c>
      <c r="B28" s="77"/>
      <c r="C28" s="18"/>
      <c r="D28" s="54"/>
      <c r="E28" s="55"/>
      <c r="F28" s="45"/>
      <c r="G28" s="55"/>
      <c r="H28" s="55"/>
      <c r="I28" s="46"/>
      <c r="K28" s="287"/>
      <c r="L28" s="58"/>
      <c r="N28" s="288"/>
      <c r="O28" s="79"/>
    </row>
    <row r="29" spans="1:15" x14ac:dyDescent="0.2">
      <c r="A29" s="104">
        <v>23</v>
      </c>
      <c r="B29" s="77" t="s">
        <v>62</v>
      </c>
      <c r="C29" s="87" t="s">
        <v>235</v>
      </c>
      <c r="D29" s="54">
        <v>70960000</v>
      </c>
      <c r="E29" s="55">
        <v>15916000</v>
      </c>
      <c r="F29" s="90">
        <v>1.9510671388880511E-3</v>
      </c>
      <c r="G29" s="55">
        <v>15917384.477241755</v>
      </c>
      <c r="H29" s="55">
        <v>138447.72417549611</v>
      </c>
      <c r="I29" s="46">
        <v>8.6986506770228775E-3</v>
      </c>
      <c r="K29" s="287"/>
      <c r="L29" s="58"/>
      <c r="N29" s="288"/>
      <c r="O29" s="79"/>
    </row>
    <row r="30" spans="1:15" x14ac:dyDescent="0.2">
      <c r="A30" s="104">
        <v>24</v>
      </c>
      <c r="B30" s="77"/>
      <c r="C30" s="87"/>
      <c r="D30" s="54"/>
      <c r="E30" s="55"/>
      <c r="F30" s="45"/>
      <c r="G30" s="55"/>
      <c r="H30" s="55"/>
      <c r="I30" s="46"/>
      <c r="K30" s="287"/>
      <c r="L30" s="58"/>
      <c r="N30" s="288"/>
      <c r="O30" s="79"/>
    </row>
    <row r="31" spans="1:15" x14ac:dyDescent="0.2">
      <c r="A31" s="104">
        <v>25</v>
      </c>
      <c r="B31" s="77" t="s">
        <v>107</v>
      </c>
      <c r="C31" s="87" t="s">
        <v>135</v>
      </c>
      <c r="D31" s="54">
        <v>2030932000</v>
      </c>
      <c r="E31" s="55">
        <v>7703000</v>
      </c>
      <c r="F31" s="90">
        <v>3.2992589690401861E-5</v>
      </c>
      <c r="G31" s="55">
        <v>7703670.0570616508</v>
      </c>
      <c r="H31" s="55">
        <v>67005.706165107229</v>
      </c>
      <c r="I31" s="46">
        <v>8.6986506770228775E-3</v>
      </c>
      <c r="K31" s="287"/>
      <c r="L31" s="58"/>
      <c r="N31" s="288"/>
      <c r="O31" s="79"/>
    </row>
    <row r="32" spans="1:15" x14ac:dyDescent="0.2">
      <c r="A32" s="104">
        <v>26</v>
      </c>
      <c r="B32" s="77"/>
      <c r="C32" s="5"/>
      <c r="D32" s="54"/>
      <c r="E32" s="55"/>
      <c r="G32" s="55"/>
      <c r="H32" s="55"/>
      <c r="I32" s="40"/>
      <c r="K32" s="287"/>
      <c r="L32" s="58"/>
      <c r="O32" s="79"/>
    </row>
    <row r="33" spans="1:15" x14ac:dyDescent="0.2">
      <c r="A33" s="104">
        <v>27</v>
      </c>
      <c r="B33" s="59" t="s">
        <v>63</v>
      </c>
      <c r="C33" s="5"/>
      <c r="D33" s="54">
        <v>23908883000</v>
      </c>
      <c r="E33" s="55">
        <v>2103981000</v>
      </c>
      <c r="F33" s="90">
        <v>7.6548100344517463E-4</v>
      </c>
      <c r="G33" s="55">
        <v>2113746311.408047</v>
      </c>
      <c r="H33" s="55">
        <v>18301795.750093278</v>
      </c>
      <c r="I33" s="46">
        <v>8.6986506770228809E-3</v>
      </c>
      <c r="K33" s="287"/>
      <c r="L33" s="58"/>
      <c r="N33" s="288"/>
      <c r="O33" s="79"/>
    </row>
    <row r="34" spans="1:15" ht="13.5" thickBot="1" x14ac:dyDescent="0.25">
      <c r="A34" s="105">
        <v>28</v>
      </c>
      <c r="B34" s="3"/>
      <c r="C34" s="47"/>
      <c r="D34" s="56"/>
      <c r="E34" s="56"/>
      <c r="F34" s="3"/>
      <c r="G34" s="56"/>
      <c r="H34" s="49"/>
      <c r="I34" s="50"/>
      <c r="N34" s="288"/>
    </row>
    <row r="35" spans="1:15" x14ac:dyDescent="0.2">
      <c r="A35" s="5">
        <v>29</v>
      </c>
      <c r="C35" s="5"/>
      <c r="D35" s="54"/>
      <c r="E35" s="54"/>
      <c r="G35" s="54"/>
      <c r="N35" s="288"/>
    </row>
    <row r="36" spans="1:15" x14ac:dyDescent="0.2">
      <c r="A36" s="5">
        <v>30</v>
      </c>
      <c r="B36" s="4" t="s">
        <v>64</v>
      </c>
      <c r="C36" s="5"/>
      <c r="D36" s="54">
        <v>7036000</v>
      </c>
      <c r="E36" s="55">
        <v>616000</v>
      </c>
      <c r="G36" s="54"/>
    </row>
    <row r="37" spans="1:15" x14ac:dyDescent="0.2">
      <c r="A37" s="5">
        <v>31</v>
      </c>
      <c r="C37" s="5"/>
      <c r="D37" s="54"/>
      <c r="E37" s="55"/>
      <c r="G37" s="54"/>
      <c r="H37" s="58"/>
    </row>
    <row r="38" spans="1:15" x14ac:dyDescent="0.2">
      <c r="A38" s="5">
        <v>32</v>
      </c>
      <c r="B38" s="4" t="s">
        <v>65</v>
      </c>
      <c r="C38" s="5"/>
      <c r="D38" s="54">
        <v>23915919000</v>
      </c>
      <c r="E38" s="55">
        <v>2104597000</v>
      </c>
      <c r="G38" s="54"/>
    </row>
    <row r="39" spans="1:15" x14ac:dyDescent="0.2">
      <c r="A39" s="5">
        <v>33</v>
      </c>
      <c r="C39" s="5"/>
      <c r="D39" s="54"/>
      <c r="E39" s="55"/>
      <c r="G39" s="54"/>
    </row>
    <row r="40" spans="1:15" x14ac:dyDescent="0.2">
      <c r="A40" s="5">
        <v>34</v>
      </c>
      <c r="B40" s="4" t="s">
        <v>66</v>
      </c>
      <c r="C40" s="5"/>
      <c r="D40" s="54">
        <v>23915919000</v>
      </c>
      <c r="E40" s="55">
        <v>2104597000</v>
      </c>
      <c r="G40" s="54"/>
    </row>
    <row r="41" spans="1:15" x14ac:dyDescent="0.2">
      <c r="A41" s="5">
        <v>35</v>
      </c>
      <c r="C41" s="5"/>
      <c r="D41" s="54"/>
      <c r="E41" s="55"/>
      <c r="G41" s="54"/>
    </row>
    <row r="42" spans="1:15" x14ac:dyDescent="0.2">
      <c r="A42" s="5">
        <v>36</v>
      </c>
      <c r="B42" s="4" t="s">
        <v>67</v>
      </c>
      <c r="C42" s="5"/>
      <c r="D42" s="54">
        <v>0</v>
      </c>
      <c r="E42" s="55">
        <v>0</v>
      </c>
      <c r="G42" s="54"/>
    </row>
    <row r="43" spans="1:15" x14ac:dyDescent="0.2">
      <c r="A43" s="5">
        <v>37</v>
      </c>
      <c r="C43" s="5"/>
      <c r="D43" s="54"/>
      <c r="E43" s="54"/>
      <c r="G43" s="54"/>
    </row>
    <row r="44" spans="1:15" x14ac:dyDescent="0.2">
      <c r="A44" s="5">
        <v>38</v>
      </c>
      <c r="B44" s="4" t="s">
        <v>75</v>
      </c>
      <c r="C44" s="5"/>
      <c r="D44" s="54"/>
      <c r="E44" s="55">
        <v>18301795.75009327</v>
      </c>
      <c r="F44" s="51"/>
      <c r="G44" s="54"/>
    </row>
    <row r="45" spans="1:15" ht="13.5" thickBot="1" x14ac:dyDescent="0.25">
      <c r="A45" s="5">
        <v>39</v>
      </c>
      <c r="C45" s="5"/>
      <c r="D45" s="54"/>
      <c r="E45" s="54"/>
      <c r="G45" s="54"/>
    </row>
    <row r="46" spans="1:15" ht="13.5" thickBot="1" x14ac:dyDescent="0.25">
      <c r="A46" s="143">
        <v>40</v>
      </c>
      <c r="B46" s="147" t="s">
        <v>85</v>
      </c>
      <c r="C46" s="145"/>
      <c r="D46" s="146"/>
      <c r="E46" s="148">
        <v>8.6986506770228775E-3</v>
      </c>
      <c r="F46" s="144" t="s">
        <v>76</v>
      </c>
      <c r="G46" s="149"/>
      <c r="H46" s="150"/>
      <c r="I46" s="151"/>
    </row>
    <row r="47" spans="1:15" x14ac:dyDescent="0.2">
      <c r="C47" s="5"/>
      <c r="D47" s="54"/>
      <c r="E47" s="54"/>
      <c r="G47" s="54"/>
    </row>
    <row r="48" spans="1:15" x14ac:dyDescent="0.2">
      <c r="C48" s="5"/>
      <c r="D48" s="54"/>
      <c r="E48" s="54"/>
      <c r="G48" s="54"/>
    </row>
    <row r="49" spans="1:9" ht="40.9" customHeight="1" x14ac:dyDescent="0.2">
      <c r="A49" s="314" t="s">
        <v>138</v>
      </c>
      <c r="B49" s="314"/>
      <c r="C49" s="314"/>
      <c r="D49" s="314"/>
      <c r="E49" s="314"/>
      <c r="F49" s="314"/>
      <c r="G49" s="314"/>
      <c r="H49" s="314"/>
      <c r="I49" s="314"/>
    </row>
    <row r="50" spans="1:9" s="81" customFormat="1" ht="33" customHeight="1" x14ac:dyDescent="0.2"/>
  </sheetData>
  <mergeCells count="1">
    <mergeCell ref="A49:I49"/>
  </mergeCells>
  <printOptions horizontalCentered="1"/>
  <pageMargins left="0.7" right="0.7" top="0.75" bottom="0.75" header="0.3" footer="0.3"/>
  <pageSetup scale="68" orientation="landscape" r:id="rId1"/>
  <headerFooter alignWithMargins="0">
    <oddHeader>&amp;R2018 Low Income Filing
Advice 2018-xx
Page &amp;P of &amp;N</oddHeader>
    <oddFooter>&amp;L&amp;F
&amp;A&amp;R&amp;D</oddFooter>
  </headerFooter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I42"/>
  <sheetViews>
    <sheetView zoomScaleNormal="100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F26" sqref="F26"/>
    </sheetView>
  </sheetViews>
  <sheetFormatPr defaultColWidth="8.85546875" defaultRowHeight="12.75" x14ac:dyDescent="0.2"/>
  <cols>
    <col min="1" max="1" width="9.7109375" style="191" customWidth="1"/>
    <col min="2" max="2" width="77.28515625" style="191" bestFit="1" customWidth="1"/>
    <col min="3" max="3" width="3.7109375" style="191" bestFit="1" customWidth="1"/>
    <col min="4" max="4" width="7.28515625" style="191" bestFit="1" customWidth="1"/>
    <col min="5" max="5" width="6.28515625" style="191" bestFit="1" customWidth="1"/>
    <col min="6" max="6" width="12.28515625" style="191" bestFit="1" customWidth="1"/>
    <col min="7" max="7" width="11.28515625" style="191" bestFit="1" customWidth="1"/>
    <col min="8" max="8" width="12.28515625" style="191" bestFit="1" customWidth="1"/>
    <col min="9" max="9" width="6" style="191" bestFit="1" customWidth="1"/>
    <col min="10" max="16384" width="8.85546875" style="191"/>
  </cols>
  <sheetData>
    <row r="1" spans="1:9" ht="18" x14ac:dyDescent="0.25">
      <c r="A1" s="210" t="s">
        <v>2</v>
      </c>
      <c r="B1" s="211"/>
      <c r="C1" s="211"/>
      <c r="D1" s="211"/>
      <c r="E1" s="211"/>
      <c r="F1" s="211"/>
      <c r="G1" s="211"/>
      <c r="H1" s="211"/>
      <c r="I1" s="211"/>
    </row>
    <row r="2" spans="1:9" ht="18" x14ac:dyDescent="0.25">
      <c r="A2" s="210" t="s">
        <v>3</v>
      </c>
      <c r="B2" s="211"/>
      <c r="C2" s="211"/>
      <c r="D2" s="211"/>
      <c r="E2" s="211"/>
      <c r="F2" s="211"/>
      <c r="G2" s="211"/>
      <c r="H2" s="211"/>
      <c r="I2" s="211"/>
    </row>
    <row r="3" spans="1:9" ht="18" x14ac:dyDescent="0.25">
      <c r="A3" s="210" t="s">
        <v>79</v>
      </c>
      <c r="B3" s="212"/>
      <c r="C3" s="212"/>
      <c r="D3" s="212"/>
      <c r="E3" s="212"/>
      <c r="F3" s="212"/>
      <c r="G3" s="212"/>
      <c r="H3" s="212"/>
      <c r="I3" s="212"/>
    </row>
    <row r="4" spans="1:9" ht="18" x14ac:dyDescent="0.25">
      <c r="A4" s="210" t="s">
        <v>244</v>
      </c>
      <c r="B4" s="212"/>
      <c r="C4" s="212"/>
      <c r="D4" s="212"/>
      <c r="E4" s="212"/>
      <c r="F4" s="212"/>
      <c r="G4" s="212"/>
      <c r="H4" s="212"/>
      <c r="I4" s="212"/>
    </row>
    <row r="5" spans="1:9" ht="18" x14ac:dyDescent="0.25">
      <c r="A5" s="213"/>
      <c r="B5" s="214"/>
      <c r="C5" s="215"/>
      <c r="D5" s="216"/>
      <c r="E5" s="217"/>
      <c r="F5" s="218"/>
      <c r="G5" s="219"/>
      <c r="H5" s="219"/>
      <c r="I5" s="219"/>
    </row>
    <row r="6" spans="1:9" ht="26.25" thickBot="1" x14ac:dyDescent="0.25">
      <c r="A6" s="220" t="s">
        <v>112</v>
      </c>
      <c r="B6" s="221"/>
      <c r="C6" s="222"/>
      <c r="D6" s="223" t="s">
        <v>113</v>
      </c>
      <c r="E6" s="224" t="s">
        <v>114</v>
      </c>
      <c r="F6" s="225" t="s">
        <v>4</v>
      </c>
      <c r="G6" s="225" t="s">
        <v>5</v>
      </c>
      <c r="H6" s="225" t="s">
        <v>6</v>
      </c>
      <c r="I6" s="226" t="s">
        <v>129</v>
      </c>
    </row>
    <row r="7" spans="1:9" x14ac:dyDescent="0.2">
      <c r="A7" s="227" t="s">
        <v>88</v>
      </c>
      <c r="B7" s="228" t="s">
        <v>89</v>
      </c>
      <c r="C7" s="5" t="s">
        <v>115</v>
      </c>
      <c r="D7" s="5" t="s">
        <v>90</v>
      </c>
      <c r="E7" s="229" t="s">
        <v>116</v>
      </c>
      <c r="F7" s="230" t="s">
        <v>91</v>
      </c>
      <c r="G7" s="230" t="s">
        <v>117</v>
      </c>
      <c r="H7" s="230" t="s">
        <v>118</v>
      </c>
      <c r="I7" s="230" t="s">
        <v>119</v>
      </c>
    </row>
    <row r="8" spans="1:9" x14ac:dyDescent="0.2">
      <c r="A8" s="227"/>
      <c r="B8" s="228"/>
      <c r="C8" s="5"/>
      <c r="D8" s="5"/>
      <c r="E8" s="229"/>
      <c r="F8" s="231"/>
      <c r="G8" s="231"/>
      <c r="H8" s="231"/>
      <c r="I8" s="231"/>
    </row>
    <row r="9" spans="1:9" x14ac:dyDescent="0.2">
      <c r="A9" s="227">
        <f>A8+1</f>
        <v>1</v>
      </c>
      <c r="B9" s="232" t="s">
        <v>284</v>
      </c>
      <c r="C9" s="5"/>
      <c r="D9" s="5"/>
      <c r="E9" s="229"/>
      <c r="F9" s="233">
        <v>18811369.600611217</v>
      </c>
      <c r="G9" s="233">
        <v>4885308.7044259235</v>
      </c>
      <c r="H9" s="233">
        <f>F9+G9</f>
        <v>23696678.305037141</v>
      </c>
      <c r="I9" s="231"/>
    </row>
    <row r="10" spans="1:9" x14ac:dyDescent="0.2">
      <c r="A10" s="227">
        <f>A9+1</f>
        <v>2</v>
      </c>
      <c r="B10" s="234" t="s">
        <v>285</v>
      </c>
      <c r="C10" s="5"/>
      <c r="D10" s="235">
        <v>0</v>
      </c>
      <c r="E10" s="236">
        <v>2.6595053001967465E-2</v>
      </c>
      <c r="F10" s="237">
        <v>0</v>
      </c>
      <c r="G10" s="237">
        <v>129925.04392518045</v>
      </c>
      <c r="H10" s="237">
        <f>F10+G10</f>
        <v>129925.04392518045</v>
      </c>
      <c r="I10" s="231"/>
    </row>
    <row r="11" spans="1:9" x14ac:dyDescent="0.2">
      <c r="A11" s="227">
        <f>A10+1</f>
        <v>3</v>
      </c>
      <c r="B11" s="238" t="s">
        <v>286</v>
      </c>
      <c r="C11" s="5"/>
      <c r="D11" s="235">
        <v>1.809022829343335E-2</v>
      </c>
      <c r="E11" s="236">
        <v>0</v>
      </c>
      <c r="F11" s="239">
        <v>340451.34394655307</v>
      </c>
      <c r="G11" s="239">
        <v>0</v>
      </c>
      <c r="H11" s="239">
        <f>F11+G11</f>
        <v>340451.34394655307</v>
      </c>
      <c r="I11" s="231"/>
    </row>
    <row r="12" spans="1:9" x14ac:dyDescent="0.2">
      <c r="A12" s="227">
        <f t="shared" ref="A12:A30" si="0">A11+1</f>
        <v>4</v>
      </c>
      <c r="B12" s="232" t="s">
        <v>172</v>
      </c>
      <c r="C12" s="4"/>
      <c r="D12" s="240"/>
      <c r="E12" s="241"/>
      <c r="F12" s="242">
        <v>19151820.944557771</v>
      </c>
      <c r="G12" s="242">
        <v>5015233.7483511036</v>
      </c>
      <c r="H12" s="233">
        <f>SUM(H9:H11)</f>
        <v>24167054.692908876</v>
      </c>
      <c r="I12" s="243"/>
    </row>
    <row r="13" spans="1:9" x14ac:dyDescent="0.2">
      <c r="A13" s="227">
        <f t="shared" si="0"/>
        <v>5</v>
      </c>
      <c r="B13" s="232"/>
      <c r="C13" s="4"/>
      <c r="D13" s="240"/>
      <c r="E13" s="241"/>
      <c r="F13" s="244"/>
      <c r="G13" s="244"/>
      <c r="H13" s="245"/>
      <c r="I13" s="243"/>
    </row>
    <row r="14" spans="1:9" x14ac:dyDescent="0.2">
      <c r="A14" s="227">
        <f t="shared" si="0"/>
        <v>6</v>
      </c>
      <c r="B14" s="246" t="s">
        <v>287</v>
      </c>
      <c r="C14" s="4"/>
      <c r="D14" s="4"/>
      <c r="E14" s="247"/>
      <c r="F14" s="248">
        <v>1326694.5958855227</v>
      </c>
      <c r="G14" s="248">
        <v>301497.14694074355</v>
      </c>
      <c r="H14" s="248">
        <f>SUM(F14:G14)</f>
        <v>1628191.7428262662</v>
      </c>
      <c r="I14" s="243"/>
    </row>
    <row r="15" spans="1:9" x14ac:dyDescent="0.2">
      <c r="A15" s="227">
        <f t="shared" si="0"/>
        <v>7</v>
      </c>
      <c r="B15" s="249" t="s">
        <v>288</v>
      </c>
      <c r="C15" s="4"/>
      <c r="D15" s="250">
        <v>0.8</v>
      </c>
      <c r="E15" s="251">
        <v>0.2</v>
      </c>
      <c r="F15" s="252">
        <f>H15*D15</f>
        <v>-802653.91200000001</v>
      </c>
      <c r="G15" s="252">
        <f>H15*E15</f>
        <v>-200663.478</v>
      </c>
      <c r="H15" s="253">
        <v>-1003317.39</v>
      </c>
      <c r="I15" s="243"/>
    </row>
    <row r="16" spans="1:9" ht="14.1" customHeight="1" x14ac:dyDescent="0.2">
      <c r="A16" s="227">
        <f t="shared" si="0"/>
        <v>8</v>
      </c>
      <c r="B16" s="4"/>
      <c r="C16" s="4"/>
      <c r="D16" s="4"/>
      <c r="E16" s="254"/>
      <c r="F16" s="255"/>
      <c r="G16" s="255"/>
      <c r="H16" s="255"/>
      <c r="I16" s="243"/>
    </row>
    <row r="17" spans="1:9" ht="14.1" customHeight="1" x14ac:dyDescent="0.2">
      <c r="A17" s="227">
        <f t="shared" si="0"/>
        <v>9</v>
      </c>
      <c r="B17" s="246" t="s">
        <v>289</v>
      </c>
      <c r="C17" s="4"/>
      <c r="D17"/>
      <c r="E17"/>
      <c r="F17" s="256">
        <f>SUM(F12:F15)</f>
        <v>19675861.628443293</v>
      </c>
      <c r="G17" s="256">
        <f>SUM(G12:G15)</f>
        <v>5116067.4172918471</v>
      </c>
      <c r="H17" s="256">
        <f>SUM(H12:H15)</f>
        <v>24791929.045735143</v>
      </c>
      <c r="I17" s="243"/>
    </row>
    <row r="18" spans="1:9" ht="14.1" customHeight="1" x14ac:dyDescent="0.2">
      <c r="A18" s="227">
        <f t="shared" si="0"/>
        <v>10</v>
      </c>
      <c r="B18" s="249"/>
      <c r="C18" s="4"/>
      <c r="D18" s="4"/>
      <c r="E18" s="254"/>
      <c r="F18" s="257"/>
      <c r="G18" s="257"/>
      <c r="H18" s="257"/>
      <c r="I18" s="243"/>
    </row>
    <row r="19" spans="1:9" ht="14.1" customHeight="1" x14ac:dyDescent="0.2">
      <c r="A19" s="227">
        <f t="shared" si="0"/>
        <v>11</v>
      </c>
      <c r="B19" s="258" t="s">
        <v>290</v>
      </c>
      <c r="C19" s="4"/>
      <c r="D19" s="4"/>
      <c r="E19" s="254"/>
      <c r="F19" s="257"/>
      <c r="G19" s="257"/>
      <c r="H19" s="257"/>
      <c r="I19" s="243"/>
    </row>
    <row r="20" spans="1:9" ht="14.1" customHeight="1" x14ac:dyDescent="0.2">
      <c r="A20" s="227">
        <f t="shared" si="0"/>
        <v>12</v>
      </c>
      <c r="B20" s="249" t="s">
        <v>291</v>
      </c>
      <c r="C20" s="4"/>
      <c r="D20" s="4"/>
      <c r="E20" s="254"/>
      <c r="F20" s="259">
        <v>7.1570000000000002E-3</v>
      </c>
      <c r="G20" s="259">
        <v>5.1399999999999996E-3</v>
      </c>
      <c r="H20" s="257"/>
      <c r="I20" s="254"/>
    </row>
    <row r="21" spans="1:9" ht="14.1" customHeight="1" x14ac:dyDescent="0.2">
      <c r="A21" s="227">
        <f t="shared" si="0"/>
        <v>13</v>
      </c>
      <c r="B21" s="249" t="s">
        <v>292</v>
      </c>
      <c r="C21" s="4"/>
      <c r="D21" s="4"/>
      <c r="E21" s="254"/>
      <c r="F21" s="259">
        <v>2E-3</v>
      </c>
      <c r="G21" s="259">
        <v>2E-3</v>
      </c>
      <c r="H21" s="257"/>
      <c r="I21" s="254"/>
    </row>
    <row r="22" spans="1:9" ht="14.1" customHeight="1" x14ac:dyDescent="0.2">
      <c r="A22" s="227">
        <f t="shared" si="0"/>
        <v>14</v>
      </c>
      <c r="B22" s="249" t="s">
        <v>293</v>
      </c>
      <c r="C22" s="4"/>
      <c r="D22" s="4"/>
      <c r="E22" s="254"/>
      <c r="F22" s="259">
        <v>3.8456999999999998E-2</v>
      </c>
      <c r="G22" s="259">
        <v>3.8322000000000002E-2</v>
      </c>
      <c r="H22" s="257"/>
      <c r="I22" s="254"/>
    </row>
    <row r="23" spans="1:9" ht="14.1" customHeight="1" x14ac:dyDescent="0.2">
      <c r="A23" s="227">
        <f t="shared" si="0"/>
        <v>15</v>
      </c>
      <c r="B23" s="249"/>
      <c r="C23" s="4"/>
      <c r="D23" s="4"/>
      <c r="E23" s="254"/>
      <c r="F23" s="260"/>
      <c r="G23" s="260"/>
      <c r="H23" s="257"/>
      <c r="I23" s="254"/>
    </row>
    <row r="24" spans="1:9" ht="14.1" customHeight="1" x14ac:dyDescent="0.2">
      <c r="A24" s="227">
        <f t="shared" si="0"/>
        <v>16</v>
      </c>
      <c r="B24" s="246" t="s">
        <v>294</v>
      </c>
      <c r="C24" s="4"/>
      <c r="D24" s="4"/>
      <c r="E24" s="254"/>
      <c r="F24" s="261">
        <f>1-SUM(F20:F22)</f>
        <v>0.95238599999999995</v>
      </c>
      <c r="G24" s="261">
        <f>1-SUM(G20:G22)</f>
        <v>0.954538</v>
      </c>
      <c r="H24" s="262"/>
      <c r="I24" s="254"/>
    </row>
    <row r="25" spans="1:9" ht="14.1" customHeight="1" x14ac:dyDescent="0.2">
      <c r="A25" s="227">
        <f t="shared" si="0"/>
        <v>17</v>
      </c>
      <c r="B25" s="249"/>
      <c r="C25" s="4"/>
      <c r="D25" s="4"/>
      <c r="E25" s="254"/>
      <c r="F25" s="257"/>
      <c r="G25" s="257"/>
      <c r="H25" s="257"/>
      <c r="I25" s="254"/>
    </row>
    <row r="26" spans="1:9" ht="14.1" customHeight="1" x14ac:dyDescent="0.2">
      <c r="A26" s="227">
        <f t="shared" si="0"/>
        <v>18</v>
      </c>
      <c r="B26" s="246" t="s">
        <v>295</v>
      </c>
      <c r="C26" s="4"/>
      <c r="D26" s="4"/>
      <c r="E26" s="254"/>
      <c r="F26" s="256">
        <f>F17/F24</f>
        <v>20659545.214275822</v>
      </c>
      <c r="G26" s="256">
        <f>G17/G24</f>
        <v>5359731.5322091393</v>
      </c>
      <c r="H26" s="256">
        <f>SUM(F26:G26)</f>
        <v>26019276.746484961</v>
      </c>
      <c r="I26" s="254"/>
    </row>
    <row r="27" spans="1:9" ht="14.1" customHeight="1" x14ac:dyDescent="0.2">
      <c r="A27" s="227">
        <f t="shared" si="0"/>
        <v>19</v>
      </c>
      <c r="B27" s="249"/>
      <c r="C27" s="4"/>
      <c r="D27" s="4"/>
      <c r="E27" s="254"/>
      <c r="F27" s="263"/>
      <c r="G27" s="263"/>
      <c r="H27" s="263"/>
      <c r="I27" s="254"/>
    </row>
    <row r="28" spans="1:9" x14ac:dyDescent="0.2">
      <c r="A28" s="227">
        <f t="shared" si="0"/>
        <v>20</v>
      </c>
      <c r="B28" s="246" t="s">
        <v>296</v>
      </c>
      <c r="C28" s="4"/>
      <c r="D28" s="4"/>
      <c r="E28" s="4"/>
      <c r="F28" s="264">
        <v>18767321.099978536</v>
      </c>
      <c r="G28" s="264">
        <v>4592613.4677304039</v>
      </c>
      <c r="H28" s="265">
        <f>SUM(F28:G28)</f>
        <v>23359934.567708939</v>
      </c>
      <c r="I28" s="254"/>
    </row>
    <row r="29" spans="1:9" x14ac:dyDescent="0.2">
      <c r="A29" s="227">
        <f t="shared" si="0"/>
        <v>21</v>
      </c>
      <c r="B29" s="266"/>
      <c r="C29" s="267"/>
      <c r="D29" s="267"/>
      <c r="E29" s="267"/>
      <c r="F29" s="268"/>
      <c r="G29" s="268"/>
      <c r="H29" s="268"/>
      <c r="I29" s="254"/>
    </row>
    <row r="30" spans="1:9" ht="13.5" thickBot="1" x14ac:dyDescent="0.25">
      <c r="A30" s="269">
        <f t="shared" si="0"/>
        <v>22</v>
      </c>
      <c r="B30" s="270" t="s">
        <v>297</v>
      </c>
      <c r="C30" s="271"/>
      <c r="D30" s="271"/>
      <c r="E30" s="272"/>
      <c r="F30" s="273">
        <f>F26-F28</f>
        <v>1892224.1142972857</v>
      </c>
      <c r="G30" s="273">
        <f>G26-G28</f>
        <v>767118.06447873544</v>
      </c>
      <c r="H30" s="273">
        <f>H26-H28</f>
        <v>2659342.178776022</v>
      </c>
      <c r="I30" s="274"/>
    </row>
    <row r="31" spans="1:9" ht="13.5" thickTop="1" x14ac:dyDescent="0.2">
      <c r="A31" s="5"/>
      <c r="B31" s="5"/>
      <c r="C31" s="4"/>
      <c r="D31" s="4"/>
      <c r="E31" s="4"/>
      <c r="F31" s="4"/>
      <c r="G31" s="4"/>
      <c r="H31" s="4"/>
      <c r="I31" s="6"/>
    </row>
    <row r="32" spans="1:9" ht="12.75" customHeight="1" x14ac:dyDescent="0.2">
      <c r="A32" s="336" t="s">
        <v>298</v>
      </c>
      <c r="B32" s="336"/>
      <c r="C32" s="336"/>
      <c r="D32" s="336"/>
      <c r="E32" s="336"/>
      <c r="F32" s="336"/>
      <c r="G32" s="336"/>
      <c r="H32" s="336"/>
      <c r="I32" s="336"/>
    </row>
    <row r="33" spans="1:9" x14ac:dyDescent="0.2">
      <c r="A33"/>
      <c r="B33" s="5"/>
      <c r="C33" s="4"/>
      <c r="D33" s="4"/>
      <c r="E33" s="4"/>
      <c r="F33" s="275"/>
      <c r="G33" s="275"/>
      <c r="H33" s="276"/>
      <c r="I33" s="6"/>
    </row>
    <row r="34" spans="1:9" ht="13.5" thickBot="1" x14ac:dyDescent="0.25">
      <c r="A34" s="277" t="s">
        <v>299</v>
      </c>
      <c r="B34" s="6"/>
      <c r="C34" s="4"/>
      <c r="D34" s="4"/>
      <c r="E34" s="4"/>
      <c r="F34" s="278" t="s">
        <v>4</v>
      </c>
      <c r="G34" s="278" t="s">
        <v>5</v>
      </c>
      <c r="H34" s="279" t="s">
        <v>6</v>
      </c>
      <c r="I34"/>
    </row>
    <row r="35" spans="1:9" x14ac:dyDescent="0.2">
      <c r="A35" s="280"/>
      <c r="B35" s="6"/>
      <c r="C35" s="4"/>
      <c r="D35" s="4"/>
      <c r="E35" s="4"/>
      <c r="F35" s="281"/>
      <c r="G35" s="281"/>
      <c r="H35" s="275"/>
      <c r="I35"/>
    </row>
    <row r="36" spans="1:9" x14ac:dyDescent="0.2">
      <c r="A36" s="238"/>
      <c r="B36"/>
      <c r="C36" s="4"/>
      <c r="D36" s="4"/>
      <c r="E36" s="4"/>
      <c r="F36" s="282"/>
      <c r="G36" s="282"/>
      <c r="H36" s="282"/>
      <c r="I36"/>
    </row>
    <row r="37" spans="1:9" x14ac:dyDescent="0.2">
      <c r="A37" s="238" t="s">
        <v>300</v>
      </c>
      <c r="B37"/>
      <c r="C37" s="4"/>
      <c r="D37" s="4"/>
      <c r="E37" s="4"/>
      <c r="F37" s="282">
        <v>357472.01654219272</v>
      </c>
      <c r="G37" s="282">
        <v>329597.9549979869</v>
      </c>
      <c r="H37" s="282">
        <f>SUM(F37:G37)</f>
        <v>687069.97154017957</v>
      </c>
      <c r="I37"/>
    </row>
    <row r="38" spans="1:9" ht="12.75" customHeight="1" x14ac:dyDescent="0.2">
      <c r="A38" s="337" t="s">
        <v>303</v>
      </c>
      <c r="B38" s="337"/>
      <c r="C38" s="337"/>
      <c r="D38" s="337"/>
      <c r="E38" s="337"/>
      <c r="F38" s="283">
        <v>1485585.0331405355</v>
      </c>
      <c r="G38" s="283">
        <v>425256.05503765662</v>
      </c>
      <c r="H38" s="283">
        <f>SUM(F38:G38)</f>
        <v>1910841.088178192</v>
      </c>
      <c r="I38"/>
    </row>
    <row r="39" spans="1:9" x14ac:dyDescent="0.2">
      <c r="A39" s="280" t="s">
        <v>301</v>
      </c>
      <c r="B39"/>
      <c r="C39" s="6"/>
      <c r="D39" s="6"/>
      <c r="E39" s="6"/>
      <c r="F39" s="282">
        <v>49167.064614557479</v>
      </c>
      <c r="G39" s="282">
        <v>12264.054443091833</v>
      </c>
      <c r="H39" s="284">
        <f>SUM(F39:G39)</f>
        <v>61431.11905764931</v>
      </c>
      <c r="I39"/>
    </row>
    <row r="40" spans="1:9" x14ac:dyDescent="0.2">
      <c r="A40" s="6"/>
      <c r="B40" s="6"/>
      <c r="C40" s="6"/>
      <c r="D40" s="6"/>
      <c r="E40" s="6"/>
      <c r="F40" s="282"/>
      <c r="G40" s="282"/>
      <c r="H40" s="284"/>
      <c r="I40"/>
    </row>
    <row r="41" spans="1:9" ht="13.5" thickBot="1" x14ac:dyDescent="0.25">
      <c r="A41" s="285" t="s">
        <v>302</v>
      </c>
      <c r="B41" s="6"/>
      <c r="C41" s="6"/>
      <c r="D41" s="6"/>
      <c r="E41" s="6"/>
      <c r="F41" s="286">
        <f>SUM(F36:F40)</f>
        <v>1892224.1142972857</v>
      </c>
      <c r="G41" s="286">
        <f>SUM(G36:G40)</f>
        <v>767118.06447873544</v>
      </c>
      <c r="H41" s="286">
        <f>SUM(H36:H40)</f>
        <v>2659342.1787760206</v>
      </c>
      <c r="I41"/>
    </row>
    <row r="42" spans="1:9" ht="13.5" thickTop="1" x14ac:dyDescent="0.2"/>
  </sheetData>
  <mergeCells count="2">
    <mergeCell ref="A32:I32"/>
    <mergeCell ref="A38:E38"/>
  </mergeCells>
  <printOptions horizontalCentered="1"/>
  <pageMargins left="0.7" right="0.7" top="0.75" bottom="0.75" header="0.3" footer="0.3"/>
  <pageSetup scale="78" orientation="landscape" r:id="rId1"/>
  <headerFooter alignWithMargins="0">
    <oddHeader>&amp;R2018 Low Income Filing
Advice 2018-xx
Page &amp;P of &amp;N</oddHeader>
    <oddFooter>&amp;L&amp;F
&amp;A&amp;R&amp;D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BF74A4CBA17E94A88682FEBF6FC047F" ma:contentTypeVersion="56" ma:contentTypeDescription="" ma:contentTypeScope="" ma:versionID="5b34e9888b37f6cf665f6af6f5b1862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2019-09-06T07:00:00+00:00</OpenedDate>
    <SignificantOrder xmlns="dc463f71-b30c-4ab2-9473-d307f9d35888">false</SignificantOrder>
    <Date1 xmlns="dc463f71-b30c-4ab2-9473-d307f9d35888">2019-09-06T07:00:00+00:00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190752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6989817-D539-422E-8F0A-5D2470B4FDBC}"/>
</file>

<file path=customXml/itemProps2.xml><?xml version="1.0" encoding="utf-8"?>
<ds:datastoreItem xmlns:ds="http://schemas.openxmlformats.org/officeDocument/2006/customXml" ds:itemID="{B3D9423B-15C9-4C58-AA35-460ADF55179A}"/>
</file>

<file path=customXml/itemProps3.xml><?xml version="1.0" encoding="utf-8"?>
<ds:datastoreItem xmlns:ds="http://schemas.openxmlformats.org/officeDocument/2006/customXml" ds:itemID="{FEDF1686-C45B-495E-853B-02B84EC79FA5}"/>
</file>

<file path=customXml/itemProps4.xml><?xml version="1.0" encoding="utf-8"?>
<ds:datastoreItem xmlns:ds="http://schemas.openxmlformats.org/officeDocument/2006/customXml" ds:itemID="{4400EC20-F567-458C-A5F6-A7708FEC3C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2019 Proposed Impacts</vt:lpstr>
      <vt:lpstr>2019 Equal % Allocation</vt:lpstr>
      <vt:lpstr>2018 Street &amp; Area Lighting</vt:lpstr>
      <vt:lpstr>Typ Res Tot Elec</vt:lpstr>
      <vt:lpstr>Estimated Base Revenue</vt:lpstr>
      <vt:lpstr>2018 Equal % Allocation </vt:lpstr>
      <vt:lpstr>Revenue Req 2019-2020 </vt:lpstr>
      <vt:lpstr>'2018 Street &amp; Area Lighting'!Print_Area</vt:lpstr>
      <vt:lpstr>'2019 Equal % Allocation'!Print_Area</vt:lpstr>
      <vt:lpstr>'2019 Proposed Impacts'!Print_Area</vt:lpstr>
      <vt:lpstr>'Estimated Base Revenue'!Print_Area</vt:lpstr>
      <vt:lpstr>'Typ Res Tot Elec'!Print_Area</vt:lpstr>
      <vt:lpstr>'2018 Street &amp; Area Lighting'!Print_Titles</vt:lpstr>
    </vt:vector>
  </TitlesOfParts>
  <Company>Regulatory Assistance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Lazar</dc:creator>
  <cp:lastModifiedBy>Puget Sound Energy</cp:lastModifiedBy>
  <cp:lastPrinted>2018-08-31T20:20:47Z</cp:lastPrinted>
  <dcterms:created xsi:type="dcterms:W3CDTF">2006-08-15T18:29:06Z</dcterms:created>
  <dcterms:modified xsi:type="dcterms:W3CDTF">2019-09-03T17:50:51Z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0x0101006E56B4D1795A2E4DB2F0B01679ED314A00EBF74A4CBA17E94A88682FEBF6FC047F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