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Ellensburg\2019 Disposal Fee Increase\"/>
    </mc:Choice>
  </mc:AlternateContent>
  <xr:revisionPtr revIDLastSave="0" documentId="13_ncr:1_{66D24E26-746A-44C7-B308-4FDF344B36E6}" xr6:coauthVersionLast="36" xr6:coauthVersionMax="36" xr10:uidLastSave="{00000000-0000-0000-0000-000000000000}"/>
  <bookViews>
    <workbookView xWindow="195" yWindow="180" windowWidth="13380" windowHeight="7350" activeTab="1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format'!$A$1:$Q$74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4" l="1"/>
  <c r="B58" i="4" l="1"/>
  <c r="G54" i="7" l="1"/>
  <c r="G50" i="7"/>
  <c r="G46" i="7"/>
  <c r="G47" i="7" s="1"/>
  <c r="G48" i="7" s="1"/>
  <c r="G49" i="7" s="1"/>
  <c r="G41" i="7"/>
  <c r="G34" i="7"/>
  <c r="G35" i="7" s="1"/>
  <c r="G29" i="7"/>
  <c r="G30" i="7" s="1"/>
  <c r="G26" i="7"/>
  <c r="G23" i="7"/>
  <c r="G24" i="7" s="1"/>
  <c r="F22" i="7"/>
  <c r="H22" i="7" s="1"/>
  <c r="F23" i="7"/>
  <c r="F24" i="7"/>
  <c r="F26" i="7"/>
  <c r="O26" i="7" s="1"/>
  <c r="F29" i="7"/>
  <c r="O29" i="7" s="1"/>
  <c r="F34" i="7"/>
  <c r="O34" i="7" s="1"/>
  <c r="F41" i="7"/>
  <c r="O41" i="7" s="1"/>
  <c r="F50" i="7"/>
  <c r="O50" i="7" s="1"/>
  <c r="F54" i="7"/>
  <c r="O54" i="7" s="1"/>
  <c r="E27" i="7"/>
  <c r="E30" i="7" s="1"/>
  <c r="E35" i="7" s="1"/>
  <c r="E42" i="7" s="1"/>
  <c r="E51" i="7" s="1"/>
  <c r="F51" i="7" s="1"/>
  <c r="E19" i="7"/>
  <c r="E20" i="7" s="1"/>
  <c r="F18" i="7"/>
  <c r="O16" i="7"/>
  <c r="F16" i="7"/>
  <c r="O4" i="7"/>
  <c r="O5" i="7"/>
  <c r="O6" i="7"/>
  <c r="O7" i="7"/>
  <c r="O8" i="7"/>
  <c r="O9" i="7"/>
  <c r="O11" i="7"/>
  <c r="O13" i="7"/>
  <c r="O3" i="7"/>
  <c r="O2" i="7"/>
  <c r="O15" i="7"/>
  <c r="O12" i="7"/>
  <c r="O10" i="7"/>
  <c r="O22" i="7" l="1"/>
  <c r="H54" i="7"/>
  <c r="H41" i="7"/>
  <c r="H26" i="7"/>
  <c r="H50" i="7"/>
  <c r="O51" i="7"/>
  <c r="H34" i="7"/>
  <c r="G27" i="7"/>
  <c r="G28" i="7" s="1"/>
  <c r="G51" i="7"/>
  <c r="G52" i="7" s="1"/>
  <c r="G53" i="7" s="1"/>
  <c r="H24" i="7"/>
  <c r="G25" i="7"/>
  <c r="G31" i="7"/>
  <c r="G36" i="7"/>
  <c r="G37" i="7" s="1"/>
  <c r="G38" i="7" s="1"/>
  <c r="G39" i="7" s="1"/>
  <c r="G40" i="7" s="1"/>
  <c r="H29" i="7"/>
  <c r="G42" i="7"/>
  <c r="H23" i="7"/>
  <c r="O24" i="7"/>
  <c r="O23" i="7"/>
  <c r="E21" i="7"/>
  <c r="E25" i="7" s="1"/>
  <c r="E28" i="7" s="1"/>
  <c r="E31" i="7" s="1"/>
  <c r="F31" i="7" s="1"/>
  <c r="F20" i="7"/>
  <c r="F35" i="7"/>
  <c r="O35" i="7" s="1"/>
  <c r="F27" i="7"/>
  <c r="O27" i="7" s="1"/>
  <c r="F42" i="7"/>
  <c r="O42" i="7" s="1"/>
  <c r="F30" i="7"/>
  <c r="O30" i="7" s="1"/>
  <c r="F19" i="7"/>
  <c r="D70" i="7"/>
  <c r="O14" i="7"/>
  <c r="F21" i="7" l="1"/>
  <c r="D61" i="7"/>
  <c r="D74" i="7"/>
  <c r="F28" i="7"/>
  <c r="O28" i="7" s="1"/>
  <c r="F25" i="7"/>
  <c r="O25" i="7" s="1"/>
  <c r="H35" i="7"/>
  <c r="H30" i="7"/>
  <c r="E33" i="7"/>
  <c r="F33" i="7" s="1"/>
  <c r="O33" i="7" s="1"/>
  <c r="E32" i="7"/>
  <c r="H51" i="7"/>
  <c r="H27" i="7"/>
  <c r="H42" i="7"/>
  <c r="G43" i="7"/>
  <c r="G44" i="7" s="1"/>
  <c r="G45" i="7" s="1"/>
  <c r="G32" i="7"/>
  <c r="G33" i="7" s="1"/>
  <c r="H31" i="7"/>
  <c r="O31" i="7"/>
  <c r="H28" i="7" l="1"/>
  <c r="H25" i="7"/>
  <c r="E36" i="7"/>
  <c r="F32" i="7"/>
  <c r="O32" i="7" s="1"/>
  <c r="H33" i="7"/>
  <c r="H32" i="7" l="1"/>
  <c r="E37" i="7"/>
  <c r="F36" i="7"/>
  <c r="O36" i="7" l="1"/>
  <c r="H36" i="7"/>
  <c r="E38" i="7"/>
  <c r="F37" i="7"/>
  <c r="H37" i="7" l="1"/>
  <c r="O37" i="7"/>
  <c r="E39" i="7"/>
  <c r="F38" i="7"/>
  <c r="G19" i="7"/>
  <c r="G18" i="7"/>
  <c r="G21" i="7"/>
  <c r="G20" i="7"/>
  <c r="G14" i="7"/>
  <c r="G15" i="7" s="1"/>
  <c r="G13" i="7"/>
  <c r="G12" i="7"/>
  <c r="G11" i="7"/>
  <c r="G10" i="7"/>
  <c r="G9" i="7"/>
  <c r="G7" i="7"/>
  <c r="G8" i="7"/>
  <c r="G6" i="7"/>
  <c r="G5" i="7"/>
  <c r="G16" i="7" s="1"/>
  <c r="H16" i="7" s="1"/>
  <c r="G4" i="7"/>
  <c r="G3" i="7"/>
  <c r="G2" i="7"/>
  <c r="H38" i="7" l="1"/>
  <c r="O38" i="7"/>
  <c r="E40" i="7"/>
  <c r="F39" i="7"/>
  <c r="H18" i="7"/>
  <c r="H19" i="7"/>
  <c r="D55" i="7"/>
  <c r="D62" i="7"/>
  <c r="H39" i="7" l="1"/>
  <c r="O39" i="7"/>
  <c r="E43" i="7"/>
  <c r="F40" i="7"/>
  <c r="D17" i="7"/>
  <c r="D56" i="7" s="1"/>
  <c r="E44" i="7" l="1"/>
  <c r="F43" i="7"/>
  <c r="O40" i="7"/>
  <c r="H40" i="7"/>
  <c r="H20" i="7"/>
  <c r="O20" i="7"/>
  <c r="H21" i="7"/>
  <c r="O21" i="7"/>
  <c r="O43" i="7" l="1"/>
  <c r="H43" i="7"/>
  <c r="E45" i="7"/>
  <c r="E46" i="7"/>
  <c r="F44" i="7"/>
  <c r="O19" i="7"/>
  <c r="O18" i="7"/>
  <c r="B54" i="4"/>
  <c r="E47" i="7" l="1"/>
  <c r="F45" i="7"/>
  <c r="H44" i="7"/>
  <c r="O44" i="7"/>
  <c r="F46" i="7"/>
  <c r="E48" i="7"/>
  <c r="F48" i="7" l="1"/>
  <c r="E49" i="7"/>
  <c r="O45" i="7"/>
  <c r="H45" i="7"/>
  <c r="H46" i="7"/>
  <c r="O46" i="7"/>
  <c r="F47" i="7"/>
  <c r="E53" i="7"/>
  <c r="F53" i="7" s="1"/>
  <c r="B3" i="4"/>
  <c r="B4" i="4"/>
  <c r="B5" i="4"/>
  <c r="B6" i="4"/>
  <c r="E52" i="7" l="1"/>
  <c r="F52" i="7" s="1"/>
  <c r="F49" i="7"/>
  <c r="O53" i="7"/>
  <c r="H53" i="7"/>
  <c r="O48" i="7"/>
  <c r="H48" i="7"/>
  <c r="O47" i="7"/>
  <c r="H47" i="7"/>
  <c r="E10" i="7"/>
  <c r="E14" i="7"/>
  <c r="E12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49" i="7" l="1"/>
  <c r="O49" i="7"/>
  <c r="F55" i="7"/>
  <c r="O52" i="7"/>
  <c r="H52" i="7"/>
  <c r="G6" i="4"/>
  <c r="F6" i="4"/>
  <c r="E6" i="4"/>
  <c r="D6" i="4"/>
  <c r="O55" i="7" l="1"/>
  <c r="G47" i="4"/>
  <c r="B49" i="4"/>
  <c r="C48" i="4"/>
  <c r="C47" i="4"/>
  <c r="B9" i="4"/>
  <c r="B8" i="4"/>
  <c r="B7" i="4"/>
  <c r="B52" i="4" l="1"/>
  <c r="B59" i="4"/>
  <c r="G50" i="4"/>
  <c r="G52" i="4" s="1"/>
  <c r="E5" i="7"/>
  <c r="F5" i="7" s="1"/>
  <c r="H5" i="7" s="1"/>
  <c r="E9" i="7"/>
  <c r="F9" i="7" s="1"/>
  <c r="H9" i="7" s="1"/>
  <c r="E13" i="7"/>
  <c r="E15" i="7" s="1"/>
  <c r="F15" i="7" s="1"/>
  <c r="H15" i="7" s="1"/>
  <c r="E6" i="7"/>
  <c r="E3" i="7"/>
  <c r="F3" i="7" s="1"/>
  <c r="H3" i="7" s="1"/>
  <c r="E7" i="7"/>
  <c r="E11" i="7"/>
  <c r="F11" i="7" s="1"/>
  <c r="H11" i="7" s="1"/>
  <c r="E4" i="7"/>
  <c r="E8" i="7"/>
  <c r="F8" i="7" s="1"/>
  <c r="H8" i="7" s="1"/>
  <c r="E2" i="7"/>
  <c r="F2" i="7" s="1"/>
  <c r="H2" i="7" s="1"/>
  <c r="F10" i="7"/>
  <c r="H10" i="7" s="1"/>
  <c r="F12" i="7"/>
  <c r="H12" i="7" s="1"/>
  <c r="F14" i="7"/>
  <c r="H14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3" i="7" l="1"/>
  <c r="H13" i="7" s="1"/>
  <c r="F6" i="7"/>
  <c r="H6" i="7" s="1"/>
  <c r="F7" i="7"/>
  <c r="H7" i="7" s="1"/>
  <c r="F4" i="7"/>
  <c r="H4" i="7" s="1"/>
  <c r="O17" i="7"/>
  <c r="O56" i="7" s="1"/>
  <c r="B53" i="4"/>
  <c r="B55" i="4" s="1"/>
  <c r="B61" i="4" s="1"/>
  <c r="F17" i="7" l="1"/>
  <c r="H17" i="7"/>
  <c r="F56" i="7" l="1"/>
  <c r="D63" i="7"/>
  <c r="H55" i="7"/>
  <c r="H56" i="7" s="1"/>
  <c r="D64" i="7" s="1"/>
  <c r="I25" i="7" l="1"/>
  <c r="J25" i="7" s="1"/>
  <c r="K25" i="7" s="1"/>
  <c r="L25" i="7" s="1"/>
  <c r="N25" i="7" s="1"/>
  <c r="I29" i="7"/>
  <c r="J29" i="7" s="1"/>
  <c r="K29" i="7" s="1"/>
  <c r="L29" i="7" s="1"/>
  <c r="N29" i="7" s="1"/>
  <c r="I33" i="7"/>
  <c r="J33" i="7" s="1"/>
  <c r="K33" i="7" s="1"/>
  <c r="L33" i="7" s="1"/>
  <c r="N33" i="7" s="1"/>
  <c r="I37" i="7"/>
  <c r="J37" i="7" s="1"/>
  <c r="K37" i="7" s="1"/>
  <c r="L37" i="7" s="1"/>
  <c r="N37" i="7" s="1"/>
  <c r="I45" i="7"/>
  <c r="J45" i="7" s="1"/>
  <c r="K45" i="7" s="1"/>
  <c r="L45" i="7" s="1"/>
  <c r="N45" i="7" s="1"/>
  <c r="I53" i="7"/>
  <c r="J53" i="7" s="1"/>
  <c r="K53" i="7" s="1"/>
  <c r="L53" i="7" s="1"/>
  <c r="N53" i="7" s="1"/>
  <c r="I26" i="7"/>
  <c r="J26" i="7" s="1"/>
  <c r="K26" i="7" s="1"/>
  <c r="L26" i="7" s="1"/>
  <c r="N26" i="7" s="1"/>
  <c r="I30" i="7"/>
  <c r="J30" i="7" s="1"/>
  <c r="K30" i="7" s="1"/>
  <c r="L30" i="7" s="1"/>
  <c r="N30" i="7" s="1"/>
  <c r="I46" i="7"/>
  <c r="J46" i="7" s="1"/>
  <c r="K46" i="7" s="1"/>
  <c r="L46" i="7" s="1"/>
  <c r="N46" i="7" s="1"/>
  <c r="I23" i="7"/>
  <c r="J23" i="7" s="1"/>
  <c r="K23" i="7" s="1"/>
  <c r="L23" i="7" s="1"/>
  <c r="N23" i="7" s="1"/>
  <c r="I24" i="7"/>
  <c r="J24" i="7" s="1"/>
  <c r="K24" i="7" s="1"/>
  <c r="L24" i="7" s="1"/>
  <c r="N24" i="7" s="1"/>
  <c r="I28" i="7"/>
  <c r="J28" i="7" s="1"/>
  <c r="K28" i="7" s="1"/>
  <c r="L28" i="7" s="1"/>
  <c r="N28" i="7" s="1"/>
  <c r="I32" i="7"/>
  <c r="J32" i="7" s="1"/>
  <c r="K32" i="7" s="1"/>
  <c r="L32" i="7" s="1"/>
  <c r="N32" i="7" s="1"/>
  <c r="I36" i="7"/>
  <c r="J36" i="7" s="1"/>
  <c r="K36" i="7" s="1"/>
  <c r="L36" i="7" s="1"/>
  <c r="N36" i="7" s="1"/>
  <c r="I40" i="7"/>
  <c r="J40" i="7" s="1"/>
  <c r="K40" i="7" s="1"/>
  <c r="L40" i="7" s="1"/>
  <c r="N40" i="7" s="1"/>
  <c r="I44" i="7"/>
  <c r="J44" i="7" s="1"/>
  <c r="K44" i="7" s="1"/>
  <c r="L44" i="7" s="1"/>
  <c r="N44" i="7" s="1"/>
  <c r="I48" i="7"/>
  <c r="J48" i="7" s="1"/>
  <c r="K48" i="7" s="1"/>
  <c r="L48" i="7" s="1"/>
  <c r="N48" i="7" s="1"/>
  <c r="I52" i="7"/>
  <c r="J52" i="7" s="1"/>
  <c r="K52" i="7" s="1"/>
  <c r="L52" i="7" s="1"/>
  <c r="N52" i="7" s="1"/>
  <c r="I41" i="7"/>
  <c r="J41" i="7" s="1"/>
  <c r="K41" i="7" s="1"/>
  <c r="L41" i="7" s="1"/>
  <c r="N41" i="7" s="1"/>
  <c r="I49" i="7"/>
  <c r="J49" i="7" s="1"/>
  <c r="K49" i="7" s="1"/>
  <c r="L49" i="7" s="1"/>
  <c r="N49" i="7" s="1"/>
  <c r="I22" i="7"/>
  <c r="J22" i="7" s="1"/>
  <c r="K22" i="7" s="1"/>
  <c r="L22" i="7" s="1"/>
  <c r="N22" i="7" s="1"/>
  <c r="I34" i="7"/>
  <c r="J34" i="7" s="1"/>
  <c r="K34" i="7" s="1"/>
  <c r="L34" i="7" s="1"/>
  <c r="N34" i="7" s="1"/>
  <c r="I38" i="7"/>
  <c r="J38" i="7" s="1"/>
  <c r="K38" i="7" s="1"/>
  <c r="L38" i="7" s="1"/>
  <c r="N38" i="7" s="1"/>
  <c r="I42" i="7"/>
  <c r="J42" i="7" s="1"/>
  <c r="K42" i="7" s="1"/>
  <c r="L42" i="7" s="1"/>
  <c r="N42" i="7" s="1"/>
  <c r="I50" i="7"/>
  <c r="J50" i="7" s="1"/>
  <c r="K50" i="7" s="1"/>
  <c r="L50" i="7" s="1"/>
  <c r="N50" i="7" s="1"/>
  <c r="I54" i="7"/>
  <c r="J54" i="7" s="1"/>
  <c r="K54" i="7" s="1"/>
  <c r="L54" i="7" s="1"/>
  <c r="N54" i="7" s="1"/>
  <c r="I27" i="7"/>
  <c r="J27" i="7" s="1"/>
  <c r="K27" i="7" s="1"/>
  <c r="L27" i="7" s="1"/>
  <c r="N27" i="7" s="1"/>
  <c r="I43" i="7"/>
  <c r="J43" i="7" s="1"/>
  <c r="K43" i="7" s="1"/>
  <c r="L43" i="7" s="1"/>
  <c r="N43" i="7" s="1"/>
  <c r="I39" i="7"/>
  <c r="J39" i="7" s="1"/>
  <c r="K39" i="7" s="1"/>
  <c r="L39" i="7" s="1"/>
  <c r="N39" i="7" s="1"/>
  <c r="I35" i="7"/>
  <c r="J35" i="7" s="1"/>
  <c r="K35" i="7" s="1"/>
  <c r="L35" i="7" s="1"/>
  <c r="N35" i="7" s="1"/>
  <c r="I51" i="7"/>
  <c r="J51" i="7" s="1"/>
  <c r="K51" i="7" s="1"/>
  <c r="L51" i="7" s="1"/>
  <c r="N51" i="7" s="1"/>
  <c r="I31" i="7"/>
  <c r="J31" i="7" s="1"/>
  <c r="K31" i="7" s="1"/>
  <c r="L31" i="7" s="1"/>
  <c r="N31" i="7" s="1"/>
  <c r="I47" i="7"/>
  <c r="J47" i="7" s="1"/>
  <c r="K47" i="7" s="1"/>
  <c r="L47" i="7" s="1"/>
  <c r="N47" i="7" s="1"/>
  <c r="I15" i="7"/>
  <c r="J15" i="7" s="1"/>
  <c r="K15" i="7" s="1"/>
  <c r="L15" i="7" s="1"/>
  <c r="N15" i="7" s="1"/>
  <c r="I16" i="7"/>
  <c r="J16" i="7" s="1"/>
  <c r="I2" i="7"/>
  <c r="P27" i="7" l="1"/>
  <c r="Q27" i="7" s="1"/>
  <c r="R27" i="7"/>
  <c r="P41" i="7"/>
  <c r="Q41" i="7" s="1"/>
  <c r="R41" i="7"/>
  <c r="P24" i="7"/>
  <c r="R24" i="7"/>
  <c r="P26" i="7"/>
  <c r="Q26" i="7" s="1"/>
  <c r="R26" i="7"/>
  <c r="P15" i="7"/>
  <c r="Q15" i="7" s="1"/>
  <c r="R15" i="7"/>
  <c r="P34" i="7"/>
  <c r="Q34" i="7" s="1"/>
  <c r="R34" i="7"/>
  <c r="P36" i="7"/>
  <c r="Q36" i="7" s="1"/>
  <c r="R36" i="7"/>
  <c r="P23" i="7"/>
  <c r="Q23" i="7" s="1"/>
  <c r="R23" i="7"/>
  <c r="P29" i="7"/>
  <c r="Q29" i="7" s="1"/>
  <c r="R29" i="7"/>
  <c r="P47" i="7"/>
  <c r="Q47" i="7" s="1"/>
  <c r="R47" i="7"/>
  <c r="P50" i="7"/>
  <c r="Q50" i="7" s="1"/>
  <c r="R50" i="7"/>
  <c r="P22" i="7"/>
  <c r="Q22" i="7" s="1"/>
  <c r="R22" i="7"/>
  <c r="P32" i="7"/>
  <c r="Q32" i="7" s="1"/>
  <c r="R32" i="7"/>
  <c r="P45" i="7"/>
  <c r="Q45" i="7" s="1"/>
  <c r="R45" i="7"/>
  <c r="P31" i="7"/>
  <c r="Q31" i="7" s="1"/>
  <c r="R31" i="7"/>
  <c r="P43" i="7"/>
  <c r="Q43" i="7" s="1"/>
  <c r="R43" i="7"/>
  <c r="P42" i="7"/>
  <c r="Q42" i="7" s="1"/>
  <c r="R42" i="7"/>
  <c r="P49" i="7"/>
  <c r="Q49" i="7" s="1"/>
  <c r="R49" i="7"/>
  <c r="P44" i="7"/>
  <c r="Q44" i="7" s="1"/>
  <c r="R44" i="7"/>
  <c r="P28" i="7"/>
  <c r="Q28" i="7" s="1"/>
  <c r="R28" i="7"/>
  <c r="P30" i="7"/>
  <c r="Q30" i="7" s="1"/>
  <c r="R30" i="7"/>
  <c r="P37" i="7"/>
  <c r="Q37" i="7" s="1"/>
  <c r="R37" i="7"/>
  <c r="P51" i="7"/>
  <c r="Q51" i="7" s="1"/>
  <c r="R51" i="7"/>
  <c r="P38" i="7"/>
  <c r="Q38" i="7" s="1"/>
  <c r="R38" i="7"/>
  <c r="P40" i="7"/>
  <c r="Q40" i="7" s="1"/>
  <c r="R40" i="7"/>
  <c r="P33" i="7"/>
  <c r="Q33" i="7" s="1"/>
  <c r="R33" i="7"/>
  <c r="P35" i="7"/>
  <c r="Q35" i="7" s="1"/>
  <c r="R35" i="7"/>
  <c r="P54" i="7"/>
  <c r="Q54" i="7" s="1"/>
  <c r="R54" i="7"/>
  <c r="P52" i="7"/>
  <c r="Q52" i="7" s="1"/>
  <c r="R52" i="7"/>
  <c r="P53" i="7"/>
  <c r="Q53" i="7" s="1"/>
  <c r="R53" i="7"/>
  <c r="P39" i="7"/>
  <c r="Q39" i="7" s="1"/>
  <c r="R39" i="7"/>
  <c r="P48" i="7"/>
  <c r="Q48" i="7" s="1"/>
  <c r="R48" i="7"/>
  <c r="P46" i="7"/>
  <c r="Q46" i="7" s="1"/>
  <c r="R46" i="7"/>
  <c r="P25" i="7"/>
  <c r="Q25" i="7" s="1"/>
  <c r="R25" i="7"/>
  <c r="Q24" i="7"/>
  <c r="K16" i="7"/>
  <c r="L16" i="7" s="1"/>
  <c r="N16" i="7" s="1"/>
  <c r="J2" i="7"/>
  <c r="K2" i="7" s="1"/>
  <c r="I3" i="7"/>
  <c r="J3" i="7" s="1"/>
  <c r="K3" i="7" s="1"/>
  <c r="I21" i="7"/>
  <c r="J21" i="7" s="1"/>
  <c r="K21" i="7" s="1"/>
  <c r="L21" i="7" s="1"/>
  <c r="N21" i="7" s="1"/>
  <c r="I5" i="7"/>
  <c r="J5" i="7" s="1"/>
  <c r="K5" i="7" s="1"/>
  <c r="L5" i="7" s="1"/>
  <c r="I12" i="7"/>
  <c r="J12" i="7" s="1"/>
  <c r="K12" i="7" s="1"/>
  <c r="L12" i="7" s="1"/>
  <c r="N12" i="7" s="1"/>
  <c r="I4" i="7"/>
  <c r="J4" i="7" s="1"/>
  <c r="K4" i="7" s="1"/>
  <c r="L4" i="7" s="1"/>
  <c r="N4" i="7" s="1"/>
  <c r="I8" i="7"/>
  <c r="J8" i="7" s="1"/>
  <c r="K8" i="7" s="1"/>
  <c r="L8" i="7" s="1"/>
  <c r="N8" i="7" s="1"/>
  <c r="I11" i="7"/>
  <c r="J11" i="7" s="1"/>
  <c r="K11" i="7" s="1"/>
  <c r="L11" i="7" s="1"/>
  <c r="N11" i="7" s="1"/>
  <c r="I14" i="7"/>
  <c r="J14" i="7" s="1"/>
  <c r="K14" i="7" s="1"/>
  <c r="L14" i="7" s="1"/>
  <c r="N14" i="7" s="1"/>
  <c r="I18" i="7"/>
  <c r="J18" i="7" s="1"/>
  <c r="I20" i="7"/>
  <c r="J20" i="7" s="1"/>
  <c r="K20" i="7" s="1"/>
  <c r="L20" i="7" s="1"/>
  <c r="N20" i="7" s="1"/>
  <c r="I7" i="7"/>
  <c r="J7" i="7" s="1"/>
  <c r="K7" i="7" s="1"/>
  <c r="L7" i="7" s="1"/>
  <c r="N7" i="7" s="1"/>
  <c r="I10" i="7"/>
  <c r="J10" i="7" s="1"/>
  <c r="K10" i="7" s="1"/>
  <c r="L10" i="7" s="1"/>
  <c r="N10" i="7" s="1"/>
  <c r="I6" i="7"/>
  <c r="J6" i="7" s="1"/>
  <c r="K6" i="7" s="1"/>
  <c r="L6" i="7" s="1"/>
  <c r="N6" i="7" s="1"/>
  <c r="I9" i="7"/>
  <c r="J9" i="7" s="1"/>
  <c r="K9" i="7" s="1"/>
  <c r="L9" i="7" s="1"/>
  <c r="N9" i="7" s="1"/>
  <c r="I13" i="7"/>
  <c r="J13" i="7" s="1"/>
  <c r="K13" i="7" s="1"/>
  <c r="L13" i="7" s="1"/>
  <c r="N13" i="7" s="1"/>
  <c r="I19" i="7"/>
  <c r="J19" i="7" s="1"/>
  <c r="K19" i="7" s="1"/>
  <c r="L19" i="7" s="1"/>
  <c r="N19" i="7" s="1"/>
  <c r="R5" i="7" l="1"/>
  <c r="N5" i="7"/>
  <c r="P6" i="7"/>
  <c r="Q6" i="7" s="1"/>
  <c r="R6" i="7"/>
  <c r="P20" i="7"/>
  <c r="Q20" i="7" s="1"/>
  <c r="R20" i="7"/>
  <c r="P19" i="7"/>
  <c r="Q19" i="7" s="1"/>
  <c r="R19" i="7"/>
  <c r="P11" i="7"/>
  <c r="Q11" i="7" s="1"/>
  <c r="R11" i="7"/>
  <c r="R12" i="7"/>
  <c r="T12" i="7" s="1"/>
  <c r="P16" i="7"/>
  <c r="Q16" i="7" s="1"/>
  <c r="R16" i="7"/>
  <c r="P13" i="7"/>
  <c r="Q13" i="7" s="1"/>
  <c r="R13" i="7"/>
  <c r="R10" i="7"/>
  <c r="T10" i="7" s="1"/>
  <c r="P8" i="7"/>
  <c r="Q8" i="7" s="1"/>
  <c r="R8" i="7"/>
  <c r="P21" i="7"/>
  <c r="Q21" i="7" s="1"/>
  <c r="R21" i="7"/>
  <c r="P9" i="7"/>
  <c r="Q9" i="7" s="1"/>
  <c r="R9" i="7"/>
  <c r="P7" i="7"/>
  <c r="Q7" i="7" s="1"/>
  <c r="R7" i="7"/>
  <c r="K18" i="7"/>
  <c r="J55" i="7"/>
  <c r="P4" i="7"/>
  <c r="Q4" i="7" s="1"/>
  <c r="R4" i="7"/>
  <c r="T4" i="7" s="1"/>
  <c r="V4" i="7" s="1"/>
  <c r="R14" i="7"/>
  <c r="T14" i="7" s="1"/>
  <c r="L2" i="7"/>
  <c r="N2" i="7" s="1"/>
  <c r="K17" i="7"/>
  <c r="J17" i="7"/>
  <c r="I17" i="7"/>
  <c r="L3" i="7"/>
  <c r="N3" i="7" s="1"/>
  <c r="I55" i="7"/>
  <c r="T55" i="7" s="1"/>
  <c r="J56" i="7" l="1"/>
  <c r="P10" i="7"/>
  <c r="Q10" i="7" s="1"/>
  <c r="V10" i="7"/>
  <c r="P14" i="7"/>
  <c r="Q14" i="7" s="1"/>
  <c r="V14" i="7"/>
  <c r="P12" i="7"/>
  <c r="Q12" i="7" s="1"/>
  <c r="V12" i="7"/>
  <c r="R17" i="7"/>
  <c r="P2" i="7"/>
  <c r="Q2" i="7" s="1"/>
  <c r="R2" i="7"/>
  <c r="L18" i="7"/>
  <c r="N18" i="7" s="1"/>
  <c r="K55" i="7"/>
  <c r="R55" i="7" s="1"/>
  <c r="P3" i="7"/>
  <c r="Q3" i="7" s="1"/>
  <c r="R3" i="7"/>
  <c r="P5" i="7"/>
  <c r="Q5" i="7" s="1"/>
  <c r="I56" i="7"/>
  <c r="T56" i="7" s="1"/>
  <c r="K56" i="7" l="1"/>
  <c r="Q17" i="7"/>
  <c r="P18" i="7"/>
  <c r="R18" i="7"/>
  <c r="P17" i="7"/>
  <c r="Q18" i="7" l="1"/>
  <c r="Q55" i="7" s="1"/>
  <c r="Q56" i="7" s="1"/>
  <c r="R56" i="7" s="1"/>
  <c r="P55" i="7"/>
  <c r="P5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<sst xmlns="http://schemas.openxmlformats.org/spreadsheetml/2006/main" count="166" uniqueCount="149">
  <si>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</si>
  <si>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</si>
  <si>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</si>
  <si>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</si>
  <si>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</si>
  <si>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</si>
  <si>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</si>
  <si>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</si>
  <si>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</si>
  <si>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</si>
  <si>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</si>
  <si>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</si>
  <si>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</si>
  <si>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</si>
  <si>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</si>
  <si>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</si>
  <si>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</si>
  <si>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</si>
  <si>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</si>
  <si>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</si>
  <si>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</si>
  <si>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</si>
  <si>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</si>
  <si>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</si>
  <si>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</si>
  <si>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</si>
  <si>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</si>
  <si>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</si>
  <si>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</si>
  <si>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</si>
  <si>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</si>
  <si>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</si>
  <si>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</si>
  <si>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</si>
  <si>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</si>
  <si>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</si>
  <si>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</si>
  <si>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</si>
  <si>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</si>
  <si>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</si>
  <si>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</si>
  <si>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</si>
  <si>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</si>
  <si>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</si>
  <si>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</si>
  <si>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</si>
  <si>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</si>
  <si>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</si>
  <si>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</si>
  <si>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</si>
  <si>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</si>
  <si>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</si>
  <si>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</si>
  <si>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</si>
  <si>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</si>
  <si>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</si>
  <si>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</si>
  <si>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</si>
  <si>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</si>
  <si>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</si>
  <si>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</si>
  <si>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</si>
  <si>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</si>
  <si>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</si>
  <si>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</si>
  <si>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</si>
  <si>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</si>
  <si>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</si>
  <si>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</si>
  <si>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</si>
  <si>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</si>
  <si>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</si>
  <si>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</si>
  <si>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</si>
  <si>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</si>
  <si>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</si>
  <si>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</si>
  <si>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</si>
  <si>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</si>
  <si>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</si>
  <si>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</si>
  <si>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</si>
  <si>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</si>
  <si>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</si>
  <si>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</si>
  <si>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</si>
  <si>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</si>
  <si>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</si>
  <si>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</si>
  <si>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</si>
  <si>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</si>
  <si>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</si>
  <si>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</si>
  <si>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</si>
  <si>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</si>
  <si>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</si>
  <si>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</si>
  <si>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</si>
  <si>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</si>
  <si>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</si>
  <si>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</si>
  <si>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</si>
  <si>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</si>
  <si>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</si>
  <si>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</si>
  <si>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</si>
  <si>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</si>
  <si>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</si>
  <si>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</si>
  <si>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</si>
  <si>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</si>
  <si>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</si>
  <si>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</si>
  <si>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</si>
  <si>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</si>
  <si>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</si>
  <si>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</si>
  <si>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</si>
  <si>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</si>
  <si>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</si>
  <si>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</si>
  <si>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</si>
  <si>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</si>
  <si>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</si>
  <si>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</si>
  <si>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Calculated Rate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</si>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</sst>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3" fillId="5" borderId="1" xfId="2" applyNumberFormat="1" applyFont="1" applyFill="1" applyBorder="1" applyAlignment="1">
      <alignment horizontal="center" wrapText="1"/>
    </xf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 wrapText="1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64" fontId="3" fillId="5" borderId="1" xfId="2" applyNumberFormat="1" applyFont="1" applyFill="1" applyBorder="1" applyAlignment="1">
      <alignment wrapText="1"/>
    </xf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0" fontId="3" fillId="5" borderId="0" xfId="0" applyFont="1" applyFill="1" applyBorder="1" applyAlignment="1">
      <alignment horizontal="center" wrapText="1"/>
    </xf>
    <xf numFmtId="44" fontId="0" fillId="0" borderId="0" xfId="2" applyNumberFormat="1" applyFont="1" applyFill="1" applyBorder="1"/>
    <xf numFmtId="43" fontId="0" fillId="0" borderId="0" xfId="1" applyFont="1" applyFill="1" applyBorder="1"/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workbookViewId="0">
      <selection activeCell="G49" sqref="G49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51" t="s">
        <v>17</v>
      </c>
      <c r="B1" s="151"/>
      <c r="C1" s="151"/>
      <c r="D1" s="151"/>
      <c r="E1" s="151"/>
      <c r="F1" s="151"/>
      <c r="G1" s="151"/>
      <c r="H1" s="151"/>
    </row>
    <row r="2" spans="1:8">
      <c r="A2" s="3" t="s">
        <v>52</v>
      </c>
      <c r="B2" s="16" t="s">
        <v>39</v>
      </c>
      <c r="C2" s="16" t="s">
        <v>40</v>
      </c>
      <c r="D2" s="16" t="s">
        <v>41</v>
      </c>
      <c r="E2" s="17" t="s">
        <v>43</v>
      </c>
      <c r="F2" s="17" t="s">
        <v>44</v>
      </c>
      <c r="G2" s="17" t="s">
        <v>45</v>
      </c>
      <c r="H2" s="16" t="s">
        <v>48</v>
      </c>
    </row>
    <row r="3" spans="1:8">
      <c r="A3" s="3" t="s">
        <v>49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81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50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51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51" t="s">
        <v>10</v>
      </c>
      <c r="B11" s="151"/>
      <c r="C11" s="33"/>
      <c r="D11" s="19"/>
      <c r="E11" s="19"/>
      <c r="F11" s="19"/>
      <c r="G11" s="19"/>
      <c r="H11" s="19"/>
    </row>
    <row r="12" spans="1:8">
      <c r="A12" s="31" t="s">
        <v>47</v>
      </c>
      <c r="B12" s="35" t="s">
        <v>77</v>
      </c>
      <c r="C12" s="33"/>
      <c r="D12" s="19"/>
      <c r="E12" s="19"/>
      <c r="F12" s="19"/>
      <c r="G12" s="19"/>
      <c r="H12" s="19"/>
    </row>
    <row r="13" spans="1:8">
      <c r="A13" s="34" t="s">
        <v>78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53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54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55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56</v>
      </c>
      <c r="B17" s="32">
        <v>97</v>
      </c>
      <c r="C17" s="33"/>
      <c r="D17" s="19"/>
      <c r="E17" s="19"/>
      <c r="F17" s="3" t="s">
        <v>19</v>
      </c>
      <c r="G17" s="21" t="s">
        <v>42</v>
      </c>
      <c r="H17" s="19"/>
    </row>
    <row r="18" spans="1:8">
      <c r="A18" s="34" t="s">
        <v>57</v>
      </c>
      <c r="B18" s="32">
        <v>117</v>
      </c>
      <c r="C18" s="33"/>
      <c r="D18" s="19"/>
      <c r="E18" s="19"/>
      <c r="H18" s="19"/>
    </row>
    <row r="19" spans="1:8">
      <c r="A19" s="34" t="s">
        <v>58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91</v>
      </c>
      <c r="B20" s="43">
        <v>37</v>
      </c>
      <c r="C20" s="52" t="s">
        <v>79</v>
      </c>
      <c r="D20" s="33"/>
      <c r="E20" s="33"/>
      <c r="F20" s="14"/>
      <c r="G20" s="15"/>
      <c r="H20" s="33"/>
    </row>
    <row r="21" spans="1:8">
      <c r="A21" s="34" t="s">
        <v>59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60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61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62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63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64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65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66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67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68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69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70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82</v>
      </c>
      <c r="B34" s="32">
        <v>482</v>
      </c>
      <c r="C34" s="33" t="s">
        <v>79</v>
      </c>
      <c r="D34" s="19"/>
      <c r="E34" s="19"/>
      <c r="F34" s="19"/>
      <c r="G34" s="19"/>
      <c r="H34" s="19"/>
    </row>
    <row r="35" spans="1:8">
      <c r="A35" s="34" t="s">
        <v>83</v>
      </c>
      <c r="B35" s="32">
        <v>689</v>
      </c>
      <c r="C35" s="33" t="s">
        <v>79</v>
      </c>
      <c r="D35" s="19"/>
      <c r="E35" s="19"/>
      <c r="F35" s="19"/>
      <c r="G35" s="19"/>
      <c r="H35" s="19"/>
    </row>
    <row r="36" spans="1:8" s="29" customFormat="1">
      <c r="A36" s="34" t="s">
        <v>72</v>
      </c>
      <c r="B36" s="32">
        <v>892</v>
      </c>
      <c r="C36" s="33" t="s">
        <v>79</v>
      </c>
      <c r="D36" s="30"/>
      <c r="E36" s="30"/>
      <c r="F36" s="30"/>
      <c r="G36" s="30"/>
      <c r="H36" s="30"/>
    </row>
    <row r="37" spans="1:8" s="29" customFormat="1">
      <c r="A37" s="34" t="s">
        <v>71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73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74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75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84</v>
      </c>
      <c r="B41" s="32">
        <v>2800</v>
      </c>
      <c r="C41" s="33" t="s">
        <v>79</v>
      </c>
      <c r="D41" s="30"/>
      <c r="E41" s="30"/>
      <c r="F41" s="30"/>
      <c r="G41" s="30"/>
      <c r="H41" s="30"/>
    </row>
    <row r="42" spans="1:8" s="29" customFormat="1">
      <c r="A42" s="34" t="s">
        <v>76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53" t="s">
        <v>85</v>
      </c>
      <c r="C43" s="153"/>
    </row>
    <row r="46" spans="1:8">
      <c r="A46" s="28" t="s">
        <v>86</v>
      </c>
      <c r="B46" s="26" t="s">
        <v>5</v>
      </c>
      <c r="C46" s="26" t="s">
        <v>6</v>
      </c>
      <c r="F46" s="152" t="s">
        <v>24</v>
      </c>
      <c r="G46" s="152"/>
    </row>
    <row r="47" spans="1:8">
      <c r="A47" s="22" t="s">
        <v>7</v>
      </c>
      <c r="B47" s="5">
        <v>103.35</v>
      </c>
      <c r="C47" s="4">
        <f>B47/2000</f>
        <v>5.1674999999999999E-2</v>
      </c>
      <c r="F47" s="3" t="s">
        <v>25</v>
      </c>
      <c r="G47" s="8">
        <f>0.015</f>
        <v>1.4999999999999999E-2</v>
      </c>
    </row>
    <row r="48" spans="1:8">
      <c r="A48" s="22" t="s">
        <v>8</v>
      </c>
      <c r="B48" s="6">
        <v>105.16</v>
      </c>
      <c r="C48" s="7">
        <f>B48/2000</f>
        <v>5.2580000000000002E-2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1.8100000000000023</v>
      </c>
      <c r="C49" s="11">
        <f>C48-C47</f>
        <v>9.0500000000000302E-4</v>
      </c>
      <c r="F49" s="3" t="s">
        <v>46</v>
      </c>
      <c r="G49" s="10">
        <v>6.1000000000000004E-3</v>
      </c>
    </row>
    <row r="50" spans="1:7">
      <c r="F50" s="3" t="s">
        <v>15</v>
      </c>
      <c r="G50" s="23">
        <f>SUM(G47:G49)</f>
        <v>2.6200000000000001E-2</v>
      </c>
    </row>
    <row r="51" spans="1:7">
      <c r="B51" s="27" t="s">
        <v>87</v>
      </c>
    </row>
    <row r="52" spans="1:7">
      <c r="A52" s="3" t="s">
        <v>146</v>
      </c>
      <c r="B52" s="24">
        <f>B49</f>
        <v>1.8100000000000023</v>
      </c>
      <c r="F52" s="3" t="s">
        <v>27</v>
      </c>
      <c r="G52" s="25">
        <f>1-G50</f>
        <v>0.9738</v>
      </c>
    </row>
    <row r="53" spans="1:7">
      <c r="A53" s="3" t="s">
        <v>147</v>
      </c>
      <c r="B53" s="24">
        <f>B52/$G$52</f>
        <v>1.8586978845758906</v>
      </c>
    </row>
    <row r="54" spans="1:7">
      <c r="A54" s="3" t="s">
        <v>23</v>
      </c>
      <c r="B54" s="13">
        <f>'Calc. per Staff format'!D61</f>
        <v>5699</v>
      </c>
    </row>
    <row r="55" spans="1:7" ht="17.25">
      <c r="A55" s="2" t="s">
        <v>148</v>
      </c>
      <c r="B55" s="144">
        <f>B53*B54</f>
        <v>10592.719244198001</v>
      </c>
    </row>
    <row r="57" spans="1:7">
      <c r="A57" s="142" t="s">
        <v>145</v>
      </c>
    </row>
    <row r="58" spans="1:7" ht="17.25">
      <c r="A58" s="29" t="s">
        <v>23</v>
      </c>
      <c r="B58" s="143">
        <f>+'Calc. per Staff format'!D72</f>
        <v>2561</v>
      </c>
    </row>
    <row r="59" spans="1:7" ht="17.25">
      <c r="A59" s="31" t="s">
        <v>148</v>
      </c>
      <c r="B59" s="144">
        <f>+B58*B49</f>
        <v>4635.4100000000062</v>
      </c>
    </row>
    <row r="61" spans="1:7" ht="17.25">
      <c r="B61" s="145">
        <f>+B59+B55</f>
        <v>15228.129244198008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4"/>
  <sheetViews>
    <sheetView tabSelected="1" zoomScale="80" zoomScaleNormal="8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D2" sqref="D2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38.42578125" style="68" bestFit="1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0.7109375" style="68" customWidth="1"/>
    <col min="13" max="13" width="16.570312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8" width="10.28515625" style="68" customWidth="1"/>
    <col min="19" max="19" width="4.7109375" style="68" customWidth="1"/>
    <col min="20" max="20" width="13" style="68" bestFit="1" customWidth="1"/>
    <col min="21" max="16384" width="8.85546875" style="68"/>
  </cols>
  <sheetData>
    <row r="1" spans="1:22" ht="30">
      <c r="A1" s="57"/>
      <c r="B1" s="87" t="s">
        <v>14</v>
      </c>
      <c r="C1" s="88" t="s">
        <v>16</v>
      </c>
      <c r="D1" s="87" t="s">
        <v>36</v>
      </c>
      <c r="E1" s="87" t="s">
        <v>0</v>
      </c>
      <c r="F1" s="57" t="s">
        <v>1</v>
      </c>
      <c r="G1" s="87" t="s">
        <v>10</v>
      </c>
      <c r="H1" s="87" t="s">
        <v>31</v>
      </c>
      <c r="I1" s="102" t="s">
        <v>32</v>
      </c>
      <c r="J1" s="137" t="s">
        <v>9</v>
      </c>
      <c r="K1" s="126" t="s">
        <v>2</v>
      </c>
      <c r="L1" s="87" t="s">
        <v>37</v>
      </c>
      <c r="M1" s="87" t="s">
        <v>34</v>
      </c>
      <c r="N1" s="148" t="s">
        <v>125</v>
      </c>
      <c r="O1" s="133" t="s">
        <v>35</v>
      </c>
      <c r="P1" s="87" t="s">
        <v>33</v>
      </c>
      <c r="Q1" s="126" t="s">
        <v>38</v>
      </c>
    </row>
    <row r="2" spans="1:22" s="70" customFormat="1">
      <c r="A2" s="155" t="s">
        <v>12</v>
      </c>
      <c r="B2" s="59">
        <v>21</v>
      </c>
      <c r="C2" s="106" t="s">
        <v>94</v>
      </c>
      <c r="D2" s="108">
        <v>19</v>
      </c>
      <c r="E2" s="81">
        <f>References!B9</f>
        <v>1</v>
      </c>
      <c r="F2" s="78">
        <f>D2*E2*12</f>
        <v>228</v>
      </c>
      <c r="G2" s="111">
        <f>References!B14</f>
        <v>34</v>
      </c>
      <c r="H2" s="80">
        <f>F2*G2</f>
        <v>7752</v>
      </c>
      <c r="I2" s="101">
        <f t="shared" ref="I2:I16" si="0">$D$64*H2</f>
        <v>7069.1661792931736</v>
      </c>
      <c r="J2" s="127">
        <f>(References!$C$49*I2)</f>
        <v>6.3975953922603432</v>
      </c>
      <c r="K2" s="127">
        <f>J2/References!$G$52</f>
        <v>6.5697221115838396</v>
      </c>
      <c r="L2" s="82">
        <f>K2/F2</f>
        <v>2.8814570664841402E-2</v>
      </c>
      <c r="M2" s="113">
        <v>6.93</v>
      </c>
      <c r="N2" s="149">
        <f>ROUND(L2+M2,2)</f>
        <v>6.96</v>
      </c>
      <c r="O2" s="128">
        <f>+D2*M2*12</f>
        <v>1580.04</v>
      </c>
      <c r="P2" s="128">
        <f>+N2*D2*12</f>
        <v>1586.88</v>
      </c>
      <c r="Q2" s="127">
        <f>P2-O2</f>
        <v>6.8400000000001455</v>
      </c>
      <c r="R2" s="138">
        <f>+L2/M2</f>
        <v>4.1579467048833193E-3</v>
      </c>
    </row>
    <row r="3" spans="1:22" s="70" customFormat="1">
      <c r="A3" s="156"/>
      <c r="B3" s="55">
        <v>21</v>
      </c>
      <c r="C3" s="106" t="s">
        <v>95</v>
      </c>
      <c r="D3" s="108">
        <v>17</v>
      </c>
      <c r="E3" s="79">
        <f>References!B7</f>
        <v>4.333333333333333</v>
      </c>
      <c r="F3" s="78">
        <f>D3*E3*12</f>
        <v>883.99999999999989</v>
      </c>
      <c r="G3" s="112">
        <f>References!B13</f>
        <v>20</v>
      </c>
      <c r="H3" s="78">
        <f>F3*G3</f>
        <v>17679.999999999996</v>
      </c>
      <c r="I3" s="54">
        <f t="shared" si="0"/>
        <v>16122.659707159866</v>
      </c>
      <c r="J3" s="128">
        <f>(References!$C$49*I3)</f>
        <v>14.591007034979727</v>
      </c>
      <c r="K3" s="128">
        <f>J3/References!$G$52</f>
        <v>14.983576745717526</v>
      </c>
      <c r="L3" s="77">
        <f>K3/F3*E3</f>
        <v>7.3448905616262397E-2</v>
      </c>
      <c r="M3" s="113">
        <v>11.62</v>
      </c>
      <c r="N3" s="149">
        <f t="shared" ref="M3:N54" si="1">ROUND(L3+M3,2)</f>
        <v>11.69</v>
      </c>
      <c r="O3" s="128">
        <f t="shared" ref="O3:O15" si="2">+D3*M3*12</f>
        <v>2370.48</v>
      </c>
      <c r="P3" s="128">
        <f>+N3*D3*12</f>
        <v>2384.7599999999998</v>
      </c>
      <c r="Q3" s="128">
        <f>P3-O3</f>
        <v>14.279999999999745</v>
      </c>
      <c r="R3" s="138">
        <f t="shared" ref="R3:R54" si="3">+L3/M3</f>
        <v>6.32090409778506E-3</v>
      </c>
    </row>
    <row r="4" spans="1:22" s="70" customFormat="1">
      <c r="A4" s="156"/>
      <c r="B4" s="55">
        <v>21</v>
      </c>
      <c r="C4" s="106" t="s">
        <v>96</v>
      </c>
      <c r="D4" s="108">
        <v>55</v>
      </c>
      <c r="E4" s="79">
        <f>References!B7</f>
        <v>4.333333333333333</v>
      </c>
      <c r="F4" s="78">
        <f t="shared" ref="F4:F16" si="4">D4*E4*12</f>
        <v>2860</v>
      </c>
      <c r="G4" s="112">
        <f>References!B13</f>
        <v>20</v>
      </c>
      <c r="H4" s="78">
        <f>F4*G4</f>
        <v>57200</v>
      </c>
      <c r="I4" s="54">
        <f t="shared" si="0"/>
        <v>52161.546111399577</v>
      </c>
      <c r="J4" s="128">
        <f>(References!$C$49*I4)</f>
        <v>47.206199230816772</v>
      </c>
      <c r="K4" s="128">
        <f>J4/References!$G$52</f>
        <v>48.476277706733178</v>
      </c>
      <c r="L4" s="77">
        <f t="shared" ref="L4:L16" si="5">K4/F4*E4</f>
        <v>7.3448905616262397E-2</v>
      </c>
      <c r="M4" s="113">
        <v>12.87</v>
      </c>
      <c r="N4" s="149">
        <f t="shared" si="1"/>
        <v>12.94</v>
      </c>
      <c r="O4" s="128">
        <f t="shared" si="2"/>
        <v>8494.1999999999989</v>
      </c>
      <c r="P4" s="128">
        <f t="shared" ref="P4:P15" si="6">+N4*D4*12</f>
        <v>8540.4</v>
      </c>
      <c r="Q4" s="128">
        <f>P4-O4</f>
        <v>46.200000000000728</v>
      </c>
      <c r="R4" s="138">
        <f t="shared" si="3"/>
        <v>5.7069856733692617E-3</v>
      </c>
      <c r="T4" s="147">
        <f>ROUND(+U4*R4+U4,2)</f>
        <v>7.96</v>
      </c>
      <c r="U4" s="77">
        <v>7.91</v>
      </c>
      <c r="V4" s="138">
        <f>+T4/U4-1</f>
        <v>6.321112515802696E-3</v>
      </c>
    </row>
    <row r="5" spans="1:22" s="70" customFormat="1">
      <c r="A5" s="156"/>
      <c r="B5" s="55">
        <v>21</v>
      </c>
      <c r="C5" s="106" t="s">
        <v>97</v>
      </c>
      <c r="D5" s="108">
        <v>791</v>
      </c>
      <c r="E5" s="79">
        <f>References!B7</f>
        <v>4.333333333333333</v>
      </c>
      <c r="F5" s="78">
        <f t="shared" si="4"/>
        <v>41132</v>
      </c>
      <c r="G5" s="114">
        <f>References!B14</f>
        <v>34</v>
      </c>
      <c r="H5" s="78">
        <f t="shared" ref="H5:H16" si="7">F5*G5</f>
        <v>1398488</v>
      </c>
      <c r="I5" s="54">
        <f t="shared" si="0"/>
        <v>1275302.3828363458</v>
      </c>
      <c r="J5" s="128">
        <f>(References!$C$49*I5)</f>
        <v>1154.1486564668969</v>
      </c>
      <c r="K5" s="128">
        <f>J5/References!$G$52</f>
        <v>1185.2009205862569</v>
      </c>
      <c r="L5" s="77">
        <f>K5/F5*E5</f>
        <v>0.12486313954764609</v>
      </c>
      <c r="M5" s="113">
        <v>13.64</v>
      </c>
      <c r="N5" s="149">
        <f t="shared" si="1"/>
        <v>13.76</v>
      </c>
      <c r="O5" s="128">
        <f t="shared" si="2"/>
        <v>129470.88</v>
      </c>
      <c r="P5" s="128">
        <f t="shared" si="6"/>
        <v>130609.92</v>
      </c>
      <c r="Q5" s="128">
        <f t="shared" ref="Q5:Q16" si="8">P5-O5</f>
        <v>1139.0399999999936</v>
      </c>
      <c r="R5" s="138">
        <f t="shared" si="3"/>
        <v>9.1541891163963406E-3</v>
      </c>
    </row>
    <row r="6" spans="1:22" s="70" customFormat="1">
      <c r="A6" s="156"/>
      <c r="B6" s="55">
        <v>21</v>
      </c>
      <c r="C6" s="106" t="s">
        <v>98</v>
      </c>
      <c r="D6" s="108">
        <v>308</v>
      </c>
      <c r="E6" s="79">
        <f>References!B7</f>
        <v>4.333333333333333</v>
      </c>
      <c r="F6" s="78">
        <f t="shared" si="4"/>
        <v>16015.999999999998</v>
      </c>
      <c r="G6" s="111">
        <f>References!B15</f>
        <v>51</v>
      </c>
      <c r="H6" s="78">
        <f t="shared" si="7"/>
        <v>816815.99999999988</v>
      </c>
      <c r="I6" s="54">
        <f t="shared" si="0"/>
        <v>744866.87847078592</v>
      </c>
      <c r="J6" s="128">
        <f>(References!$C$49*I6)</f>
        <v>674.10452501606346</v>
      </c>
      <c r="K6" s="128">
        <f>J6/References!$G$52</f>
        <v>692.24124565214981</v>
      </c>
      <c r="L6" s="77">
        <f t="shared" si="5"/>
        <v>0.18729470932146911</v>
      </c>
      <c r="M6" s="113">
        <v>20.85</v>
      </c>
      <c r="N6" s="149">
        <f t="shared" si="1"/>
        <v>21.04</v>
      </c>
      <c r="O6" s="128">
        <f t="shared" si="2"/>
        <v>77061.600000000006</v>
      </c>
      <c r="P6" s="128">
        <f t="shared" si="6"/>
        <v>77763.839999999997</v>
      </c>
      <c r="Q6" s="128">
        <f t="shared" si="8"/>
        <v>702.23999999999069</v>
      </c>
      <c r="R6" s="138">
        <f t="shared" si="3"/>
        <v>8.9829596796867674E-3</v>
      </c>
    </row>
    <row r="7" spans="1:22" s="70" customFormat="1">
      <c r="A7" s="156"/>
      <c r="B7" s="55">
        <v>21</v>
      </c>
      <c r="C7" s="106" t="s">
        <v>99</v>
      </c>
      <c r="D7" s="108">
        <v>22</v>
      </c>
      <c r="E7" s="79">
        <f>References!B7</f>
        <v>4.333333333333333</v>
      </c>
      <c r="F7" s="78">
        <f t="shared" si="4"/>
        <v>1144</v>
      </c>
      <c r="G7" s="118">
        <f>References!B16</f>
        <v>77</v>
      </c>
      <c r="H7" s="78">
        <f t="shared" si="7"/>
        <v>88088</v>
      </c>
      <c r="I7" s="54">
        <f t="shared" si="0"/>
        <v>80328.781011555358</v>
      </c>
      <c r="J7" s="128">
        <f>(References!$C$49*I7)</f>
        <v>72.697546815457841</v>
      </c>
      <c r="K7" s="128">
        <f>J7/References!$G$52</f>
        <v>74.653467668369117</v>
      </c>
      <c r="L7" s="77">
        <f t="shared" si="5"/>
        <v>0.28277828662261029</v>
      </c>
      <c r="M7" s="113">
        <v>28.19</v>
      </c>
      <c r="N7" s="149">
        <f t="shared" si="1"/>
        <v>28.47</v>
      </c>
      <c r="O7" s="128">
        <f t="shared" si="2"/>
        <v>7442.1600000000008</v>
      </c>
      <c r="P7" s="128">
        <f t="shared" si="6"/>
        <v>7516.079999999999</v>
      </c>
      <c r="Q7" s="128">
        <f t="shared" si="8"/>
        <v>73.919999999998254</v>
      </c>
      <c r="R7" s="138">
        <f t="shared" si="3"/>
        <v>1.0031155963909553E-2</v>
      </c>
    </row>
    <row r="8" spans="1:22" s="70" customFormat="1">
      <c r="A8" s="156"/>
      <c r="B8" s="55">
        <v>21</v>
      </c>
      <c r="C8" s="106" t="s">
        <v>100</v>
      </c>
      <c r="D8" s="108">
        <v>8</v>
      </c>
      <c r="E8" s="79">
        <f>References!$B$7</f>
        <v>4.333333333333333</v>
      </c>
      <c r="F8" s="78">
        <f t="shared" si="4"/>
        <v>416</v>
      </c>
      <c r="G8" s="118">
        <f>References!B17</f>
        <v>97</v>
      </c>
      <c r="H8" s="78">
        <f t="shared" si="7"/>
        <v>40352</v>
      </c>
      <c r="I8" s="54">
        <f t="shared" si="0"/>
        <v>36797.599802223704</v>
      </c>
      <c r="J8" s="128">
        <f>(References!$C$49*I8)</f>
        <v>33.301827821012566</v>
      </c>
      <c r="K8" s="128">
        <f>J8/References!$G$52</f>
        <v>34.197810454931776</v>
      </c>
      <c r="L8" s="77">
        <f t="shared" si="5"/>
        <v>0.35622719223887261</v>
      </c>
      <c r="M8" s="113">
        <v>35.44</v>
      </c>
      <c r="N8" s="149">
        <f t="shared" si="1"/>
        <v>35.799999999999997</v>
      </c>
      <c r="O8" s="128">
        <f t="shared" si="2"/>
        <v>3402.24</v>
      </c>
      <c r="P8" s="128">
        <f t="shared" si="6"/>
        <v>3436.7999999999997</v>
      </c>
      <c r="Q8" s="128">
        <f t="shared" si="8"/>
        <v>34.559999999999945</v>
      </c>
      <c r="R8" s="138">
        <f t="shared" si="3"/>
        <v>1.0051557343083314E-2</v>
      </c>
    </row>
    <row r="9" spans="1:22" s="70" customFormat="1">
      <c r="A9" s="156"/>
      <c r="B9" s="55">
        <v>21</v>
      </c>
      <c r="C9" s="106" t="s">
        <v>101</v>
      </c>
      <c r="D9" s="108">
        <v>602</v>
      </c>
      <c r="E9" s="79">
        <f>References!$B$7</f>
        <v>4.333333333333333</v>
      </c>
      <c r="F9" s="78">
        <f t="shared" si="4"/>
        <v>31304</v>
      </c>
      <c r="G9" s="111">
        <f>References!B20</f>
        <v>37</v>
      </c>
      <c r="H9" s="78">
        <f t="shared" si="7"/>
        <v>1158248</v>
      </c>
      <c r="I9" s="54">
        <f t="shared" si="0"/>
        <v>1056223.8891684674</v>
      </c>
      <c r="J9" s="128">
        <f>(References!$C$49*I9)</f>
        <v>955.88261969746611</v>
      </c>
      <c r="K9" s="128">
        <f>J9/References!$G$52</f>
        <v>981.60055421797711</v>
      </c>
      <c r="L9" s="77">
        <f t="shared" si="5"/>
        <v>0.13588047539008541</v>
      </c>
      <c r="M9" s="113">
        <v>15.1</v>
      </c>
      <c r="N9" s="149">
        <f t="shared" si="1"/>
        <v>15.24</v>
      </c>
      <c r="O9" s="128">
        <f t="shared" si="2"/>
        <v>109082.4</v>
      </c>
      <c r="P9" s="128">
        <f t="shared" si="6"/>
        <v>110093.75999999999</v>
      </c>
      <c r="Q9" s="128">
        <f t="shared" si="8"/>
        <v>1011.3600000000006</v>
      </c>
      <c r="R9" s="138">
        <f t="shared" si="3"/>
        <v>8.998706979475855E-3</v>
      </c>
    </row>
    <row r="10" spans="1:22" s="70" customFormat="1">
      <c r="A10" s="156"/>
      <c r="B10" s="55">
        <v>21</v>
      </c>
      <c r="C10" s="106" t="s">
        <v>102</v>
      </c>
      <c r="D10" s="108">
        <v>2</v>
      </c>
      <c r="E10" s="119">
        <f>References!B6</f>
        <v>8.6666666666666661</v>
      </c>
      <c r="F10" s="78">
        <f>D10*E10*12</f>
        <v>208</v>
      </c>
      <c r="G10" s="111">
        <f>References!B20</f>
        <v>37</v>
      </c>
      <c r="H10" s="100">
        <f>F10*G10</f>
        <v>7696</v>
      </c>
      <c r="I10" s="54">
        <f t="shared" si="0"/>
        <v>7018.0989313519431</v>
      </c>
      <c r="J10" s="128">
        <f>(References!$C$49*I10)</f>
        <v>6.3513795328735299</v>
      </c>
      <c r="K10" s="128">
        <f>J10/References!$G$52</f>
        <v>6.5222628187241014</v>
      </c>
      <c r="L10" s="77">
        <f t="shared" si="5"/>
        <v>0.27176095078017087</v>
      </c>
      <c r="M10" s="113">
        <v>24.42</v>
      </c>
      <c r="N10" s="149">
        <f t="shared" si="1"/>
        <v>24.69</v>
      </c>
      <c r="O10" s="128">
        <f t="shared" si="2"/>
        <v>586.08000000000004</v>
      </c>
      <c r="P10" s="128">
        <f t="shared" si="6"/>
        <v>592.56000000000006</v>
      </c>
      <c r="Q10" s="128">
        <f t="shared" si="8"/>
        <v>6.4800000000000182</v>
      </c>
      <c r="R10" s="138">
        <f t="shared" si="3"/>
        <v>1.1128622063070059E-2</v>
      </c>
      <c r="T10" s="147">
        <f>ROUND(+U10*R10+U10,2)</f>
        <v>9.24</v>
      </c>
      <c r="U10" s="77">
        <v>9.14</v>
      </c>
      <c r="V10" s="138">
        <f>+T10/U10-1</f>
        <v>1.0940919037199182E-2</v>
      </c>
    </row>
    <row r="11" spans="1:22" s="70" customFormat="1">
      <c r="A11" s="156"/>
      <c r="B11" s="55">
        <v>21</v>
      </c>
      <c r="C11" s="106" t="s">
        <v>103</v>
      </c>
      <c r="D11" s="108">
        <v>759</v>
      </c>
      <c r="E11" s="79">
        <f>References!$B$7</f>
        <v>4.333333333333333</v>
      </c>
      <c r="F11" s="78">
        <f t="shared" si="4"/>
        <v>39468</v>
      </c>
      <c r="G11" s="111">
        <f>References!B21</f>
        <v>47</v>
      </c>
      <c r="H11" s="78">
        <f t="shared" si="7"/>
        <v>1854996</v>
      </c>
      <c r="I11" s="54">
        <f t="shared" si="0"/>
        <v>1691598.9403926884</v>
      </c>
      <c r="J11" s="128">
        <f>(References!$C$49*I11)</f>
        <v>1530.8970410553882</v>
      </c>
      <c r="K11" s="128">
        <f>J11/References!$G$52</f>
        <v>1572.0856860293572</v>
      </c>
      <c r="L11" s="77">
        <f t="shared" si="5"/>
        <v>0.17260492819821663</v>
      </c>
      <c r="M11" s="113">
        <v>22.19</v>
      </c>
      <c r="N11" s="149">
        <f t="shared" si="1"/>
        <v>22.36</v>
      </c>
      <c r="O11" s="128">
        <f t="shared" si="2"/>
        <v>202106.52000000002</v>
      </c>
      <c r="P11" s="128">
        <f t="shared" si="6"/>
        <v>203654.87999999998</v>
      </c>
      <c r="Q11" s="128">
        <f t="shared" si="8"/>
        <v>1548.3599999999569</v>
      </c>
      <c r="R11" s="138">
        <f t="shared" si="3"/>
        <v>7.7785005947821817E-3</v>
      </c>
      <c r="U11" s="77"/>
      <c r="V11" s="138"/>
    </row>
    <row r="12" spans="1:22" s="70" customFormat="1">
      <c r="A12" s="156"/>
      <c r="B12" s="55">
        <v>21</v>
      </c>
      <c r="C12" s="106" t="s">
        <v>104</v>
      </c>
      <c r="D12" s="108">
        <v>6</v>
      </c>
      <c r="E12" s="119">
        <f>References!B6</f>
        <v>8.6666666666666661</v>
      </c>
      <c r="F12" s="78">
        <f t="shared" si="4"/>
        <v>624</v>
      </c>
      <c r="G12" s="111">
        <f>References!B21</f>
        <v>47</v>
      </c>
      <c r="H12" s="78">
        <f t="shared" si="7"/>
        <v>29328</v>
      </c>
      <c r="I12" s="54">
        <f t="shared" si="0"/>
        <v>26744.647278935783</v>
      </c>
      <c r="J12" s="128">
        <f>(References!$C$49*I12)</f>
        <v>24.203905787436966</v>
      </c>
      <c r="K12" s="128">
        <f>J12/References!$G$52</f>
        <v>24.855109660543199</v>
      </c>
      <c r="L12" s="77">
        <f t="shared" si="5"/>
        <v>0.34520985639643326</v>
      </c>
      <c r="M12" s="113">
        <v>35.83</v>
      </c>
      <c r="N12" s="149">
        <f t="shared" si="1"/>
        <v>36.18</v>
      </c>
      <c r="O12" s="128">
        <f t="shared" si="2"/>
        <v>2579.7599999999998</v>
      </c>
      <c r="P12" s="128">
        <f t="shared" si="6"/>
        <v>2604.96</v>
      </c>
      <c r="Q12" s="128">
        <f t="shared" si="8"/>
        <v>25.200000000000273</v>
      </c>
      <c r="R12" s="138">
        <f t="shared" si="3"/>
        <v>9.6346596817313227E-3</v>
      </c>
      <c r="T12" s="147">
        <f>ROUND(+U12*R12+U12,2)</f>
        <v>13.55</v>
      </c>
      <c r="U12" s="77">
        <v>13.42</v>
      </c>
      <c r="V12" s="138">
        <f t="shared" ref="V12:V14" si="9">+T12/U12-1</f>
        <v>9.6870342771981921E-3</v>
      </c>
    </row>
    <row r="13" spans="1:22" s="70" customFormat="1">
      <c r="A13" s="156"/>
      <c r="B13" s="55">
        <v>21</v>
      </c>
      <c r="C13" s="106" t="s">
        <v>105</v>
      </c>
      <c r="D13" s="108">
        <v>230</v>
      </c>
      <c r="E13" s="79">
        <f>References!$B$7</f>
        <v>4.333333333333333</v>
      </c>
      <c r="F13" s="78">
        <f t="shared" si="4"/>
        <v>11960</v>
      </c>
      <c r="G13" s="111">
        <f>References!B22</f>
        <v>68</v>
      </c>
      <c r="H13" s="78">
        <f t="shared" si="7"/>
        <v>813280</v>
      </c>
      <c r="I13" s="54">
        <f t="shared" si="0"/>
        <v>741642.34652935399</v>
      </c>
      <c r="J13" s="128">
        <f>(References!$C$49*I13)</f>
        <v>671.18632360906759</v>
      </c>
      <c r="K13" s="128">
        <f>J13/References!$G$52</f>
        <v>689.2445303030064</v>
      </c>
      <c r="L13" s="77">
        <f t="shared" si="5"/>
        <v>0.24972627909529216</v>
      </c>
      <c r="M13" s="113">
        <v>29.47</v>
      </c>
      <c r="N13" s="149">
        <f t="shared" si="1"/>
        <v>29.72</v>
      </c>
      <c r="O13" s="128">
        <f t="shared" si="2"/>
        <v>81337.2</v>
      </c>
      <c r="P13" s="128">
        <f t="shared" si="6"/>
        <v>82027.199999999997</v>
      </c>
      <c r="Q13" s="128">
        <f t="shared" si="8"/>
        <v>690</v>
      </c>
      <c r="R13" s="138">
        <f t="shared" si="3"/>
        <v>8.4739151372681433E-3</v>
      </c>
      <c r="U13" s="77"/>
      <c r="V13" s="138"/>
    </row>
    <row r="14" spans="1:22" s="70" customFormat="1">
      <c r="A14" s="156"/>
      <c r="B14" s="55">
        <v>21</v>
      </c>
      <c r="C14" s="106" t="s">
        <v>106</v>
      </c>
      <c r="D14" s="107">
        <v>12</v>
      </c>
      <c r="E14" s="119">
        <f>References!B6</f>
        <v>8.6666666666666661</v>
      </c>
      <c r="F14" s="78">
        <f t="shared" si="4"/>
        <v>1248</v>
      </c>
      <c r="G14" s="111">
        <f>References!B22</f>
        <v>68</v>
      </c>
      <c r="H14" s="100">
        <f t="shared" si="7"/>
        <v>84864</v>
      </c>
      <c r="I14" s="54">
        <f t="shared" si="0"/>
        <v>77388.766594367378</v>
      </c>
      <c r="J14" s="128">
        <f>(References!$C$49*I14)</f>
        <v>70.036833767902706</v>
      </c>
      <c r="K14" s="128">
        <f>J14/References!$G$52</f>
        <v>71.92116837944414</v>
      </c>
      <c r="L14" s="77">
        <f t="shared" si="5"/>
        <v>0.49945255819058426</v>
      </c>
      <c r="M14" s="113">
        <v>47.63</v>
      </c>
      <c r="N14" s="149">
        <f t="shared" si="1"/>
        <v>48.13</v>
      </c>
      <c r="O14" s="128">
        <f t="shared" si="2"/>
        <v>6858.7200000000012</v>
      </c>
      <c r="P14" s="128">
        <f t="shared" si="6"/>
        <v>6930.7200000000012</v>
      </c>
      <c r="Q14" s="128">
        <f t="shared" si="8"/>
        <v>72</v>
      </c>
      <c r="R14" s="138">
        <f t="shared" si="3"/>
        <v>1.0486091920860471E-2</v>
      </c>
      <c r="T14" s="147">
        <f>ROUND(+U14*R14+U14,2)</f>
        <v>18.02</v>
      </c>
      <c r="U14" s="77">
        <v>17.829999999999998</v>
      </c>
      <c r="V14" s="138">
        <f t="shared" si="9"/>
        <v>1.0656197420078506E-2</v>
      </c>
    </row>
    <row r="15" spans="1:22" s="70" customFormat="1">
      <c r="A15" s="72"/>
      <c r="B15" s="55">
        <v>21</v>
      </c>
      <c r="C15" s="124" t="s">
        <v>127</v>
      </c>
      <c r="D15" s="134">
        <v>4</v>
      </c>
      <c r="E15" s="79">
        <f>+E13*3</f>
        <v>13</v>
      </c>
      <c r="F15" s="78">
        <f t="shared" si="4"/>
        <v>624</v>
      </c>
      <c r="G15" s="125">
        <f>+G14</f>
        <v>68</v>
      </c>
      <c r="H15" s="100">
        <f t="shared" si="7"/>
        <v>42432</v>
      </c>
      <c r="I15" s="54">
        <f t="shared" si="0"/>
        <v>38694.383297183689</v>
      </c>
      <c r="J15" s="128">
        <f>(References!$C$49*I15)</f>
        <v>35.018416883951353</v>
      </c>
      <c r="K15" s="128">
        <f>J15/References!$G$52</f>
        <v>35.96058418972207</v>
      </c>
      <c r="L15" s="77">
        <f t="shared" si="5"/>
        <v>0.74917883728587642</v>
      </c>
      <c r="M15" s="113">
        <v>65.790000000000006</v>
      </c>
      <c r="N15" s="149">
        <f t="shared" si="1"/>
        <v>66.540000000000006</v>
      </c>
      <c r="O15" s="128">
        <f t="shared" si="2"/>
        <v>3157.92</v>
      </c>
      <c r="P15" s="128">
        <f t="shared" si="6"/>
        <v>3193.92</v>
      </c>
      <c r="Q15" s="128">
        <f t="shared" si="8"/>
        <v>36</v>
      </c>
      <c r="R15" s="138">
        <f t="shared" si="3"/>
        <v>1.1387427227327503E-2</v>
      </c>
    </row>
    <row r="16" spans="1:22" s="70" customFormat="1">
      <c r="A16" s="109"/>
      <c r="B16" s="99">
        <v>23</v>
      </c>
      <c r="C16" s="110" t="s">
        <v>128</v>
      </c>
      <c r="D16" s="135">
        <v>425</v>
      </c>
      <c r="E16" s="97">
        <v>1</v>
      </c>
      <c r="F16" s="86">
        <f t="shared" si="4"/>
        <v>5100</v>
      </c>
      <c r="G16" s="136">
        <f>+G5</f>
        <v>34</v>
      </c>
      <c r="H16" s="103">
        <f t="shared" si="7"/>
        <v>173400</v>
      </c>
      <c r="I16" s="54">
        <f t="shared" si="0"/>
        <v>158126.08558945256</v>
      </c>
      <c r="J16" s="128">
        <f>(References!$C$49*I16)</f>
        <v>143.10410745845505</v>
      </c>
      <c r="K16" s="128">
        <f>J16/References!$G$52</f>
        <v>146.95431039069115</v>
      </c>
      <c r="L16" s="77">
        <f t="shared" si="5"/>
        <v>2.8814570664841402E-2</v>
      </c>
      <c r="M16" s="113">
        <v>4.37</v>
      </c>
      <c r="N16" s="149">
        <f t="shared" si="1"/>
        <v>4.4000000000000004</v>
      </c>
      <c r="O16" s="128">
        <f>+D16*M16*12</f>
        <v>22287</v>
      </c>
      <c r="P16" s="128">
        <f>+N16*D16*12</f>
        <v>22440.000000000004</v>
      </c>
      <c r="Q16" s="128">
        <f t="shared" si="8"/>
        <v>153.00000000000364</v>
      </c>
      <c r="R16" s="138">
        <f t="shared" si="3"/>
        <v>6.5937232642657665E-3</v>
      </c>
    </row>
    <row r="17" spans="1:18" s="70" customFormat="1">
      <c r="A17" s="58"/>
      <c r="B17" s="89"/>
      <c r="C17" s="60" t="s">
        <v>15</v>
      </c>
      <c r="D17" s="61">
        <f>SUM(D2:D16)</f>
        <v>3260</v>
      </c>
      <c r="E17" s="62"/>
      <c r="F17" s="63">
        <f>SUM(F2:F16)</f>
        <v>153216</v>
      </c>
      <c r="G17" s="64"/>
      <c r="H17" s="90">
        <f>SUM(H2:H16)</f>
        <v>6590620</v>
      </c>
      <c r="I17" s="65">
        <f>SUM(I2:I16)</f>
        <v>6010086.1719005648</v>
      </c>
      <c r="J17" s="129">
        <f>SUM(J2:J16)</f>
        <v>5439.1279855700295</v>
      </c>
      <c r="K17" s="129">
        <f>SUM(K2:K16)</f>
        <v>5585.4672269152061</v>
      </c>
      <c r="L17" s="84"/>
      <c r="M17" s="84"/>
      <c r="N17" s="84"/>
      <c r="O17" s="129">
        <f>SUM(O2:O16)</f>
        <v>657817.20000000007</v>
      </c>
      <c r="P17" s="83">
        <f>SUM(P2:P16)</f>
        <v>663376.67999999982</v>
      </c>
      <c r="Q17" s="129">
        <f>SUM(Q2:Q16)</f>
        <v>5559.479999999945</v>
      </c>
      <c r="R17" s="139">
        <f>+K17/O17</f>
        <v>8.4909108897049286E-3</v>
      </c>
    </row>
    <row r="18" spans="1:18" s="70" customFormat="1" ht="15" customHeight="1">
      <c r="A18" s="155" t="s">
        <v>13</v>
      </c>
      <c r="B18" s="55">
        <v>32</v>
      </c>
      <c r="C18" s="116" t="s">
        <v>97</v>
      </c>
      <c r="D18" s="67">
        <v>13</v>
      </c>
      <c r="E18" s="79">
        <v>4.3330000000000002</v>
      </c>
      <c r="F18" s="121">
        <f>ROUND(+E18*D18*12,0)</f>
        <v>676</v>
      </c>
      <c r="G18" s="118">
        <f>References!B26</f>
        <v>29</v>
      </c>
      <c r="H18" s="78">
        <f t="shared" ref="H18:H19" si="10">F18*G18</f>
        <v>19604</v>
      </c>
      <c r="I18" s="54">
        <f>$D$64*H18</f>
        <v>17877.184439997854</v>
      </c>
      <c r="J18" s="128">
        <f>(References!$C$49*I18)</f>
        <v>16.178851918198113</v>
      </c>
      <c r="K18" s="128">
        <f>J18/References!$G$52</f>
        <v>16.614142450398557</v>
      </c>
      <c r="L18" s="77">
        <f>K18/F18</f>
        <v>2.4577133802364728E-2</v>
      </c>
      <c r="M18" s="113">
        <v>4.33</v>
      </c>
      <c r="N18" s="149">
        <f t="shared" si="1"/>
        <v>4.3499999999999996</v>
      </c>
      <c r="O18" s="128">
        <f>F18*M18</f>
        <v>2927.08</v>
      </c>
      <c r="P18" s="128">
        <f>+N18*F18</f>
        <v>2940.6</v>
      </c>
      <c r="Q18" s="128">
        <f t="shared" ref="Q18" si="11">P18-O18</f>
        <v>13.519999999999982</v>
      </c>
      <c r="R18" s="138">
        <f t="shared" si="3"/>
        <v>5.6760124254883896E-3</v>
      </c>
    </row>
    <row r="19" spans="1:18" s="70" customFormat="1">
      <c r="A19" s="156"/>
      <c r="B19" s="55">
        <v>32</v>
      </c>
      <c r="C19" s="116" t="s">
        <v>98</v>
      </c>
      <c r="D19" s="67">
        <v>8</v>
      </c>
      <c r="E19" s="79">
        <f>+E18</f>
        <v>4.3330000000000002</v>
      </c>
      <c r="F19" s="121">
        <f t="shared" ref="F19:F54" si="12">ROUND(+E19*D19*12,0)</f>
        <v>416</v>
      </c>
      <c r="G19" s="118">
        <f>References!B26</f>
        <v>29</v>
      </c>
      <c r="H19" s="78">
        <f t="shared" si="10"/>
        <v>12064</v>
      </c>
      <c r="I19" s="54">
        <f>$D$64*H19</f>
        <v>11001.344270767911</v>
      </c>
      <c r="J19" s="128">
        <f>(References!$C$49*I19)</f>
        <v>9.9562165650449934</v>
      </c>
      <c r="K19" s="128">
        <f>J19/References!$G$52</f>
        <v>10.224087661783727</v>
      </c>
      <c r="L19" s="77">
        <f t="shared" ref="L19" si="13">K19/F19</f>
        <v>2.4577133802364728E-2</v>
      </c>
      <c r="M19" s="113">
        <v>4.33</v>
      </c>
      <c r="N19" s="149">
        <f t="shared" si="1"/>
        <v>4.3499999999999996</v>
      </c>
      <c r="O19" s="128">
        <f>F19*M19</f>
        <v>1801.28</v>
      </c>
      <c r="P19" s="128">
        <f t="shared" ref="P19:P54" si="14">+N19*F19</f>
        <v>1809.6</v>
      </c>
      <c r="Q19" s="128">
        <f t="shared" ref="Q19" si="15">P19-O19</f>
        <v>8.3199999999999363</v>
      </c>
      <c r="R19" s="138">
        <f t="shared" si="3"/>
        <v>5.6760124254883896E-3</v>
      </c>
    </row>
    <row r="20" spans="1:18" s="70" customFormat="1">
      <c r="A20" s="156"/>
      <c r="B20" s="55">
        <v>30</v>
      </c>
      <c r="C20" s="116" t="s">
        <v>105</v>
      </c>
      <c r="D20" s="98">
        <v>11</v>
      </c>
      <c r="E20" s="79">
        <f>+E19</f>
        <v>4.3330000000000002</v>
      </c>
      <c r="F20" s="121">
        <f t="shared" si="12"/>
        <v>572</v>
      </c>
      <c r="G20" s="118">
        <f>References!B22</f>
        <v>68</v>
      </c>
      <c r="H20" s="78">
        <f t="shared" ref="H20:H21" si="16">F20*G20</f>
        <v>38896</v>
      </c>
      <c r="I20" s="54">
        <f>$D$64*H20</f>
        <v>35469.851355751714</v>
      </c>
      <c r="J20" s="128">
        <f>(References!$C$49*I20)</f>
        <v>32.100215476955405</v>
      </c>
      <c r="K20" s="128">
        <f>J20/References!$G$52</f>
        <v>32.963868840578563</v>
      </c>
      <c r="L20" s="77">
        <f t="shared" ref="L20:L21" si="17">K20/F20</f>
        <v>5.7629141329682804E-2</v>
      </c>
      <c r="M20" s="113">
        <v>10.18</v>
      </c>
      <c r="N20" s="149">
        <f t="shared" si="1"/>
        <v>10.24</v>
      </c>
      <c r="O20" s="128">
        <f>F20*M20</f>
        <v>5822.96</v>
      </c>
      <c r="P20" s="128">
        <f t="shared" si="14"/>
        <v>5857.28</v>
      </c>
      <c r="Q20" s="128">
        <f t="shared" ref="Q20:Q21" si="18">P20-O20</f>
        <v>34.319999999999709</v>
      </c>
      <c r="R20" s="138">
        <f t="shared" si="3"/>
        <v>5.6610158477095095E-3</v>
      </c>
    </row>
    <row r="21" spans="1:18" s="70" customFormat="1">
      <c r="A21" s="156"/>
      <c r="B21" s="55">
        <v>30</v>
      </c>
      <c r="C21" s="116" t="s">
        <v>106</v>
      </c>
      <c r="D21" s="98">
        <v>2</v>
      </c>
      <c r="E21" s="79">
        <f t="shared" ref="E21:E25" si="19">+E20</f>
        <v>4.3330000000000002</v>
      </c>
      <c r="F21" s="121">
        <f t="shared" si="12"/>
        <v>104</v>
      </c>
      <c r="G21" s="118">
        <f>References!B22</f>
        <v>68</v>
      </c>
      <c r="H21" s="78">
        <f t="shared" si="16"/>
        <v>7072</v>
      </c>
      <c r="I21" s="54">
        <f>$D$64*H21</f>
        <v>6449.0638828639476</v>
      </c>
      <c r="J21" s="128">
        <f>(References!$C$49*I21)</f>
        <v>5.8364028139918922</v>
      </c>
      <c r="K21" s="128">
        <f>J21/References!$G$52</f>
        <v>5.9934306982870122</v>
      </c>
      <c r="L21" s="77">
        <f t="shared" si="17"/>
        <v>5.7629141329682811E-2</v>
      </c>
      <c r="M21" s="113">
        <v>10.18</v>
      </c>
      <c r="N21" s="149">
        <f t="shared" si="1"/>
        <v>10.24</v>
      </c>
      <c r="O21" s="128">
        <f>F21*M21</f>
        <v>1058.72</v>
      </c>
      <c r="P21" s="128">
        <f t="shared" si="14"/>
        <v>1064.96</v>
      </c>
      <c r="Q21" s="128">
        <f t="shared" si="18"/>
        <v>6.2400000000000091</v>
      </c>
      <c r="R21" s="138">
        <f t="shared" si="3"/>
        <v>5.6610158477095104E-3</v>
      </c>
    </row>
    <row r="22" spans="1:18" s="70" customFormat="1">
      <c r="A22" s="156"/>
      <c r="B22" s="55">
        <v>30</v>
      </c>
      <c r="C22" s="116" t="s">
        <v>129</v>
      </c>
      <c r="D22" s="98">
        <v>6</v>
      </c>
      <c r="E22" s="79">
        <v>1</v>
      </c>
      <c r="F22" s="121">
        <f t="shared" si="12"/>
        <v>72</v>
      </c>
      <c r="G22" s="120">
        <v>158.55000000000001</v>
      </c>
      <c r="H22" s="78">
        <f t="shared" ref="H22:H54" si="20">F22*G22</f>
        <v>11415.6</v>
      </c>
      <c r="I22" s="54">
        <f t="shared" ref="I22:I54" si="21">$D$64*H22</f>
        <v>10410.05849281981</v>
      </c>
      <c r="J22" s="128">
        <f>(References!$C$49*I22)</f>
        <v>9.4211029360019598</v>
      </c>
      <c r="K22" s="128">
        <f>J22/References!$G$52</f>
        <v>9.6745768494577522</v>
      </c>
      <c r="L22" s="77">
        <f t="shared" ref="L22:L54" si="22">K22/F22</f>
        <v>0.13436912290913544</v>
      </c>
      <c r="M22" s="113">
        <v>25.54</v>
      </c>
      <c r="N22" s="149">
        <f t="shared" si="1"/>
        <v>25.67</v>
      </c>
      <c r="O22" s="128">
        <f t="shared" ref="O22:O54" si="23">F22*M22</f>
        <v>1838.8799999999999</v>
      </c>
      <c r="P22" s="128">
        <f t="shared" si="14"/>
        <v>1848.2400000000002</v>
      </c>
      <c r="Q22" s="128">
        <f t="shared" ref="Q22:Q54" si="24">P22-O22</f>
        <v>9.3600000000003547</v>
      </c>
      <c r="R22" s="138">
        <f t="shared" si="3"/>
        <v>5.261124624476721E-3</v>
      </c>
    </row>
    <row r="23" spans="1:18" s="70" customFormat="1">
      <c r="A23" s="156"/>
      <c r="B23" s="55">
        <v>30</v>
      </c>
      <c r="C23" s="116" t="s">
        <v>130</v>
      </c>
      <c r="D23" s="98">
        <v>6</v>
      </c>
      <c r="E23" s="79">
        <v>2.1667000000000001</v>
      </c>
      <c r="F23" s="121">
        <f t="shared" si="12"/>
        <v>156</v>
      </c>
      <c r="G23" s="115">
        <f>+G22</f>
        <v>158.55000000000001</v>
      </c>
      <c r="H23" s="78">
        <f t="shared" si="20"/>
        <v>24733.800000000003</v>
      </c>
      <c r="I23" s="54">
        <f t="shared" si="21"/>
        <v>22555.126734442922</v>
      </c>
      <c r="J23" s="128">
        <f>(References!$C$49*I23)</f>
        <v>20.412389694670914</v>
      </c>
      <c r="K23" s="128">
        <f>J23/References!$G$52</f>
        <v>20.961583173825133</v>
      </c>
      <c r="L23" s="77">
        <f t="shared" si="22"/>
        <v>0.13436912290913547</v>
      </c>
      <c r="M23" s="113">
        <v>25.54</v>
      </c>
      <c r="N23" s="149">
        <f t="shared" si="1"/>
        <v>25.67</v>
      </c>
      <c r="O23" s="128">
        <f t="shared" si="23"/>
        <v>3984.24</v>
      </c>
      <c r="P23" s="128">
        <f t="shared" si="14"/>
        <v>4004.5200000000004</v>
      </c>
      <c r="Q23" s="128">
        <f t="shared" si="24"/>
        <v>20.280000000000655</v>
      </c>
      <c r="R23" s="138">
        <f t="shared" si="3"/>
        <v>5.2611246244767219E-3</v>
      </c>
    </row>
    <row r="24" spans="1:18" s="70" customFormat="1">
      <c r="A24" s="156"/>
      <c r="B24" s="55">
        <v>30</v>
      </c>
      <c r="C24" s="116" t="s">
        <v>107</v>
      </c>
      <c r="D24" s="98">
        <v>37</v>
      </c>
      <c r="E24" s="79">
        <v>4.3330000000000002</v>
      </c>
      <c r="F24" s="121">
        <f t="shared" si="12"/>
        <v>1924</v>
      </c>
      <c r="G24" s="115">
        <f>+G23</f>
        <v>158.55000000000001</v>
      </c>
      <c r="H24" s="78">
        <f t="shared" si="20"/>
        <v>305050.2</v>
      </c>
      <c r="I24" s="54">
        <f t="shared" si="21"/>
        <v>278179.89639146265</v>
      </c>
      <c r="J24" s="128">
        <f>(References!$C$49*I24)</f>
        <v>251.75280623427454</v>
      </c>
      <c r="K24" s="128">
        <f>J24/References!$G$52</f>
        <v>258.52619247717655</v>
      </c>
      <c r="L24" s="77">
        <f t="shared" si="22"/>
        <v>0.13436912290913541</v>
      </c>
      <c r="M24" s="113">
        <v>25.54</v>
      </c>
      <c r="N24" s="149">
        <f t="shared" si="1"/>
        <v>25.67</v>
      </c>
      <c r="O24" s="128">
        <f t="shared" si="23"/>
        <v>49138.96</v>
      </c>
      <c r="P24" s="128">
        <f t="shared" si="14"/>
        <v>49389.08</v>
      </c>
      <c r="Q24" s="128">
        <f t="shared" si="24"/>
        <v>250.12000000000262</v>
      </c>
      <c r="R24" s="138">
        <f t="shared" si="3"/>
        <v>5.2611246244767193E-3</v>
      </c>
    </row>
    <row r="25" spans="1:18" s="70" customFormat="1">
      <c r="A25" s="156"/>
      <c r="B25" s="55">
        <v>30</v>
      </c>
      <c r="C25" s="116" t="s">
        <v>108</v>
      </c>
      <c r="D25" s="67">
        <v>4</v>
      </c>
      <c r="E25" s="79">
        <f t="shared" si="19"/>
        <v>4.3330000000000002</v>
      </c>
      <c r="F25" s="121">
        <f t="shared" si="12"/>
        <v>208</v>
      </c>
      <c r="G25" s="115">
        <f>+G24</f>
        <v>158.55000000000001</v>
      </c>
      <c r="H25" s="78">
        <f t="shared" si="20"/>
        <v>32978.400000000001</v>
      </c>
      <c r="I25" s="54">
        <f t="shared" si="21"/>
        <v>30073.502312590557</v>
      </c>
      <c r="J25" s="128">
        <f>(References!$C$49*I25)</f>
        <v>27.216519592894546</v>
      </c>
      <c r="K25" s="128">
        <f>J25/References!$G$52</f>
        <v>27.948777565100169</v>
      </c>
      <c r="L25" s="77">
        <f t="shared" si="22"/>
        <v>0.13436912290913544</v>
      </c>
      <c r="M25" s="113">
        <v>25.54</v>
      </c>
      <c r="N25" s="149">
        <f t="shared" si="1"/>
        <v>25.67</v>
      </c>
      <c r="O25" s="128">
        <f t="shared" si="23"/>
        <v>5312.32</v>
      </c>
      <c r="P25" s="128">
        <f t="shared" si="14"/>
        <v>5339.3600000000006</v>
      </c>
      <c r="Q25" s="128">
        <f t="shared" si="24"/>
        <v>27.040000000000873</v>
      </c>
      <c r="R25" s="138">
        <f t="shared" si="3"/>
        <v>5.261124624476721E-3</v>
      </c>
    </row>
    <row r="26" spans="1:18" s="70" customFormat="1">
      <c r="A26" s="156"/>
      <c r="B26" s="55">
        <v>30</v>
      </c>
      <c r="C26" s="116" t="s">
        <v>131</v>
      </c>
      <c r="D26" s="67">
        <v>4</v>
      </c>
      <c r="E26" s="79">
        <v>1</v>
      </c>
      <c r="F26" s="121">
        <f t="shared" si="12"/>
        <v>48</v>
      </c>
      <c r="G26" s="115">
        <f>+References!B28</f>
        <v>250</v>
      </c>
      <c r="H26" s="78">
        <f t="shared" si="20"/>
        <v>12000</v>
      </c>
      <c r="I26" s="54">
        <f t="shared" si="21"/>
        <v>10942.981701692219</v>
      </c>
      <c r="J26" s="128">
        <f>(References!$C$49*I26)</f>
        <v>9.9033984400314914</v>
      </c>
      <c r="K26" s="128">
        <f>J26/References!$G$52</f>
        <v>10.169848469944025</v>
      </c>
      <c r="L26" s="77">
        <f t="shared" si="22"/>
        <v>0.21187184312383386</v>
      </c>
      <c r="M26" s="113">
        <v>29.23</v>
      </c>
      <c r="N26" s="149">
        <f t="shared" si="1"/>
        <v>29.44</v>
      </c>
      <c r="O26" s="128">
        <f t="shared" si="23"/>
        <v>1403.04</v>
      </c>
      <c r="P26" s="128">
        <f t="shared" si="14"/>
        <v>1413.1200000000001</v>
      </c>
      <c r="Q26" s="128">
        <f t="shared" si="24"/>
        <v>10.080000000000155</v>
      </c>
      <c r="R26" s="138">
        <f t="shared" si="3"/>
        <v>7.248438013131504E-3</v>
      </c>
    </row>
    <row r="27" spans="1:18" s="70" customFormat="1">
      <c r="A27" s="156"/>
      <c r="B27" s="55">
        <v>30</v>
      </c>
      <c r="C27" s="116" t="s">
        <v>132</v>
      </c>
      <c r="D27" s="67">
        <v>10</v>
      </c>
      <c r="E27" s="79">
        <f>+E23</f>
        <v>2.1667000000000001</v>
      </c>
      <c r="F27" s="121">
        <f t="shared" si="12"/>
        <v>260</v>
      </c>
      <c r="G27" s="118">
        <f>+G26</f>
        <v>250</v>
      </c>
      <c r="H27" s="78">
        <f t="shared" si="20"/>
        <v>65000</v>
      </c>
      <c r="I27" s="54">
        <f t="shared" si="21"/>
        <v>59274.484217499521</v>
      </c>
      <c r="J27" s="128">
        <f>(References!$C$49*I27)</f>
        <v>53.643408216837244</v>
      </c>
      <c r="K27" s="128">
        <f>J27/References!$G$52</f>
        <v>55.086679212196799</v>
      </c>
      <c r="L27" s="77">
        <f t="shared" si="22"/>
        <v>0.21187184312383384</v>
      </c>
      <c r="M27" s="113">
        <v>29.23</v>
      </c>
      <c r="N27" s="149">
        <f t="shared" si="1"/>
        <v>29.44</v>
      </c>
      <c r="O27" s="128">
        <f t="shared" si="23"/>
        <v>7599.8</v>
      </c>
      <c r="P27" s="128">
        <f t="shared" si="14"/>
        <v>7654.4000000000005</v>
      </c>
      <c r="Q27" s="128">
        <f t="shared" si="24"/>
        <v>54.600000000000364</v>
      </c>
      <c r="R27" s="138">
        <f t="shared" si="3"/>
        <v>7.2484380131315031E-3</v>
      </c>
    </row>
    <row r="28" spans="1:18" s="70" customFormat="1">
      <c r="A28" s="156"/>
      <c r="B28" s="55">
        <v>30</v>
      </c>
      <c r="C28" s="116" t="s">
        <v>109</v>
      </c>
      <c r="D28" s="67">
        <v>44</v>
      </c>
      <c r="E28" s="79">
        <f>+E25</f>
        <v>4.3330000000000002</v>
      </c>
      <c r="F28" s="121">
        <f t="shared" si="12"/>
        <v>2288</v>
      </c>
      <c r="G28" s="118">
        <f>+G27</f>
        <v>250</v>
      </c>
      <c r="H28" s="78">
        <f t="shared" si="20"/>
        <v>572000</v>
      </c>
      <c r="I28" s="54">
        <f t="shared" si="21"/>
        <v>521615.46111399581</v>
      </c>
      <c r="J28" s="128">
        <f>(References!$C$49*I28)</f>
        <v>472.06199230816782</v>
      </c>
      <c r="K28" s="128">
        <f>J28/References!$G$52</f>
        <v>484.76277706733191</v>
      </c>
      <c r="L28" s="77">
        <f t="shared" si="22"/>
        <v>0.21187184312383386</v>
      </c>
      <c r="M28" s="113">
        <v>29.23</v>
      </c>
      <c r="N28" s="149">
        <f t="shared" si="1"/>
        <v>29.44</v>
      </c>
      <c r="O28" s="128">
        <f t="shared" si="23"/>
        <v>66878.240000000005</v>
      </c>
      <c r="P28" s="128">
        <f t="shared" si="14"/>
        <v>67358.720000000001</v>
      </c>
      <c r="Q28" s="128">
        <f t="shared" si="24"/>
        <v>480.47999999999593</v>
      </c>
      <c r="R28" s="138">
        <f t="shared" si="3"/>
        <v>7.248438013131504E-3</v>
      </c>
    </row>
    <row r="29" spans="1:18" s="70" customFormat="1">
      <c r="A29" s="156"/>
      <c r="B29" s="55">
        <v>30</v>
      </c>
      <c r="C29" s="116" t="s">
        <v>133</v>
      </c>
      <c r="D29" s="67">
        <v>3</v>
      </c>
      <c r="E29" s="79">
        <v>1</v>
      </c>
      <c r="F29" s="121">
        <f t="shared" si="12"/>
        <v>36</v>
      </c>
      <c r="G29" s="118">
        <f>+References!B29</f>
        <v>324</v>
      </c>
      <c r="H29" s="78">
        <f t="shared" si="20"/>
        <v>11664</v>
      </c>
      <c r="I29" s="54">
        <f t="shared" si="21"/>
        <v>10636.578214044837</v>
      </c>
      <c r="J29" s="128">
        <f>(References!$C$49*I29)</f>
        <v>9.6261032837106093</v>
      </c>
      <c r="K29" s="128">
        <f>J29/References!$G$52</f>
        <v>9.8850927127855925</v>
      </c>
      <c r="L29" s="77">
        <f t="shared" si="22"/>
        <v>0.2745859086884887</v>
      </c>
      <c r="M29" s="113">
        <v>36.619999999999997</v>
      </c>
      <c r="N29" s="149">
        <f t="shared" si="1"/>
        <v>36.89</v>
      </c>
      <c r="O29" s="128">
        <f t="shared" si="23"/>
        <v>1318.32</v>
      </c>
      <c r="P29" s="128">
        <f t="shared" si="14"/>
        <v>1328.04</v>
      </c>
      <c r="Q29" s="128">
        <f t="shared" si="24"/>
        <v>9.7200000000000273</v>
      </c>
      <c r="R29" s="138">
        <f t="shared" si="3"/>
        <v>7.4982498276485177E-3</v>
      </c>
    </row>
    <row r="30" spans="1:18" s="70" customFormat="1">
      <c r="A30" s="156"/>
      <c r="B30" s="55">
        <v>30</v>
      </c>
      <c r="C30" s="116" t="s">
        <v>134</v>
      </c>
      <c r="D30" s="67">
        <v>5</v>
      </c>
      <c r="E30" s="79">
        <f>+E27</f>
        <v>2.1667000000000001</v>
      </c>
      <c r="F30" s="121">
        <f t="shared" si="12"/>
        <v>130</v>
      </c>
      <c r="G30" s="118">
        <f>+G29</f>
        <v>324</v>
      </c>
      <c r="H30" s="78">
        <f t="shared" si="20"/>
        <v>42120</v>
      </c>
      <c r="I30" s="54">
        <f t="shared" si="21"/>
        <v>38409.865772939687</v>
      </c>
      <c r="J30" s="128">
        <f>(References!$C$49*I30)</f>
        <v>34.760928524510533</v>
      </c>
      <c r="K30" s="128">
        <f>J30/References!$G$52</f>
        <v>35.696168129503526</v>
      </c>
      <c r="L30" s="77">
        <f t="shared" si="22"/>
        <v>0.27458590868848864</v>
      </c>
      <c r="M30" s="113">
        <v>36.619999999999997</v>
      </c>
      <c r="N30" s="149">
        <f t="shared" si="1"/>
        <v>36.89</v>
      </c>
      <c r="O30" s="128">
        <f t="shared" si="23"/>
        <v>4760.5999999999995</v>
      </c>
      <c r="P30" s="128">
        <f t="shared" si="14"/>
        <v>4795.7</v>
      </c>
      <c r="Q30" s="128">
        <f t="shared" si="24"/>
        <v>35.100000000000364</v>
      </c>
      <c r="R30" s="138">
        <f t="shared" si="3"/>
        <v>7.4982498276485159E-3</v>
      </c>
    </row>
    <row r="31" spans="1:18" s="70" customFormat="1">
      <c r="A31" s="156"/>
      <c r="B31" s="55">
        <v>30</v>
      </c>
      <c r="C31" s="116" t="s">
        <v>110</v>
      </c>
      <c r="D31" s="67">
        <v>24</v>
      </c>
      <c r="E31" s="79">
        <f>+E28</f>
        <v>4.3330000000000002</v>
      </c>
      <c r="F31" s="121">
        <f t="shared" si="12"/>
        <v>1248</v>
      </c>
      <c r="G31" s="118">
        <f>+G30</f>
        <v>324</v>
      </c>
      <c r="H31" s="78">
        <f t="shared" si="20"/>
        <v>404352</v>
      </c>
      <c r="I31" s="54">
        <f t="shared" si="21"/>
        <v>368734.71142022102</v>
      </c>
      <c r="J31" s="128">
        <f>(References!$C$49*I31)</f>
        <v>333.70491383530111</v>
      </c>
      <c r="K31" s="128">
        <f>J31/References!$G$52</f>
        <v>342.68321404323382</v>
      </c>
      <c r="L31" s="77">
        <f t="shared" si="22"/>
        <v>0.27458590868848864</v>
      </c>
      <c r="M31" s="113">
        <v>36.619999999999997</v>
      </c>
      <c r="N31" s="149">
        <f t="shared" si="1"/>
        <v>36.89</v>
      </c>
      <c r="O31" s="128">
        <f t="shared" si="23"/>
        <v>45701.759999999995</v>
      </c>
      <c r="P31" s="128">
        <f t="shared" si="14"/>
        <v>46038.720000000001</v>
      </c>
      <c r="Q31" s="128">
        <f t="shared" si="24"/>
        <v>336.9600000000064</v>
      </c>
      <c r="R31" s="138">
        <f t="shared" si="3"/>
        <v>7.4982498276485159E-3</v>
      </c>
    </row>
    <row r="32" spans="1:18" s="70" customFormat="1">
      <c r="A32" s="156"/>
      <c r="B32" s="55">
        <v>30</v>
      </c>
      <c r="C32" s="116" t="s">
        <v>111</v>
      </c>
      <c r="D32" s="67">
        <v>4</v>
      </c>
      <c r="E32" s="79">
        <f>+E31</f>
        <v>4.3330000000000002</v>
      </c>
      <c r="F32" s="121">
        <f t="shared" si="12"/>
        <v>208</v>
      </c>
      <c r="G32" s="118">
        <f>+G31</f>
        <v>324</v>
      </c>
      <c r="H32" s="78">
        <f t="shared" si="20"/>
        <v>67392</v>
      </c>
      <c r="I32" s="54">
        <f t="shared" si="21"/>
        <v>61455.785236703501</v>
      </c>
      <c r="J32" s="128">
        <f>(References!$C$49*I32)</f>
        <v>55.617485639216852</v>
      </c>
      <c r="K32" s="128">
        <f>J32/References!$G$52</f>
        <v>57.113869007205643</v>
      </c>
      <c r="L32" s="77">
        <f t="shared" si="22"/>
        <v>0.27458590868848864</v>
      </c>
      <c r="M32" s="113">
        <v>36.619999999999997</v>
      </c>
      <c r="N32" s="149">
        <f t="shared" si="1"/>
        <v>36.89</v>
      </c>
      <c r="O32" s="128">
        <f t="shared" si="23"/>
        <v>7616.9599999999991</v>
      </c>
      <c r="P32" s="128">
        <f t="shared" si="14"/>
        <v>7673.12</v>
      </c>
      <c r="Q32" s="128">
        <f t="shared" si="24"/>
        <v>56.160000000000764</v>
      </c>
      <c r="R32" s="138">
        <f t="shared" si="3"/>
        <v>7.4982498276485159E-3</v>
      </c>
    </row>
    <row r="33" spans="1:18" s="70" customFormat="1">
      <c r="A33" s="156"/>
      <c r="B33" s="55">
        <v>30</v>
      </c>
      <c r="C33" s="116" t="s">
        <v>112</v>
      </c>
      <c r="D33" s="67">
        <v>1</v>
      </c>
      <c r="E33" s="79">
        <f>+E31*2</f>
        <v>8.6660000000000004</v>
      </c>
      <c r="F33" s="121">
        <f t="shared" si="12"/>
        <v>104</v>
      </c>
      <c r="G33" s="118">
        <f>+G32</f>
        <v>324</v>
      </c>
      <c r="H33" s="78">
        <f t="shared" si="20"/>
        <v>33696</v>
      </c>
      <c r="I33" s="54">
        <f t="shared" si="21"/>
        <v>30727.892618351751</v>
      </c>
      <c r="J33" s="128">
        <f>(References!$C$49*I33)</f>
        <v>27.808742819608426</v>
      </c>
      <c r="K33" s="128">
        <f>J33/References!$G$52</f>
        <v>28.556934503602822</v>
      </c>
      <c r="L33" s="77">
        <f t="shared" si="22"/>
        <v>0.27458590868848864</v>
      </c>
      <c r="M33" s="113">
        <v>36.619999999999997</v>
      </c>
      <c r="N33" s="149">
        <f t="shared" si="1"/>
        <v>36.89</v>
      </c>
      <c r="O33" s="128">
        <f t="shared" si="23"/>
        <v>3808.4799999999996</v>
      </c>
      <c r="P33" s="128">
        <f t="shared" si="14"/>
        <v>3836.56</v>
      </c>
      <c r="Q33" s="128">
        <f t="shared" si="24"/>
        <v>28.080000000000382</v>
      </c>
      <c r="R33" s="138">
        <f t="shared" si="3"/>
        <v>7.4982498276485159E-3</v>
      </c>
    </row>
    <row r="34" spans="1:18" s="70" customFormat="1">
      <c r="A34" s="156"/>
      <c r="B34" s="55">
        <v>30</v>
      </c>
      <c r="C34" s="116" t="s">
        <v>135</v>
      </c>
      <c r="D34" s="67">
        <v>6</v>
      </c>
      <c r="E34" s="79">
        <v>1</v>
      </c>
      <c r="F34" s="121">
        <f t="shared" si="12"/>
        <v>72</v>
      </c>
      <c r="G34" s="118">
        <f>+References!B30</f>
        <v>473</v>
      </c>
      <c r="H34" s="78">
        <f t="shared" si="20"/>
        <v>34056</v>
      </c>
      <c r="I34" s="54">
        <f t="shared" si="21"/>
        <v>31056.182069402519</v>
      </c>
      <c r="J34" s="128">
        <f>(References!$C$49*I34)</f>
        <v>28.105844772809373</v>
      </c>
      <c r="K34" s="128">
        <f>J34/References!$G$52</f>
        <v>28.862029957701143</v>
      </c>
      <c r="L34" s="77">
        <f t="shared" si="22"/>
        <v>0.40086152719029366</v>
      </c>
      <c r="M34" s="113">
        <v>52.28</v>
      </c>
      <c r="N34" s="149">
        <f t="shared" si="1"/>
        <v>52.68</v>
      </c>
      <c r="O34" s="128">
        <f t="shared" si="23"/>
        <v>3764.16</v>
      </c>
      <c r="P34" s="128">
        <f t="shared" si="14"/>
        <v>3792.96</v>
      </c>
      <c r="Q34" s="128">
        <f t="shared" si="24"/>
        <v>28.800000000000182</v>
      </c>
      <c r="R34" s="138">
        <f t="shared" si="3"/>
        <v>7.6675885078480045E-3</v>
      </c>
    </row>
    <row r="35" spans="1:18" s="70" customFormat="1">
      <c r="A35" s="156"/>
      <c r="B35" s="55">
        <v>30</v>
      </c>
      <c r="C35" s="116" t="s">
        <v>136</v>
      </c>
      <c r="D35" s="67">
        <v>5</v>
      </c>
      <c r="E35" s="79">
        <f>+E30</f>
        <v>2.1667000000000001</v>
      </c>
      <c r="F35" s="121">
        <f t="shared" si="12"/>
        <v>130</v>
      </c>
      <c r="G35" s="118">
        <f t="shared" ref="G35:G40" si="25">+G34</f>
        <v>473</v>
      </c>
      <c r="H35" s="78">
        <f t="shared" si="20"/>
        <v>61490</v>
      </c>
      <c r="I35" s="54">
        <f t="shared" si="21"/>
        <v>56073.662069754551</v>
      </c>
      <c r="J35" s="128">
        <f>(References!$C$49*I35)</f>
        <v>50.746664173128039</v>
      </c>
      <c r="K35" s="128">
        <f>J35/References!$G$52</f>
        <v>52.111998534738177</v>
      </c>
      <c r="L35" s="77">
        <f t="shared" si="22"/>
        <v>0.40086152719029366</v>
      </c>
      <c r="M35" s="113">
        <v>52.28</v>
      </c>
      <c r="N35" s="149">
        <f t="shared" si="1"/>
        <v>52.68</v>
      </c>
      <c r="O35" s="128">
        <f t="shared" si="23"/>
        <v>6796.4000000000005</v>
      </c>
      <c r="P35" s="128">
        <f t="shared" si="14"/>
        <v>6848.4</v>
      </c>
      <c r="Q35" s="128">
        <f t="shared" si="24"/>
        <v>51.999999999999091</v>
      </c>
      <c r="R35" s="138">
        <f t="shared" si="3"/>
        <v>7.6675885078480045E-3</v>
      </c>
    </row>
    <row r="36" spans="1:18" s="70" customFormat="1">
      <c r="A36" s="156"/>
      <c r="B36" s="55">
        <v>30</v>
      </c>
      <c r="C36" s="116" t="s">
        <v>113</v>
      </c>
      <c r="D36" s="67">
        <v>21</v>
      </c>
      <c r="E36" s="79">
        <f>+E32</f>
        <v>4.3330000000000002</v>
      </c>
      <c r="F36" s="121">
        <f t="shared" si="12"/>
        <v>1092</v>
      </c>
      <c r="G36" s="118">
        <f t="shared" si="25"/>
        <v>473</v>
      </c>
      <c r="H36" s="78">
        <f t="shared" si="20"/>
        <v>516516</v>
      </c>
      <c r="I36" s="54">
        <f t="shared" si="21"/>
        <v>471018.76138593821</v>
      </c>
      <c r="J36" s="128">
        <f>(References!$C$49*I36)</f>
        <v>426.2719790542755</v>
      </c>
      <c r="K36" s="128">
        <f>J36/References!$G$52</f>
        <v>437.74078769180068</v>
      </c>
      <c r="L36" s="77">
        <f t="shared" si="22"/>
        <v>0.40086152719029366</v>
      </c>
      <c r="M36" s="113">
        <v>52.28</v>
      </c>
      <c r="N36" s="149">
        <f t="shared" si="1"/>
        <v>52.68</v>
      </c>
      <c r="O36" s="128">
        <f t="shared" si="23"/>
        <v>57089.760000000002</v>
      </c>
      <c r="P36" s="128">
        <f t="shared" si="14"/>
        <v>57526.559999999998</v>
      </c>
      <c r="Q36" s="128">
        <f t="shared" si="24"/>
        <v>436.79999999999563</v>
      </c>
      <c r="R36" s="138">
        <f t="shared" si="3"/>
        <v>7.6675885078480045E-3</v>
      </c>
    </row>
    <row r="37" spans="1:18" s="70" customFormat="1">
      <c r="A37" s="156"/>
      <c r="B37" s="55">
        <v>30</v>
      </c>
      <c r="C37" s="116" t="s">
        <v>114</v>
      </c>
      <c r="D37" s="67">
        <v>4</v>
      </c>
      <c r="E37" s="79">
        <f>+E36</f>
        <v>4.3330000000000002</v>
      </c>
      <c r="F37" s="121">
        <f t="shared" si="12"/>
        <v>208</v>
      </c>
      <c r="G37" s="118">
        <f t="shared" si="25"/>
        <v>473</v>
      </c>
      <c r="H37" s="78">
        <f t="shared" si="20"/>
        <v>98384</v>
      </c>
      <c r="I37" s="54">
        <f t="shared" si="21"/>
        <v>89717.859311607273</v>
      </c>
      <c r="J37" s="128">
        <f>(References!$C$49*I37)</f>
        <v>81.194662677004857</v>
      </c>
      <c r="K37" s="128">
        <f>J37/References!$G$52</f>
        <v>83.379197655581081</v>
      </c>
      <c r="L37" s="77">
        <f t="shared" si="22"/>
        <v>0.40086152719029366</v>
      </c>
      <c r="M37" s="113">
        <v>52.28</v>
      </c>
      <c r="N37" s="149">
        <f t="shared" si="1"/>
        <v>52.68</v>
      </c>
      <c r="O37" s="128">
        <f t="shared" si="23"/>
        <v>10874.24</v>
      </c>
      <c r="P37" s="128">
        <f t="shared" si="14"/>
        <v>10957.44</v>
      </c>
      <c r="Q37" s="128">
        <f t="shared" si="24"/>
        <v>83.200000000000728</v>
      </c>
      <c r="R37" s="138">
        <f t="shared" si="3"/>
        <v>7.6675885078480045E-3</v>
      </c>
    </row>
    <row r="38" spans="1:18" s="70" customFormat="1">
      <c r="A38" s="156"/>
      <c r="B38" s="55">
        <v>30</v>
      </c>
      <c r="C38" s="117" t="s">
        <v>115</v>
      </c>
      <c r="D38" s="67">
        <v>6</v>
      </c>
      <c r="E38" s="79">
        <f>+E37</f>
        <v>4.3330000000000002</v>
      </c>
      <c r="F38" s="121">
        <f t="shared" si="12"/>
        <v>312</v>
      </c>
      <c r="G38" s="118">
        <f t="shared" si="25"/>
        <v>473</v>
      </c>
      <c r="H38" s="78">
        <f t="shared" si="20"/>
        <v>147576</v>
      </c>
      <c r="I38" s="54">
        <f t="shared" si="21"/>
        <v>134576.78896741092</v>
      </c>
      <c r="J38" s="128">
        <f>(References!$C$49*I38)</f>
        <v>121.79199401550729</v>
      </c>
      <c r="K38" s="128">
        <f>J38/References!$G$52</f>
        <v>125.06879648337163</v>
      </c>
      <c r="L38" s="77">
        <f t="shared" si="22"/>
        <v>0.40086152719029366</v>
      </c>
      <c r="M38" s="113">
        <v>52.28</v>
      </c>
      <c r="N38" s="149">
        <f t="shared" si="1"/>
        <v>52.68</v>
      </c>
      <c r="O38" s="128">
        <f t="shared" si="23"/>
        <v>16311.36</v>
      </c>
      <c r="P38" s="128">
        <f t="shared" si="14"/>
        <v>16436.16</v>
      </c>
      <c r="Q38" s="128">
        <f t="shared" si="24"/>
        <v>124.79999999999927</v>
      </c>
      <c r="R38" s="138">
        <f t="shared" si="3"/>
        <v>7.6675885078480045E-3</v>
      </c>
    </row>
    <row r="39" spans="1:18" s="70" customFormat="1">
      <c r="A39" s="156"/>
      <c r="B39" s="55">
        <v>30</v>
      </c>
      <c r="C39" s="117" t="s">
        <v>116</v>
      </c>
      <c r="D39" s="67">
        <v>5</v>
      </c>
      <c r="E39" s="79">
        <f>+E38</f>
        <v>4.3330000000000002</v>
      </c>
      <c r="F39" s="121">
        <f t="shared" si="12"/>
        <v>260</v>
      </c>
      <c r="G39" s="118">
        <f t="shared" si="25"/>
        <v>473</v>
      </c>
      <c r="H39" s="78">
        <f t="shared" si="20"/>
        <v>122980</v>
      </c>
      <c r="I39" s="54">
        <f t="shared" si="21"/>
        <v>112147.3241395091</v>
      </c>
      <c r="J39" s="128">
        <f>(References!$C$49*I39)</f>
        <v>101.49332834625608</v>
      </c>
      <c r="K39" s="128">
        <f>J39/References!$G$52</f>
        <v>104.22399706947635</v>
      </c>
      <c r="L39" s="77">
        <f t="shared" si="22"/>
        <v>0.40086152719029366</v>
      </c>
      <c r="M39" s="113">
        <v>52.28</v>
      </c>
      <c r="N39" s="149">
        <f t="shared" si="1"/>
        <v>52.68</v>
      </c>
      <c r="O39" s="128">
        <f t="shared" si="23"/>
        <v>13592.800000000001</v>
      </c>
      <c r="P39" s="128">
        <f t="shared" si="14"/>
        <v>13696.8</v>
      </c>
      <c r="Q39" s="128">
        <f t="shared" si="24"/>
        <v>103.99999999999818</v>
      </c>
      <c r="R39" s="138">
        <f t="shared" si="3"/>
        <v>7.6675885078480045E-3</v>
      </c>
    </row>
    <row r="40" spans="1:18" s="70" customFormat="1">
      <c r="A40" s="156"/>
      <c r="B40" s="55">
        <v>30</v>
      </c>
      <c r="C40" s="117" t="s">
        <v>137</v>
      </c>
      <c r="D40" s="67">
        <v>6</v>
      </c>
      <c r="E40" s="79">
        <f>+E39</f>
        <v>4.3330000000000002</v>
      </c>
      <c r="F40" s="121">
        <f t="shared" si="12"/>
        <v>312</v>
      </c>
      <c r="G40" s="118">
        <f t="shared" si="25"/>
        <v>473</v>
      </c>
      <c r="H40" s="78">
        <f t="shared" si="20"/>
        <v>147576</v>
      </c>
      <c r="I40" s="54">
        <f t="shared" si="21"/>
        <v>134576.78896741092</v>
      </c>
      <c r="J40" s="128">
        <f>(References!$C$49*I40)</f>
        <v>121.79199401550729</v>
      </c>
      <c r="K40" s="128">
        <f>J40/References!$G$52</f>
        <v>125.06879648337163</v>
      </c>
      <c r="L40" s="77">
        <f t="shared" si="22"/>
        <v>0.40086152719029366</v>
      </c>
      <c r="M40" s="113">
        <v>52.28</v>
      </c>
      <c r="N40" s="149">
        <f t="shared" si="1"/>
        <v>52.68</v>
      </c>
      <c r="O40" s="128">
        <f t="shared" si="23"/>
        <v>16311.36</v>
      </c>
      <c r="P40" s="128">
        <f t="shared" si="14"/>
        <v>16436.16</v>
      </c>
      <c r="Q40" s="128">
        <f t="shared" si="24"/>
        <v>124.79999999999927</v>
      </c>
      <c r="R40" s="138">
        <f t="shared" si="3"/>
        <v>7.6675885078480045E-3</v>
      </c>
    </row>
    <row r="41" spans="1:18" s="70" customFormat="1">
      <c r="A41" s="156"/>
      <c r="B41" s="55">
        <v>30</v>
      </c>
      <c r="C41" s="116" t="s">
        <v>138</v>
      </c>
      <c r="D41" s="67">
        <v>1</v>
      </c>
      <c r="E41" s="79">
        <v>1</v>
      </c>
      <c r="F41" s="121">
        <f t="shared" si="12"/>
        <v>12</v>
      </c>
      <c r="G41" s="118">
        <f>+References!B31</f>
        <v>613</v>
      </c>
      <c r="H41" s="78">
        <f t="shared" si="20"/>
        <v>7356</v>
      </c>
      <c r="I41" s="54">
        <f t="shared" si="21"/>
        <v>6708.047783137331</v>
      </c>
      <c r="J41" s="128">
        <f>(References!$C$49*I41)</f>
        <v>6.0707832437393048</v>
      </c>
      <c r="K41" s="128">
        <f>J41/References!$G$52</f>
        <v>6.2341171120756877</v>
      </c>
      <c r="L41" s="77">
        <f t="shared" si="22"/>
        <v>0.51950975933964061</v>
      </c>
      <c r="M41" s="113">
        <v>65.78</v>
      </c>
      <c r="N41" s="149">
        <f t="shared" si="1"/>
        <v>66.3</v>
      </c>
      <c r="O41" s="128">
        <f t="shared" si="23"/>
        <v>789.36</v>
      </c>
      <c r="P41" s="128">
        <f t="shared" si="14"/>
        <v>795.59999999999991</v>
      </c>
      <c r="Q41" s="128">
        <f t="shared" si="24"/>
        <v>6.2399999999998954</v>
      </c>
      <c r="R41" s="138">
        <f t="shared" si="3"/>
        <v>7.8976856086901883E-3</v>
      </c>
    </row>
    <row r="42" spans="1:18" s="70" customFormat="1">
      <c r="A42" s="156"/>
      <c r="B42" s="55">
        <v>30</v>
      </c>
      <c r="C42" s="116" t="s">
        <v>139</v>
      </c>
      <c r="D42" s="67">
        <v>5</v>
      </c>
      <c r="E42" s="79">
        <f>+E35</f>
        <v>2.1667000000000001</v>
      </c>
      <c r="F42" s="121">
        <f t="shared" si="12"/>
        <v>130</v>
      </c>
      <c r="G42" s="118">
        <f>+G41</f>
        <v>613</v>
      </c>
      <c r="H42" s="78">
        <f t="shared" si="20"/>
        <v>79690</v>
      </c>
      <c r="I42" s="54">
        <f t="shared" si="21"/>
        <v>72670.517650654408</v>
      </c>
      <c r="J42" s="128">
        <f>(References!$C$49*I42)</f>
        <v>65.766818473842463</v>
      </c>
      <c r="K42" s="128">
        <f>J42/References!$G$52</f>
        <v>67.53626871415328</v>
      </c>
      <c r="L42" s="77">
        <f t="shared" si="22"/>
        <v>0.51950975933964061</v>
      </c>
      <c r="M42" s="113">
        <v>65.78</v>
      </c>
      <c r="N42" s="149">
        <f t="shared" si="1"/>
        <v>66.3</v>
      </c>
      <c r="O42" s="128">
        <f t="shared" si="23"/>
        <v>8551.4</v>
      </c>
      <c r="P42" s="128">
        <f t="shared" si="14"/>
        <v>8619</v>
      </c>
      <c r="Q42" s="128">
        <f t="shared" si="24"/>
        <v>67.600000000000364</v>
      </c>
      <c r="R42" s="138">
        <f t="shared" si="3"/>
        <v>7.8976856086901883E-3</v>
      </c>
    </row>
    <row r="43" spans="1:18" s="70" customFormat="1">
      <c r="A43" s="156"/>
      <c r="B43" s="55">
        <v>30</v>
      </c>
      <c r="C43" s="116" t="s">
        <v>117</v>
      </c>
      <c r="D43" s="67">
        <v>21</v>
      </c>
      <c r="E43" s="79">
        <f>+E40</f>
        <v>4.3330000000000002</v>
      </c>
      <c r="F43" s="121">
        <f t="shared" si="12"/>
        <v>1092</v>
      </c>
      <c r="G43" s="118">
        <f>+G42</f>
        <v>613</v>
      </c>
      <c r="H43" s="78">
        <f t="shared" si="20"/>
        <v>669396</v>
      </c>
      <c r="I43" s="54">
        <f t="shared" si="21"/>
        <v>610432.34826549713</v>
      </c>
      <c r="J43" s="128">
        <f>(References!$C$49*I43)</f>
        <v>552.44127518027676</v>
      </c>
      <c r="K43" s="128">
        <f>J43/References!$G$52</f>
        <v>567.30465719888764</v>
      </c>
      <c r="L43" s="77">
        <f t="shared" si="22"/>
        <v>0.51950975933964072</v>
      </c>
      <c r="M43" s="113">
        <v>65.78</v>
      </c>
      <c r="N43" s="149">
        <f t="shared" si="1"/>
        <v>66.3</v>
      </c>
      <c r="O43" s="128">
        <f t="shared" si="23"/>
        <v>71831.759999999995</v>
      </c>
      <c r="P43" s="128">
        <f t="shared" si="14"/>
        <v>72399.599999999991</v>
      </c>
      <c r="Q43" s="128">
        <f t="shared" si="24"/>
        <v>567.83999999999651</v>
      </c>
      <c r="R43" s="138">
        <f t="shared" si="3"/>
        <v>7.89768560869019E-3</v>
      </c>
    </row>
    <row r="44" spans="1:18" s="70" customFormat="1">
      <c r="A44" s="156"/>
      <c r="B44" s="55">
        <v>30</v>
      </c>
      <c r="C44" s="116" t="s">
        <v>118</v>
      </c>
      <c r="D44" s="67">
        <v>4</v>
      </c>
      <c r="E44" s="79">
        <f>+E43</f>
        <v>4.3330000000000002</v>
      </c>
      <c r="F44" s="121">
        <f t="shared" si="12"/>
        <v>208</v>
      </c>
      <c r="G44" s="118">
        <f>+G43</f>
        <v>613</v>
      </c>
      <c r="H44" s="78">
        <f t="shared" si="20"/>
        <v>127504</v>
      </c>
      <c r="I44" s="54">
        <f t="shared" si="21"/>
        <v>116272.82824104706</v>
      </c>
      <c r="J44" s="128">
        <f>(References!$C$49*I44)</f>
        <v>105.22690955814794</v>
      </c>
      <c r="K44" s="128">
        <f>J44/References!$G$52</f>
        <v>108.05802994264525</v>
      </c>
      <c r="L44" s="77">
        <f t="shared" si="22"/>
        <v>0.51950975933964061</v>
      </c>
      <c r="M44" s="113">
        <v>65.78</v>
      </c>
      <c r="N44" s="149">
        <f t="shared" si="1"/>
        <v>66.3</v>
      </c>
      <c r="O44" s="128">
        <f t="shared" si="23"/>
        <v>13682.24</v>
      </c>
      <c r="P44" s="128">
        <f t="shared" si="14"/>
        <v>13790.4</v>
      </c>
      <c r="Q44" s="128">
        <f t="shared" si="24"/>
        <v>108.15999999999985</v>
      </c>
      <c r="R44" s="138">
        <f t="shared" si="3"/>
        <v>7.8976856086901883E-3</v>
      </c>
    </row>
    <row r="45" spans="1:18" s="70" customFormat="1">
      <c r="A45" s="156"/>
      <c r="B45" s="55">
        <v>30</v>
      </c>
      <c r="C45" s="116" t="s">
        <v>140</v>
      </c>
      <c r="D45" s="67">
        <v>4</v>
      </c>
      <c r="E45" s="79">
        <f>+E44*2</f>
        <v>8.6660000000000004</v>
      </c>
      <c r="F45" s="121">
        <f t="shared" si="12"/>
        <v>416</v>
      </c>
      <c r="G45" s="118">
        <f>+G44</f>
        <v>613</v>
      </c>
      <c r="H45" s="78">
        <f t="shared" si="20"/>
        <v>255008</v>
      </c>
      <c r="I45" s="54">
        <f t="shared" si="21"/>
        <v>232545.65648209411</v>
      </c>
      <c r="J45" s="128">
        <f>(References!$C$49*I45)</f>
        <v>210.45381911629588</v>
      </c>
      <c r="K45" s="128">
        <f>J45/References!$G$52</f>
        <v>216.1160598852905</v>
      </c>
      <c r="L45" s="77">
        <f t="shared" si="22"/>
        <v>0.51950975933964061</v>
      </c>
      <c r="M45" s="113">
        <v>65.78</v>
      </c>
      <c r="N45" s="149">
        <f t="shared" si="1"/>
        <v>66.3</v>
      </c>
      <c r="O45" s="128">
        <f t="shared" si="23"/>
        <v>27364.48</v>
      </c>
      <c r="P45" s="128">
        <f t="shared" si="14"/>
        <v>27580.799999999999</v>
      </c>
      <c r="Q45" s="128">
        <f t="shared" si="24"/>
        <v>216.31999999999971</v>
      </c>
      <c r="R45" s="138">
        <f t="shared" si="3"/>
        <v>7.8976856086901883E-3</v>
      </c>
    </row>
    <row r="46" spans="1:18" s="70" customFormat="1">
      <c r="A46" s="156"/>
      <c r="B46" s="55">
        <v>30</v>
      </c>
      <c r="C46" s="116" t="s">
        <v>119</v>
      </c>
      <c r="D46" s="67">
        <v>13</v>
      </c>
      <c r="E46" s="79">
        <f>+E44</f>
        <v>4.3330000000000002</v>
      </c>
      <c r="F46" s="121">
        <f t="shared" si="12"/>
        <v>676</v>
      </c>
      <c r="G46" s="118">
        <f>+References!B32</f>
        <v>840</v>
      </c>
      <c r="H46" s="78">
        <f t="shared" si="20"/>
        <v>567840</v>
      </c>
      <c r="I46" s="54">
        <f t="shared" si="21"/>
        <v>517821.89412407583</v>
      </c>
      <c r="J46" s="128">
        <f>(References!$C$49*I46)</f>
        <v>468.62881418229017</v>
      </c>
      <c r="K46" s="128">
        <f>J46/References!$G$52</f>
        <v>481.23722959775125</v>
      </c>
      <c r="L46" s="77">
        <f t="shared" si="22"/>
        <v>0.71188939289608177</v>
      </c>
      <c r="M46" s="113">
        <v>92.2</v>
      </c>
      <c r="N46" s="149">
        <f t="shared" si="1"/>
        <v>92.91</v>
      </c>
      <c r="O46" s="128">
        <f t="shared" si="23"/>
        <v>62327.200000000004</v>
      </c>
      <c r="P46" s="128">
        <f t="shared" si="14"/>
        <v>62807.159999999996</v>
      </c>
      <c r="Q46" s="128">
        <f t="shared" si="24"/>
        <v>479.95999999999185</v>
      </c>
      <c r="R46" s="138">
        <f t="shared" si="3"/>
        <v>7.7211430899791949E-3</v>
      </c>
    </row>
    <row r="47" spans="1:18" s="70" customFormat="1">
      <c r="A47" s="156"/>
      <c r="B47" s="55">
        <v>30</v>
      </c>
      <c r="C47" s="116" t="s">
        <v>141</v>
      </c>
      <c r="D47" s="67">
        <v>2</v>
      </c>
      <c r="E47" s="79">
        <f>+E45</f>
        <v>8.6660000000000004</v>
      </c>
      <c r="F47" s="121">
        <f t="shared" si="12"/>
        <v>208</v>
      </c>
      <c r="G47" s="118">
        <f>+G46</f>
        <v>840</v>
      </c>
      <c r="H47" s="78">
        <f t="shared" si="20"/>
        <v>174720</v>
      </c>
      <c r="I47" s="54">
        <f t="shared" si="21"/>
        <v>159329.81357663873</v>
      </c>
      <c r="J47" s="128">
        <f>(References!$C$49*I47)</f>
        <v>144.19348128685854</v>
      </c>
      <c r="K47" s="128">
        <f>J47/References!$G$52</f>
        <v>148.07299372238504</v>
      </c>
      <c r="L47" s="77">
        <f t="shared" si="22"/>
        <v>0.71188939289608189</v>
      </c>
      <c r="M47" s="113">
        <v>92.2</v>
      </c>
      <c r="N47" s="149">
        <f t="shared" si="1"/>
        <v>92.91</v>
      </c>
      <c r="O47" s="128">
        <f t="shared" si="23"/>
        <v>19177.600000000002</v>
      </c>
      <c r="P47" s="128">
        <f t="shared" si="14"/>
        <v>19325.28</v>
      </c>
      <c r="Q47" s="128">
        <f t="shared" si="24"/>
        <v>147.67999999999665</v>
      </c>
      <c r="R47" s="138">
        <f t="shared" si="3"/>
        <v>7.7211430899791957E-3</v>
      </c>
    </row>
    <row r="48" spans="1:18" s="70" customFormat="1">
      <c r="A48" s="156"/>
      <c r="B48" s="55">
        <v>30</v>
      </c>
      <c r="C48" s="116" t="s">
        <v>120</v>
      </c>
      <c r="D48" s="67">
        <v>14</v>
      </c>
      <c r="E48" s="79">
        <f>+E46</f>
        <v>4.3330000000000002</v>
      </c>
      <c r="F48" s="121">
        <f t="shared" si="12"/>
        <v>728</v>
      </c>
      <c r="G48" s="118">
        <f>+G47</f>
        <v>840</v>
      </c>
      <c r="H48" s="78">
        <f t="shared" si="20"/>
        <v>611520</v>
      </c>
      <c r="I48" s="54">
        <f t="shared" si="21"/>
        <v>557654.34751823556</v>
      </c>
      <c r="J48" s="128">
        <f>(References!$C$49*I48)</f>
        <v>504.67718450400486</v>
      </c>
      <c r="K48" s="128">
        <f>J48/References!$G$52</f>
        <v>518.25547802834751</v>
      </c>
      <c r="L48" s="77">
        <f t="shared" si="22"/>
        <v>0.71188939289608177</v>
      </c>
      <c r="M48" s="113">
        <v>92.2</v>
      </c>
      <c r="N48" s="149">
        <f t="shared" si="1"/>
        <v>92.91</v>
      </c>
      <c r="O48" s="128">
        <f t="shared" si="23"/>
        <v>67121.600000000006</v>
      </c>
      <c r="P48" s="128">
        <f t="shared" si="14"/>
        <v>67638.48</v>
      </c>
      <c r="Q48" s="128">
        <f t="shared" si="24"/>
        <v>516.8799999999901</v>
      </c>
      <c r="R48" s="138">
        <f t="shared" si="3"/>
        <v>7.7211430899791949E-3</v>
      </c>
    </row>
    <row r="49" spans="1:20" s="70" customFormat="1">
      <c r="A49" s="156"/>
      <c r="B49" s="55">
        <v>30</v>
      </c>
      <c r="C49" s="117" t="s">
        <v>121</v>
      </c>
      <c r="D49" s="67">
        <v>3</v>
      </c>
      <c r="E49" s="79">
        <f>+E48</f>
        <v>4.3330000000000002</v>
      </c>
      <c r="F49" s="121">
        <f t="shared" si="12"/>
        <v>156</v>
      </c>
      <c r="G49" s="118">
        <f>+G48</f>
        <v>840</v>
      </c>
      <c r="H49" s="78">
        <f t="shared" si="20"/>
        <v>131040</v>
      </c>
      <c r="I49" s="54">
        <f t="shared" si="21"/>
        <v>119497.36018247904</v>
      </c>
      <c r="J49" s="128">
        <f>(References!$C$49*I49)</f>
        <v>108.14511096514389</v>
      </c>
      <c r="K49" s="128">
        <f>J49/References!$G$52</f>
        <v>111.05474529178875</v>
      </c>
      <c r="L49" s="77">
        <f t="shared" si="22"/>
        <v>0.71188939289608177</v>
      </c>
      <c r="M49" s="113">
        <v>92.2</v>
      </c>
      <c r="N49" s="149">
        <f t="shared" si="1"/>
        <v>92.91</v>
      </c>
      <c r="O49" s="128">
        <f t="shared" si="23"/>
        <v>14383.2</v>
      </c>
      <c r="P49" s="128">
        <f t="shared" si="14"/>
        <v>14493.96</v>
      </c>
      <c r="Q49" s="128">
        <f t="shared" si="24"/>
        <v>110.7599999999984</v>
      </c>
      <c r="R49" s="138">
        <f t="shared" si="3"/>
        <v>7.7211430899791949E-3</v>
      </c>
    </row>
    <row r="50" spans="1:20" s="70" customFormat="1">
      <c r="A50" s="156"/>
      <c r="B50" s="55">
        <v>30</v>
      </c>
      <c r="C50" s="116" t="s">
        <v>142</v>
      </c>
      <c r="D50" s="67">
        <v>2</v>
      </c>
      <c r="E50" s="79">
        <v>1</v>
      </c>
      <c r="F50" s="121">
        <f t="shared" si="12"/>
        <v>24</v>
      </c>
      <c r="G50" s="118">
        <f>+References!B33</f>
        <v>980</v>
      </c>
      <c r="H50" s="78">
        <f t="shared" si="20"/>
        <v>23520</v>
      </c>
      <c r="I50" s="54">
        <f t="shared" si="21"/>
        <v>21448.244135316749</v>
      </c>
      <c r="J50" s="128">
        <f>(References!$C$49*I50)</f>
        <v>19.410660942461721</v>
      </c>
      <c r="K50" s="128">
        <f>J50/References!$G$52</f>
        <v>19.932903001090288</v>
      </c>
      <c r="L50" s="77">
        <f t="shared" si="22"/>
        <v>0.83053762504542872</v>
      </c>
      <c r="M50" s="113">
        <v>114.77</v>
      </c>
      <c r="N50" s="149">
        <f t="shared" si="1"/>
        <v>115.6</v>
      </c>
      <c r="O50" s="128">
        <f t="shared" si="23"/>
        <v>2754.48</v>
      </c>
      <c r="P50" s="128">
        <f t="shared" si="14"/>
        <v>2774.3999999999996</v>
      </c>
      <c r="Q50" s="128">
        <f t="shared" si="24"/>
        <v>19.919999999999618</v>
      </c>
      <c r="R50" s="138">
        <f t="shared" si="3"/>
        <v>7.2365393835098785E-3</v>
      </c>
    </row>
    <row r="51" spans="1:20" s="70" customFormat="1">
      <c r="A51" s="156"/>
      <c r="B51" s="55">
        <v>30</v>
      </c>
      <c r="C51" s="116" t="s">
        <v>143</v>
      </c>
      <c r="D51" s="67">
        <v>2</v>
      </c>
      <c r="E51" s="79">
        <f>+E42</f>
        <v>2.1667000000000001</v>
      </c>
      <c r="F51" s="121">
        <f t="shared" si="12"/>
        <v>52</v>
      </c>
      <c r="G51" s="118">
        <f>+G50</f>
        <v>980</v>
      </c>
      <c r="H51" s="78">
        <f t="shared" si="20"/>
        <v>50960</v>
      </c>
      <c r="I51" s="54">
        <f t="shared" si="21"/>
        <v>46471.195626519628</v>
      </c>
      <c r="J51" s="128">
        <f>(References!$C$49*I51)</f>
        <v>42.056432042000402</v>
      </c>
      <c r="K51" s="128">
        <f>J51/References!$G$52</f>
        <v>43.187956502362297</v>
      </c>
      <c r="L51" s="77">
        <f t="shared" si="22"/>
        <v>0.83053762504542883</v>
      </c>
      <c r="M51" s="113">
        <v>114.77</v>
      </c>
      <c r="N51" s="149">
        <f t="shared" si="1"/>
        <v>115.6</v>
      </c>
      <c r="O51" s="128">
        <f t="shared" si="23"/>
        <v>5968.04</v>
      </c>
      <c r="P51" s="128">
        <f t="shared" si="14"/>
        <v>6011.2</v>
      </c>
      <c r="Q51" s="128">
        <f t="shared" si="24"/>
        <v>43.159999999999854</v>
      </c>
      <c r="R51" s="138">
        <f t="shared" si="3"/>
        <v>7.2365393835098794E-3</v>
      </c>
    </row>
    <row r="52" spans="1:20" s="70" customFormat="1">
      <c r="A52" s="156"/>
      <c r="B52" s="55">
        <v>30</v>
      </c>
      <c r="C52" s="116" t="s">
        <v>122</v>
      </c>
      <c r="D52" s="67">
        <v>4</v>
      </c>
      <c r="E52" s="79">
        <f>+E49</f>
        <v>4.3330000000000002</v>
      </c>
      <c r="F52" s="121">
        <f t="shared" si="12"/>
        <v>208</v>
      </c>
      <c r="G52" s="118">
        <f>+G51</f>
        <v>980</v>
      </c>
      <c r="H52" s="78">
        <f t="shared" si="20"/>
        <v>203840</v>
      </c>
      <c r="I52" s="54">
        <f t="shared" si="21"/>
        <v>185884.78250607851</v>
      </c>
      <c r="J52" s="128">
        <f>(References!$C$49*I52)</f>
        <v>168.22572816800161</v>
      </c>
      <c r="K52" s="128">
        <f>J52/References!$G$52</f>
        <v>172.75182600944919</v>
      </c>
      <c r="L52" s="77">
        <f t="shared" si="22"/>
        <v>0.83053762504542883</v>
      </c>
      <c r="M52" s="113">
        <v>114.77</v>
      </c>
      <c r="N52" s="149">
        <f t="shared" si="1"/>
        <v>115.6</v>
      </c>
      <c r="O52" s="128">
        <f t="shared" si="23"/>
        <v>23872.16</v>
      </c>
      <c r="P52" s="128">
        <f t="shared" si="14"/>
        <v>24044.799999999999</v>
      </c>
      <c r="Q52" s="128">
        <f t="shared" si="24"/>
        <v>172.63999999999942</v>
      </c>
      <c r="R52" s="138">
        <f t="shared" si="3"/>
        <v>7.2365393835098794E-3</v>
      </c>
    </row>
    <row r="53" spans="1:20" s="70" customFormat="1">
      <c r="A53" s="156"/>
      <c r="B53" s="55">
        <v>30</v>
      </c>
      <c r="C53" s="116" t="s">
        <v>123</v>
      </c>
      <c r="D53" s="67">
        <v>2</v>
      </c>
      <c r="E53" s="79">
        <f>+E47</f>
        <v>8.6660000000000004</v>
      </c>
      <c r="F53" s="121">
        <f t="shared" si="12"/>
        <v>208</v>
      </c>
      <c r="G53" s="118">
        <f>+G52</f>
        <v>980</v>
      </c>
      <c r="H53" s="78">
        <f t="shared" si="20"/>
        <v>203840</v>
      </c>
      <c r="I53" s="54">
        <f t="shared" si="21"/>
        <v>185884.78250607851</v>
      </c>
      <c r="J53" s="128">
        <f>(References!$C$49*I53)</f>
        <v>168.22572816800161</v>
      </c>
      <c r="K53" s="128">
        <f>J53/References!$G$52</f>
        <v>172.75182600944919</v>
      </c>
      <c r="L53" s="77">
        <f t="shared" si="22"/>
        <v>0.83053762504542883</v>
      </c>
      <c r="M53" s="113">
        <v>114.77</v>
      </c>
      <c r="N53" s="149">
        <f t="shared" si="1"/>
        <v>115.6</v>
      </c>
      <c r="O53" s="128">
        <f t="shared" si="23"/>
        <v>23872.16</v>
      </c>
      <c r="P53" s="128">
        <f t="shared" si="14"/>
        <v>24044.799999999999</v>
      </c>
      <c r="Q53" s="128">
        <f t="shared" si="24"/>
        <v>172.63999999999942</v>
      </c>
      <c r="R53" s="138">
        <f t="shared" si="3"/>
        <v>7.2365393835098794E-3</v>
      </c>
    </row>
    <row r="54" spans="1:20" s="70" customFormat="1">
      <c r="A54" s="156"/>
      <c r="B54" s="55">
        <v>24</v>
      </c>
      <c r="C54" s="116" t="s">
        <v>124</v>
      </c>
      <c r="D54" s="67">
        <v>9</v>
      </c>
      <c r="E54" s="79">
        <v>1</v>
      </c>
      <c r="F54" s="121">
        <f t="shared" si="12"/>
        <v>108</v>
      </c>
      <c r="G54" s="118">
        <f>+References!B42</f>
        <v>125</v>
      </c>
      <c r="H54" s="78">
        <f t="shared" si="20"/>
        <v>13500</v>
      </c>
      <c r="I54" s="54">
        <f t="shared" si="21"/>
        <v>12310.854414403748</v>
      </c>
      <c r="J54" s="128">
        <f>(References!$C$49*I54)</f>
        <v>11.141323245035428</v>
      </c>
      <c r="K54" s="128">
        <f>J54/References!$G$52</f>
        <v>11.441079528687029</v>
      </c>
      <c r="L54" s="77">
        <f t="shared" si="22"/>
        <v>0.10593592156191693</v>
      </c>
      <c r="M54" s="113">
        <v>22.49</v>
      </c>
      <c r="N54" s="149">
        <f t="shared" si="1"/>
        <v>22.6</v>
      </c>
      <c r="O54" s="128">
        <f t="shared" si="23"/>
        <v>2428.9199999999996</v>
      </c>
      <c r="P54" s="128">
        <f t="shared" si="14"/>
        <v>2440.8000000000002</v>
      </c>
      <c r="Q54" s="128">
        <f t="shared" si="24"/>
        <v>11.880000000000564</v>
      </c>
      <c r="R54" s="138">
        <f t="shared" si="3"/>
        <v>4.7103566723840345E-3</v>
      </c>
    </row>
    <row r="55" spans="1:20" s="70" customFormat="1">
      <c r="A55" s="58"/>
      <c r="B55" s="56"/>
      <c r="C55" s="60" t="s">
        <v>15</v>
      </c>
      <c r="D55" s="61">
        <f>SUM(D18:D54)</f>
        <v>321</v>
      </c>
      <c r="E55" s="61"/>
      <c r="F55" s="61">
        <f>SUM(F18:F54)</f>
        <v>15062</v>
      </c>
      <c r="G55" s="61"/>
      <c r="H55" s="61">
        <f>SUM(H18:H54)</f>
        <v>5908350</v>
      </c>
      <c r="I55" s="65">
        <f>SUM(I18:I54)</f>
        <v>5387913.8280994343</v>
      </c>
      <c r="J55" s="129">
        <f>SUM(J18:J54)</f>
        <v>4876.0620144300046</v>
      </c>
      <c r="K55" s="129">
        <f>SUM(K18:K54)</f>
        <v>5007.2520172828144</v>
      </c>
      <c r="L55" s="83"/>
      <c r="M55" s="83"/>
      <c r="N55" s="83"/>
      <c r="O55" s="129">
        <f>SUM(O18:O54)</f>
        <v>679836.32000000007</v>
      </c>
      <c r="P55" s="83">
        <f>SUM(P18:P54)</f>
        <v>684812.77999999991</v>
      </c>
      <c r="Q55" s="129">
        <f>SUM(Q18:Q54)</f>
        <v>4976.4599999999737</v>
      </c>
      <c r="R55" s="139">
        <f>+K55/O55</f>
        <v>7.3653787977712255E-3</v>
      </c>
      <c r="T55" s="150">
        <f>+I55/2000</f>
        <v>2693.9569140497169</v>
      </c>
    </row>
    <row r="56" spans="1:20">
      <c r="C56" s="73" t="s">
        <v>3</v>
      </c>
      <c r="D56" s="74">
        <f>D17+D55</f>
        <v>3581</v>
      </c>
      <c r="E56" s="74"/>
      <c r="F56" s="96">
        <f>F17+F55</f>
        <v>168278</v>
      </c>
      <c r="G56" s="74"/>
      <c r="H56" s="74">
        <f>H17+H55</f>
        <v>12498970</v>
      </c>
      <c r="I56" s="74">
        <f>I17+I55</f>
        <v>11398000</v>
      </c>
      <c r="J56" s="130">
        <f t="shared" ref="J56:K56" si="26">J17+J55</f>
        <v>10315.190000000035</v>
      </c>
      <c r="K56" s="130">
        <f t="shared" si="26"/>
        <v>10592.719244198021</v>
      </c>
      <c r="L56" s="85"/>
      <c r="M56" s="85"/>
      <c r="N56" s="85"/>
      <c r="O56" s="130">
        <f>O17+O55</f>
        <v>1337653.52</v>
      </c>
      <c r="P56" s="130">
        <f>P17+P55</f>
        <v>1348189.4599999997</v>
      </c>
      <c r="Q56" s="130">
        <f>Q17+Q55</f>
        <v>10535.939999999919</v>
      </c>
      <c r="R56" s="146">
        <f>+Q56/O56</f>
        <v>7.876434250328081E-3</v>
      </c>
      <c r="T56" s="150">
        <f>+I56/2000</f>
        <v>5699</v>
      </c>
    </row>
    <row r="57" spans="1:20">
      <c r="J57" s="128"/>
    </row>
    <row r="58" spans="1:20">
      <c r="A58" s="72"/>
      <c r="C58" s="75"/>
    </row>
    <row r="59" spans="1:20">
      <c r="A59" s="72"/>
      <c r="C59" s="154" t="s">
        <v>80</v>
      </c>
      <c r="D59" s="154"/>
      <c r="E59" s="91"/>
      <c r="F59" s="91"/>
      <c r="H59" s="94" t="s">
        <v>88</v>
      </c>
    </row>
    <row r="60" spans="1:20">
      <c r="A60" s="72"/>
      <c r="D60" s="66" t="s">
        <v>15</v>
      </c>
      <c r="E60" s="44"/>
      <c r="F60" s="44"/>
      <c r="H60" s="92" t="s">
        <v>89</v>
      </c>
      <c r="O60" s="131"/>
      <c r="P60" s="47"/>
    </row>
    <row r="61" spans="1:20">
      <c r="A61" s="72"/>
      <c r="C61" s="68" t="s">
        <v>29</v>
      </c>
      <c r="D61" s="76">
        <f>+D70</f>
        <v>5699</v>
      </c>
      <c r="G61" s="51"/>
      <c r="H61" s="93" t="s">
        <v>90</v>
      </c>
      <c r="O61" s="131"/>
      <c r="P61" s="95"/>
    </row>
    <row r="62" spans="1:20">
      <c r="A62" s="72"/>
      <c r="C62" s="68" t="s">
        <v>30</v>
      </c>
      <c r="D62" s="42">
        <f>D61*2000</f>
        <v>11398000</v>
      </c>
      <c r="E62" s="42"/>
      <c r="F62" s="42"/>
      <c r="G62" s="42"/>
      <c r="H62" s="104" t="s">
        <v>92</v>
      </c>
      <c r="P62" s="95"/>
    </row>
    <row r="63" spans="1:20">
      <c r="A63" s="72"/>
      <c r="C63" s="68" t="s">
        <v>4</v>
      </c>
      <c r="D63" s="42">
        <f>F17+F55</f>
        <v>168278</v>
      </c>
      <c r="E63" s="67"/>
      <c r="F63" s="67"/>
      <c r="G63" s="67"/>
      <c r="H63" s="105" t="s">
        <v>93</v>
      </c>
      <c r="O63" s="131"/>
      <c r="P63" s="95"/>
    </row>
    <row r="64" spans="1:20">
      <c r="C64" s="48" t="s">
        <v>11</v>
      </c>
      <c r="D64" s="41">
        <f>D62/$H$56</f>
        <v>0.91191514180768496</v>
      </c>
      <c r="E64" s="41"/>
      <c r="F64" s="41"/>
      <c r="G64" s="41"/>
      <c r="H64" s="37"/>
      <c r="M64" s="46"/>
      <c r="N64" s="46"/>
      <c r="O64" s="132"/>
      <c r="P64" s="45"/>
    </row>
    <row r="65" spans="2:16">
      <c r="G65" s="50"/>
      <c r="H65" s="38"/>
      <c r="M65" s="49"/>
      <c r="N65" s="36"/>
      <c r="P65" s="37"/>
    </row>
    <row r="66" spans="2:16">
      <c r="D66" s="40"/>
      <c r="E66" s="39"/>
      <c r="G66" s="50"/>
      <c r="H66" s="38"/>
      <c r="M66" s="49"/>
      <c r="N66" s="36"/>
      <c r="P66" s="37"/>
    </row>
    <row r="67" spans="2:16">
      <c r="B67" s="140" t="s">
        <v>126</v>
      </c>
      <c r="D67" s="40"/>
      <c r="E67" s="39"/>
      <c r="G67" s="50"/>
      <c r="H67" s="38"/>
      <c r="M67" s="49"/>
      <c r="N67" s="36"/>
      <c r="P67" s="37"/>
    </row>
    <row r="68" spans="2:16">
      <c r="C68" s="68" t="s">
        <v>12</v>
      </c>
      <c r="D68" s="67">
        <v>1936</v>
      </c>
      <c r="I68" s="68"/>
    </row>
    <row r="69" spans="2:16" ht="17.25">
      <c r="C69" s="68" t="s">
        <v>13</v>
      </c>
      <c r="D69" s="122">
        <v>3763</v>
      </c>
      <c r="E69" s="47"/>
      <c r="I69" s="68"/>
    </row>
    <row r="70" spans="2:16" ht="17.25">
      <c r="D70" s="123">
        <f>SUM(D68:D69)</f>
        <v>5699</v>
      </c>
      <c r="I70" s="68"/>
    </row>
    <row r="71" spans="2:16">
      <c r="D71" s="68"/>
      <c r="I71" s="68"/>
    </row>
    <row r="72" spans="2:16" ht="17.25">
      <c r="C72" s="68" t="s">
        <v>144</v>
      </c>
      <c r="D72" s="122">
        <v>2561</v>
      </c>
    </row>
    <row r="74" spans="2:16" ht="17.25">
      <c r="D74" s="141">
        <f>+D72+D70</f>
        <v>8260</v>
      </c>
    </row>
  </sheetData>
  <mergeCells count="3">
    <mergeCell ref="C59:D59"/>
    <mergeCell ref="A2:A14"/>
    <mergeCell ref="A18:A54"/>
  </mergeCells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950D5580B07D4B9640ACCFCEE9AC36" ma:contentTypeVersion="56" ma:contentTypeDescription="" ma:contentTypeScope="" ma:versionID="7241b84c7dc849b504ac2070f5360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2019-07-03T07:00:00+00:00</OpenedDate>
    <SignificantOrder xmlns="dc463f71-b30c-4ab2-9473-d307f9d35888">false</SignificantOrder>
    <Date1 xmlns="dc463f71-b30c-4ab2-9473-d307f9d35888">2019-07-03T07:00:00+00:00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190578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6C9F4EB-A537-4C2B-ACA7-CC15D2274702}"/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B4F1914-9C9F-49E2-8723-74627B706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2016-06-27T17:35:33Z</cp:lastPrinted>
  <dcterms:created xsi:type="dcterms:W3CDTF">2013-10-29T22:33:54Z</dcterms:created>
  <dcterms:modified xsi:type="dcterms:W3CDTF">2019-06-24T15:18:17Z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0x0101006E56B4D1795A2E4DB2F0B01679ED314A007E950D5580B07D4B9640ACCFCEE9AC36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