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backupFile="1" codeName="ThisWorkbook" defaultThemeVersion="124226"/>
  <bookViews>
    <workbookView xWindow="-120" yWindow="-120" windowWidth="29040" windowHeight="15840" tabRatio="841" activeTab="1"/>
  </bookViews>
  <sheets>
    <sheet name="Proposed Rate Summary" sheetId="11" r:id="rId1"/>
    <sheet name="CONSUMPTION" sheetId="1" r:id="rId2"/>
    <sheet name="BASE" sheetId="2" r:id="rId3"/>
    <sheet name="BILLED CONSUMPTION" sheetId="3" r:id="rId4"/>
    <sheet name="BILLED BASE" sheetId="4" r:id="rId5"/>
    <sheet name="TOTAL ACTUAL BILLING" sheetId="9" r:id="rId6"/>
    <sheet name="CONSUMPTION SUMMARY" sheetId="10" r:id="rId7"/>
    <sheet name="Model CONSUMPTION" sheetId="5" r:id="rId8"/>
    <sheet name="Model BILLABLE BASE" sheetId="6" r:id="rId9"/>
    <sheet name="Total Model BIlling" sheetId="7" r:id="rId10"/>
    <sheet name="Modeling &amp; Presentation" sheetId="8" r:id="rId11"/>
  </sheets>
  <externalReferences>
    <externalReference r:id="rId12"/>
  </externalReferences>
  <definedNames>
    <definedName name="_xlnm.Print_Titles" localSheetId="6">'CONSUMPTION SUMMARY'!$1:$2</definedName>
    <definedName name="_xlnm.Print_Titles" localSheetId="10">'Modeling &amp; Presentation'!$1:$2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67" i="1" l="1"/>
  <c r="G6" i="11" l="1"/>
  <c r="D6" i="11"/>
  <c r="C13" i="11"/>
  <c r="C12" i="11"/>
  <c r="C11" i="11"/>
  <c r="C10" i="11"/>
  <c r="C9" i="11"/>
  <c r="C8" i="11"/>
  <c r="C7" i="11"/>
  <c r="Z68" i="1" l="1"/>
  <c r="Z69" i="1"/>
  <c r="V53" i="2" l="1"/>
  <c r="Z61" i="1" s="1"/>
  <c r="V19" i="2"/>
  <c r="Y19" i="2"/>
  <c r="F23" i="8" l="1"/>
  <c r="F22" i="8"/>
  <c r="F21" i="8"/>
  <c r="F20" i="8"/>
  <c r="F19" i="8"/>
  <c r="F18" i="8"/>
  <c r="F17" i="8"/>
  <c r="F13" i="8"/>
  <c r="F12" i="8"/>
  <c r="F11" i="8"/>
  <c r="F10" i="8"/>
  <c r="F9" i="8"/>
  <c r="F8" i="8"/>
  <c r="F7" i="8"/>
  <c r="F6" i="8"/>
  <c r="V80" i="1"/>
  <c r="V79" i="1"/>
  <c r="V78" i="1"/>
  <c r="V77" i="1"/>
  <c r="V76" i="1"/>
  <c r="V75" i="1"/>
  <c r="V74" i="1"/>
  <c r="U52" i="2" l="1"/>
  <c r="S52" i="2"/>
  <c r="T52" i="2" s="1"/>
  <c r="S51" i="2"/>
  <c r="S50" i="2"/>
  <c r="U49" i="2"/>
  <c r="S49" i="2"/>
  <c r="T49" i="2" s="1"/>
  <c r="V49" i="2" s="1"/>
  <c r="S48" i="2"/>
  <c r="S47" i="2"/>
  <c r="U46" i="2"/>
  <c r="S46" i="2"/>
  <c r="T46" i="2" s="1"/>
  <c r="S45" i="2"/>
  <c r="S44" i="2"/>
  <c r="U43" i="2"/>
  <c r="V43" i="2" s="1"/>
  <c r="T43" i="2"/>
  <c r="S43" i="2"/>
  <c r="S42" i="2"/>
  <c r="S41" i="2"/>
  <c r="U40" i="2"/>
  <c r="S40" i="2"/>
  <c r="T40" i="2" s="1"/>
  <c r="S39" i="2"/>
  <c r="S38" i="2"/>
  <c r="U37" i="2"/>
  <c r="S37" i="2"/>
  <c r="T37" i="2" s="1"/>
  <c r="V37" i="2" s="1"/>
  <c r="S36" i="2"/>
  <c r="S35" i="2"/>
  <c r="U34" i="2"/>
  <c r="S34" i="2"/>
  <c r="T34" i="2" s="1"/>
  <c r="S33" i="2"/>
  <c r="S32" i="2"/>
  <c r="U31" i="2"/>
  <c r="V31" i="2" s="1"/>
  <c r="T31" i="2"/>
  <c r="S31" i="2"/>
  <c r="S30" i="2"/>
  <c r="S29" i="2"/>
  <c r="U28" i="2"/>
  <c r="S28" i="2"/>
  <c r="T28" i="2" s="1"/>
  <c r="S27" i="2"/>
  <c r="S26" i="2"/>
  <c r="U25" i="2"/>
  <c r="S25" i="2"/>
  <c r="T25" i="2" s="1"/>
  <c r="V25" i="2" s="1"/>
  <c r="S24" i="2"/>
  <c r="S23" i="2"/>
  <c r="U22" i="2"/>
  <c r="S22" i="2"/>
  <c r="T22" i="2" s="1"/>
  <c r="S21" i="2"/>
  <c r="S20" i="2"/>
  <c r="U19" i="2"/>
  <c r="T19" i="2"/>
  <c r="S19" i="2"/>
  <c r="S18" i="2"/>
  <c r="S17" i="2"/>
  <c r="U16" i="2"/>
  <c r="V16" i="2" s="1"/>
  <c r="S16" i="2"/>
  <c r="T16" i="2" s="1"/>
  <c r="S15" i="2"/>
  <c r="S14" i="2"/>
  <c r="U13" i="2"/>
  <c r="S13" i="2"/>
  <c r="T13" i="2" s="1"/>
  <c r="V13" i="2" s="1"/>
  <c r="S12" i="2"/>
  <c r="S11" i="2"/>
  <c r="X10" i="2"/>
  <c r="U10" i="2"/>
  <c r="S10" i="2"/>
  <c r="T10" i="2" s="1"/>
  <c r="W80" i="1"/>
  <c r="W79" i="1"/>
  <c r="X78" i="1"/>
  <c r="W78" i="1"/>
  <c r="W77" i="1"/>
  <c r="W76" i="1"/>
  <c r="W75" i="1"/>
  <c r="W74" i="1"/>
  <c r="Y67" i="1"/>
  <c r="X59" i="1"/>
  <c r="Y58" i="1"/>
  <c r="X56" i="1"/>
  <c r="X67" i="1" s="1"/>
  <c r="F6" i="11" s="1"/>
  <c r="W56" i="1"/>
  <c r="W67" i="1" s="1"/>
  <c r="E6" i="11" s="1"/>
  <c r="V56" i="1"/>
  <c r="X51" i="1"/>
  <c r="W50" i="1"/>
  <c r="V49" i="1"/>
  <c r="X80" i="1" s="1"/>
  <c r="X48" i="1"/>
  <c r="W47" i="1"/>
  <c r="V46" i="1"/>
  <c r="X45" i="1"/>
  <c r="W44" i="1"/>
  <c r="V43" i="1"/>
  <c r="X42" i="1"/>
  <c r="W41" i="1"/>
  <c r="V40" i="1"/>
  <c r="X39" i="1"/>
  <c r="W38" i="1"/>
  <c r="V37" i="1"/>
  <c r="X36" i="1"/>
  <c r="W35" i="1"/>
  <c r="V34" i="1"/>
  <c r="V54" i="1" s="1"/>
  <c r="X33" i="1"/>
  <c r="W32" i="1"/>
  <c r="V31" i="1"/>
  <c r="X30" i="1"/>
  <c r="W29" i="1"/>
  <c r="V28" i="1"/>
  <c r="X79" i="1" s="1"/>
  <c r="X27" i="1"/>
  <c r="W26" i="1"/>
  <c r="V25" i="1"/>
  <c r="X77" i="1" s="1"/>
  <c r="X24" i="1"/>
  <c r="W23" i="1"/>
  <c r="V22" i="1"/>
  <c r="X76" i="1" s="1"/>
  <c r="W20" i="1"/>
  <c r="V19" i="1"/>
  <c r="Y18" i="1"/>
  <c r="Z21" i="1" s="1"/>
  <c r="X18" i="1"/>
  <c r="W17" i="1"/>
  <c r="V16" i="1"/>
  <c r="Y15" i="1"/>
  <c r="X15" i="1" s="1"/>
  <c r="W14" i="1"/>
  <c r="V13" i="1"/>
  <c r="W11" i="1"/>
  <c r="W54" i="1" s="1"/>
  <c r="V10" i="1"/>
  <c r="X43" i="2" l="1"/>
  <c r="Y43" i="2" s="1"/>
  <c r="Z43" i="2" s="1"/>
  <c r="Z67" i="1"/>
  <c r="Z78" i="1"/>
  <c r="V22" i="2"/>
  <c r="V28" i="2"/>
  <c r="V34" i="2"/>
  <c r="V40" i="2"/>
  <c r="V10" i="2"/>
  <c r="V46" i="2"/>
  <c r="V52" i="2"/>
  <c r="Y10" i="2"/>
  <c r="X13" i="2"/>
  <c r="X28" i="2"/>
  <c r="X22" i="2"/>
  <c r="X25" i="2"/>
  <c r="X49" i="2"/>
  <c r="Y49" i="2" s="1"/>
  <c r="Z49" i="2" s="1"/>
  <c r="Z77" i="1"/>
  <c r="Z76" i="1"/>
  <c r="W81" i="1"/>
  <c r="Z24" i="1"/>
  <c r="Z80" i="1"/>
  <c r="V68" i="1"/>
  <c r="V57" i="1"/>
  <c r="V61" i="1" s="1"/>
  <c r="W68" i="1"/>
  <c r="W57" i="1"/>
  <c r="W61" i="1" s="1"/>
  <c r="Z79" i="1"/>
  <c r="Z12" i="1"/>
  <c r="Z15" i="1"/>
  <c r="X21" i="1"/>
  <c r="X75" i="1" s="1"/>
  <c r="Z18" i="1"/>
  <c r="X12" i="1"/>
  <c r="P67" i="3"/>
  <c r="O55" i="4"/>
  <c r="Y28" i="2" l="1"/>
  <c r="Z28" i="2" s="1"/>
  <c r="X46" i="2"/>
  <c r="Y46" i="2" s="1"/>
  <c r="Z46" i="2" s="1"/>
  <c r="X40" i="2"/>
  <c r="Y40" i="2" s="1"/>
  <c r="Z40" i="2" s="1"/>
  <c r="Y25" i="2"/>
  <c r="Z25" i="2" s="1"/>
  <c r="X31" i="2"/>
  <c r="Y31" i="2" s="1"/>
  <c r="Z31" i="2" s="1"/>
  <c r="X16" i="2"/>
  <c r="Y13" i="2"/>
  <c r="Z13" i="2" s="1"/>
  <c r="X37" i="2"/>
  <c r="Y37" i="2" s="1"/>
  <c r="Z37" i="2" s="1"/>
  <c r="Y22" i="2"/>
  <c r="Z22" i="2" s="1"/>
  <c r="Z10" i="2"/>
  <c r="Z75" i="1"/>
  <c r="X53" i="1"/>
  <c r="X58" i="1" s="1"/>
  <c r="X52" i="1"/>
  <c r="X74" i="1"/>
  <c r="V69" i="1"/>
  <c r="W69" i="1"/>
  <c r="R72" i="9"/>
  <c r="F64" i="1"/>
  <c r="Q64" i="1"/>
  <c r="F15" i="1"/>
  <c r="X19" i="2" l="1"/>
  <c r="Y16" i="2"/>
  <c r="X60" i="1"/>
  <c r="Y68" i="1"/>
  <c r="X54" i="1"/>
  <c r="Z55" i="1"/>
  <c r="X81" i="1"/>
  <c r="Z74" i="1"/>
  <c r="X52" i="2" s="1"/>
  <c r="Y52" i="2" s="1"/>
  <c r="Y74" i="1"/>
  <c r="Q42" i="1"/>
  <c r="Q15" i="1"/>
  <c r="G31" i="1"/>
  <c r="G15" i="1"/>
  <c r="J12" i="1"/>
  <c r="M12" i="1"/>
  <c r="N12" i="1"/>
  <c r="N64" i="1"/>
  <c r="M64" i="1"/>
  <c r="L12" i="1"/>
  <c r="L64" i="1"/>
  <c r="K64" i="1"/>
  <c r="K12" i="1"/>
  <c r="I64" i="1"/>
  <c r="I15" i="1"/>
  <c r="H64" i="1"/>
  <c r="H15" i="1"/>
  <c r="G64" i="1"/>
  <c r="J64" i="1"/>
  <c r="I31" i="1"/>
  <c r="H31" i="1"/>
  <c r="O64" i="1"/>
  <c r="O36" i="1"/>
  <c r="O15" i="1"/>
  <c r="Z52" i="2" l="1"/>
  <c r="Y54" i="2"/>
  <c r="X34" i="2"/>
  <c r="Y34" i="2" s="1"/>
  <c r="Z34" i="2" s="1"/>
  <c r="Z19" i="2"/>
  <c r="Z16" i="2"/>
  <c r="Z54" i="2" s="1"/>
  <c r="X57" i="1"/>
  <c r="X68" i="1"/>
  <c r="W55" i="1"/>
  <c r="V55" i="1"/>
  <c r="X61" i="1"/>
  <c r="Y69" i="1"/>
  <c r="Y77" i="1"/>
  <c r="Y80" i="1"/>
  <c r="Y78" i="1"/>
  <c r="Y76" i="1"/>
  <c r="Y79" i="1"/>
  <c r="Y75" i="1"/>
  <c r="Y81" i="1" s="1"/>
  <c r="X55" i="1"/>
  <c r="Q64" i="3"/>
  <c r="P64" i="4" s="1"/>
  <c r="P64" i="3"/>
  <c r="O64" i="4"/>
  <c r="Q66" i="2"/>
  <c r="P66" i="2"/>
  <c r="X69" i="1" l="1"/>
  <c r="P64" i="1"/>
  <c r="P15" i="1"/>
  <c r="O64" i="3" l="1"/>
  <c r="N64" i="4" s="1"/>
  <c r="O66" i="2"/>
  <c r="M68" i="4" l="1"/>
  <c r="M64" i="4"/>
  <c r="N66" i="2"/>
  <c r="L64" i="4" l="1"/>
  <c r="M66" i="2"/>
  <c r="K64" i="4"/>
  <c r="L66" i="2"/>
  <c r="K66" i="2"/>
  <c r="J64" i="4"/>
  <c r="E66" i="1"/>
  <c r="I64" i="4" l="1"/>
  <c r="J66" i="2"/>
  <c r="I66" i="2" l="1"/>
  <c r="H64" i="4"/>
  <c r="G64" i="4"/>
  <c r="H66" i="2"/>
  <c r="H57" i="1"/>
  <c r="H58" i="1"/>
  <c r="H59" i="1"/>
  <c r="F64" i="4"/>
  <c r="G64" i="3"/>
  <c r="F66" i="2"/>
  <c r="G66" i="2"/>
  <c r="G15" i="3" l="1"/>
  <c r="F64" i="3"/>
  <c r="E64" i="4" s="1"/>
  <c r="F42" i="1" l="1"/>
  <c r="B55" i="9" l="1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E3" i="4"/>
  <c r="F3" i="4"/>
  <c r="G3" i="4"/>
  <c r="E4" i="4"/>
  <c r="F4" i="4"/>
  <c r="G4" i="4"/>
  <c r="E5" i="4"/>
  <c r="F5" i="4"/>
  <c r="G5" i="4"/>
  <c r="E6" i="4"/>
  <c r="F6" i="4"/>
  <c r="G6" i="4"/>
  <c r="E7" i="4"/>
  <c r="F7" i="4"/>
  <c r="G7" i="4"/>
  <c r="E8" i="4"/>
  <c r="F8" i="4"/>
  <c r="G8" i="4"/>
  <c r="E9" i="4"/>
  <c r="F9" i="4"/>
  <c r="G9" i="4"/>
  <c r="E10" i="4"/>
  <c r="F10" i="4"/>
  <c r="G10" i="4"/>
  <c r="E11" i="4"/>
  <c r="F11" i="4"/>
  <c r="G11" i="4"/>
  <c r="E12" i="4"/>
  <c r="F12" i="4"/>
  <c r="G12" i="4"/>
  <c r="E13" i="4"/>
  <c r="F13" i="4"/>
  <c r="G13" i="4"/>
  <c r="E14" i="4"/>
  <c r="F14" i="4"/>
  <c r="G14" i="4"/>
  <c r="E15" i="4"/>
  <c r="F15" i="4"/>
  <c r="G15" i="4"/>
  <c r="E16" i="4"/>
  <c r="F16" i="4"/>
  <c r="G16" i="4"/>
  <c r="E17" i="4"/>
  <c r="F17" i="4"/>
  <c r="G17" i="4"/>
  <c r="E18" i="4"/>
  <c r="F18" i="4"/>
  <c r="G18" i="4"/>
  <c r="E19" i="4"/>
  <c r="F19" i="4"/>
  <c r="G19" i="4"/>
  <c r="E20" i="4"/>
  <c r="F20" i="4"/>
  <c r="G20" i="4"/>
  <c r="E21" i="4"/>
  <c r="F21" i="4"/>
  <c r="G21" i="4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E29" i="4"/>
  <c r="F29" i="4"/>
  <c r="G29" i="4"/>
  <c r="E30" i="4"/>
  <c r="F30" i="4"/>
  <c r="G30" i="4"/>
  <c r="E31" i="4"/>
  <c r="F31" i="4"/>
  <c r="G31" i="4"/>
  <c r="E32" i="4"/>
  <c r="F32" i="4"/>
  <c r="G32" i="4"/>
  <c r="E33" i="4"/>
  <c r="F33" i="4"/>
  <c r="G33" i="4"/>
  <c r="E34" i="4"/>
  <c r="F34" i="4"/>
  <c r="G34" i="4"/>
  <c r="E35" i="4"/>
  <c r="F35" i="4"/>
  <c r="G35" i="4"/>
  <c r="E36" i="4"/>
  <c r="F36" i="4"/>
  <c r="G36" i="4"/>
  <c r="E37" i="4"/>
  <c r="F37" i="4"/>
  <c r="G37" i="4"/>
  <c r="E38" i="4"/>
  <c r="F38" i="4"/>
  <c r="G38" i="4"/>
  <c r="E39" i="4"/>
  <c r="F39" i="4"/>
  <c r="G39" i="4"/>
  <c r="E40" i="4"/>
  <c r="F40" i="4"/>
  <c r="G40" i="4"/>
  <c r="E41" i="4"/>
  <c r="F41" i="4"/>
  <c r="G41" i="4"/>
  <c r="E42" i="4"/>
  <c r="F42" i="4"/>
  <c r="G42" i="4"/>
  <c r="E43" i="4"/>
  <c r="F43" i="4"/>
  <c r="G43" i="4"/>
  <c r="E44" i="4"/>
  <c r="F44" i="4"/>
  <c r="G44" i="4"/>
  <c r="E45" i="4"/>
  <c r="F45" i="4"/>
  <c r="G45" i="4"/>
  <c r="E46" i="4"/>
  <c r="F46" i="4"/>
  <c r="G46" i="4"/>
  <c r="E47" i="4"/>
  <c r="F47" i="4"/>
  <c r="G47" i="4"/>
  <c r="E48" i="4"/>
  <c r="F48" i="4"/>
  <c r="G48" i="4"/>
  <c r="E49" i="4"/>
  <c r="F49" i="4"/>
  <c r="G49" i="4"/>
  <c r="E50" i="4"/>
  <c r="F50" i="4"/>
  <c r="G50" i="4"/>
  <c r="E51" i="4"/>
  <c r="F51" i="4"/>
  <c r="G51" i="4"/>
  <c r="E52" i="4"/>
  <c r="F52" i="4"/>
  <c r="G52" i="4"/>
  <c r="E53" i="4"/>
  <c r="F53" i="4"/>
  <c r="G53" i="4"/>
  <c r="E54" i="4"/>
  <c r="F54" i="4"/>
  <c r="G54" i="4"/>
  <c r="I3" i="4"/>
  <c r="J3" i="4"/>
  <c r="K3" i="4"/>
  <c r="L3" i="4"/>
  <c r="M3" i="4"/>
  <c r="N3" i="4"/>
  <c r="O3" i="4"/>
  <c r="P3" i="4"/>
  <c r="I4" i="4"/>
  <c r="J4" i="4"/>
  <c r="K4" i="4"/>
  <c r="L4" i="4"/>
  <c r="M4" i="4"/>
  <c r="N4" i="4"/>
  <c r="O4" i="4"/>
  <c r="P4" i="4"/>
  <c r="I5" i="4"/>
  <c r="J5" i="4"/>
  <c r="K5" i="4"/>
  <c r="L5" i="4"/>
  <c r="M5" i="4"/>
  <c r="N5" i="4"/>
  <c r="O5" i="4"/>
  <c r="P5" i="4"/>
  <c r="I6" i="4"/>
  <c r="J6" i="4"/>
  <c r="K6" i="4"/>
  <c r="L6" i="4"/>
  <c r="M6" i="4"/>
  <c r="N6" i="4"/>
  <c r="O6" i="4"/>
  <c r="P6" i="4"/>
  <c r="I7" i="4"/>
  <c r="J7" i="4"/>
  <c r="K7" i="4"/>
  <c r="L7" i="4"/>
  <c r="M7" i="4"/>
  <c r="N7" i="4"/>
  <c r="O7" i="4"/>
  <c r="P7" i="4"/>
  <c r="I8" i="4"/>
  <c r="J8" i="4"/>
  <c r="K8" i="4"/>
  <c r="L8" i="4"/>
  <c r="M8" i="4"/>
  <c r="N8" i="4"/>
  <c r="O8" i="4"/>
  <c r="P8" i="4"/>
  <c r="I9" i="4"/>
  <c r="J9" i="4"/>
  <c r="K9" i="4"/>
  <c r="L9" i="4"/>
  <c r="M9" i="4"/>
  <c r="N9" i="4"/>
  <c r="O9" i="4"/>
  <c r="P9" i="4"/>
  <c r="I10" i="4"/>
  <c r="J10" i="4"/>
  <c r="K10" i="4"/>
  <c r="L10" i="4"/>
  <c r="M10" i="4"/>
  <c r="N10" i="4"/>
  <c r="O10" i="4"/>
  <c r="P10" i="4"/>
  <c r="I11" i="4"/>
  <c r="J11" i="4"/>
  <c r="K11" i="4"/>
  <c r="L11" i="4"/>
  <c r="M11" i="4"/>
  <c r="N11" i="4"/>
  <c r="O11" i="4"/>
  <c r="P11" i="4"/>
  <c r="I12" i="4"/>
  <c r="J12" i="4"/>
  <c r="K12" i="4"/>
  <c r="L12" i="4"/>
  <c r="M12" i="4"/>
  <c r="N12" i="4"/>
  <c r="O12" i="4"/>
  <c r="P12" i="4"/>
  <c r="I13" i="4"/>
  <c r="J13" i="4"/>
  <c r="K13" i="4"/>
  <c r="L13" i="4"/>
  <c r="M13" i="4"/>
  <c r="N13" i="4"/>
  <c r="O13" i="4"/>
  <c r="P13" i="4"/>
  <c r="I14" i="4"/>
  <c r="J14" i="4"/>
  <c r="K14" i="4"/>
  <c r="L14" i="4"/>
  <c r="M14" i="4"/>
  <c r="N14" i="4"/>
  <c r="O14" i="4"/>
  <c r="P14" i="4"/>
  <c r="I15" i="4"/>
  <c r="J15" i="4"/>
  <c r="K15" i="4"/>
  <c r="L15" i="4"/>
  <c r="M15" i="4"/>
  <c r="N15" i="4"/>
  <c r="O15" i="4"/>
  <c r="P15" i="4"/>
  <c r="I16" i="4"/>
  <c r="J16" i="4"/>
  <c r="K16" i="4"/>
  <c r="L16" i="4"/>
  <c r="M16" i="4"/>
  <c r="N16" i="4"/>
  <c r="O16" i="4"/>
  <c r="P16" i="4"/>
  <c r="I17" i="4"/>
  <c r="J17" i="4"/>
  <c r="K17" i="4"/>
  <c r="L17" i="4"/>
  <c r="M17" i="4"/>
  <c r="N17" i="4"/>
  <c r="O17" i="4"/>
  <c r="P17" i="4"/>
  <c r="I18" i="4"/>
  <c r="J18" i="4"/>
  <c r="K18" i="4"/>
  <c r="L18" i="4"/>
  <c r="M18" i="4"/>
  <c r="N18" i="4"/>
  <c r="O18" i="4"/>
  <c r="P18" i="4"/>
  <c r="I19" i="4"/>
  <c r="J19" i="4"/>
  <c r="K19" i="4"/>
  <c r="L19" i="4"/>
  <c r="M19" i="4"/>
  <c r="N19" i="4"/>
  <c r="O19" i="4"/>
  <c r="P19" i="4"/>
  <c r="I20" i="4"/>
  <c r="J20" i="4"/>
  <c r="K20" i="4"/>
  <c r="L20" i="4"/>
  <c r="M20" i="4"/>
  <c r="N20" i="4"/>
  <c r="O20" i="4"/>
  <c r="P20" i="4"/>
  <c r="I21" i="4"/>
  <c r="J21" i="4"/>
  <c r="K21" i="4"/>
  <c r="L21" i="4"/>
  <c r="M21" i="4"/>
  <c r="N21" i="4"/>
  <c r="O21" i="4"/>
  <c r="P21" i="4"/>
  <c r="I22" i="4"/>
  <c r="J22" i="4"/>
  <c r="K22" i="4"/>
  <c r="L22" i="4"/>
  <c r="M22" i="4"/>
  <c r="N22" i="4"/>
  <c r="O22" i="4"/>
  <c r="P22" i="4"/>
  <c r="I23" i="4"/>
  <c r="J23" i="4"/>
  <c r="K23" i="4"/>
  <c r="L23" i="4"/>
  <c r="M23" i="4"/>
  <c r="N23" i="4"/>
  <c r="O23" i="4"/>
  <c r="P23" i="4"/>
  <c r="I24" i="4"/>
  <c r="J24" i="4"/>
  <c r="K24" i="4"/>
  <c r="L24" i="4"/>
  <c r="M24" i="4"/>
  <c r="N24" i="4"/>
  <c r="O24" i="4"/>
  <c r="P24" i="4"/>
  <c r="I25" i="4"/>
  <c r="J25" i="4"/>
  <c r="K25" i="4"/>
  <c r="L25" i="4"/>
  <c r="M25" i="4"/>
  <c r="N25" i="4"/>
  <c r="O25" i="4"/>
  <c r="P25" i="4"/>
  <c r="I26" i="4"/>
  <c r="J26" i="4"/>
  <c r="K26" i="4"/>
  <c r="L26" i="4"/>
  <c r="M26" i="4"/>
  <c r="N26" i="4"/>
  <c r="O26" i="4"/>
  <c r="P26" i="4"/>
  <c r="I27" i="4"/>
  <c r="J27" i="4"/>
  <c r="K27" i="4"/>
  <c r="L27" i="4"/>
  <c r="M27" i="4"/>
  <c r="N27" i="4"/>
  <c r="O27" i="4"/>
  <c r="P27" i="4"/>
  <c r="I28" i="4"/>
  <c r="J28" i="4"/>
  <c r="K28" i="4"/>
  <c r="L28" i="4"/>
  <c r="M28" i="4"/>
  <c r="N28" i="4"/>
  <c r="O28" i="4"/>
  <c r="P28" i="4"/>
  <c r="I29" i="4"/>
  <c r="J29" i="4"/>
  <c r="K29" i="4"/>
  <c r="L29" i="4"/>
  <c r="M29" i="4"/>
  <c r="N29" i="4"/>
  <c r="O29" i="4"/>
  <c r="P29" i="4"/>
  <c r="I30" i="4"/>
  <c r="J30" i="4"/>
  <c r="K30" i="4"/>
  <c r="L30" i="4"/>
  <c r="M30" i="4"/>
  <c r="N30" i="4"/>
  <c r="O30" i="4"/>
  <c r="P30" i="4"/>
  <c r="I31" i="4"/>
  <c r="J31" i="4"/>
  <c r="K31" i="4"/>
  <c r="L31" i="4"/>
  <c r="M31" i="4"/>
  <c r="N31" i="4"/>
  <c r="O31" i="4"/>
  <c r="P31" i="4"/>
  <c r="I32" i="4"/>
  <c r="J32" i="4"/>
  <c r="K32" i="4"/>
  <c r="L32" i="4"/>
  <c r="M32" i="4"/>
  <c r="N32" i="4"/>
  <c r="O32" i="4"/>
  <c r="P32" i="4"/>
  <c r="I33" i="4"/>
  <c r="J33" i="4"/>
  <c r="K33" i="4"/>
  <c r="L33" i="4"/>
  <c r="M33" i="4"/>
  <c r="N33" i="4"/>
  <c r="O33" i="4"/>
  <c r="P33" i="4"/>
  <c r="I34" i="4"/>
  <c r="J34" i="4"/>
  <c r="K34" i="4"/>
  <c r="L34" i="4"/>
  <c r="M34" i="4"/>
  <c r="N34" i="4"/>
  <c r="O34" i="4"/>
  <c r="P34" i="4"/>
  <c r="I35" i="4"/>
  <c r="J35" i="4"/>
  <c r="K35" i="4"/>
  <c r="L35" i="4"/>
  <c r="M35" i="4"/>
  <c r="N35" i="4"/>
  <c r="O35" i="4"/>
  <c r="P35" i="4"/>
  <c r="I36" i="4"/>
  <c r="J36" i="4"/>
  <c r="K36" i="4"/>
  <c r="L36" i="4"/>
  <c r="M36" i="4"/>
  <c r="N36" i="4"/>
  <c r="O36" i="4"/>
  <c r="P36" i="4"/>
  <c r="I37" i="4"/>
  <c r="J37" i="4"/>
  <c r="K37" i="4"/>
  <c r="L37" i="4"/>
  <c r="M37" i="4"/>
  <c r="N37" i="4"/>
  <c r="O37" i="4"/>
  <c r="P37" i="4"/>
  <c r="I38" i="4"/>
  <c r="J38" i="4"/>
  <c r="K38" i="4"/>
  <c r="L38" i="4"/>
  <c r="M38" i="4"/>
  <c r="N38" i="4"/>
  <c r="O38" i="4"/>
  <c r="P38" i="4"/>
  <c r="I39" i="4"/>
  <c r="J39" i="4"/>
  <c r="K39" i="4"/>
  <c r="L39" i="4"/>
  <c r="M39" i="4"/>
  <c r="N39" i="4"/>
  <c r="O39" i="4"/>
  <c r="P39" i="4"/>
  <c r="I40" i="4"/>
  <c r="J40" i="4"/>
  <c r="K40" i="4"/>
  <c r="L40" i="4"/>
  <c r="M40" i="4"/>
  <c r="N40" i="4"/>
  <c r="O40" i="4"/>
  <c r="P40" i="4"/>
  <c r="I41" i="4"/>
  <c r="J41" i="4"/>
  <c r="K41" i="4"/>
  <c r="L41" i="4"/>
  <c r="M41" i="4"/>
  <c r="N41" i="4"/>
  <c r="O41" i="4"/>
  <c r="P41" i="4"/>
  <c r="I42" i="4"/>
  <c r="J42" i="4"/>
  <c r="K42" i="4"/>
  <c r="L42" i="4"/>
  <c r="M42" i="4"/>
  <c r="N42" i="4"/>
  <c r="O42" i="4"/>
  <c r="P42" i="4"/>
  <c r="I43" i="4"/>
  <c r="J43" i="4"/>
  <c r="K43" i="4"/>
  <c r="L43" i="4"/>
  <c r="M43" i="4"/>
  <c r="N43" i="4"/>
  <c r="O43" i="4"/>
  <c r="P43" i="4"/>
  <c r="I44" i="4"/>
  <c r="J44" i="4"/>
  <c r="K44" i="4"/>
  <c r="L44" i="4"/>
  <c r="M44" i="4"/>
  <c r="N44" i="4"/>
  <c r="O44" i="4"/>
  <c r="P44" i="4"/>
  <c r="I45" i="4"/>
  <c r="J45" i="4"/>
  <c r="K45" i="4"/>
  <c r="L45" i="4"/>
  <c r="M45" i="4"/>
  <c r="N45" i="4"/>
  <c r="O45" i="4"/>
  <c r="P45" i="4"/>
  <c r="I46" i="4"/>
  <c r="J46" i="4"/>
  <c r="K46" i="4"/>
  <c r="L46" i="4"/>
  <c r="M46" i="4"/>
  <c r="N46" i="4"/>
  <c r="O46" i="4"/>
  <c r="P46" i="4"/>
  <c r="I47" i="4"/>
  <c r="J47" i="4"/>
  <c r="K47" i="4"/>
  <c r="L47" i="4"/>
  <c r="M47" i="4"/>
  <c r="N47" i="4"/>
  <c r="O47" i="4"/>
  <c r="P47" i="4"/>
  <c r="I48" i="4"/>
  <c r="J48" i="4"/>
  <c r="K48" i="4"/>
  <c r="L48" i="4"/>
  <c r="M48" i="4"/>
  <c r="N48" i="4"/>
  <c r="O48" i="4"/>
  <c r="P48" i="4"/>
  <c r="I49" i="4"/>
  <c r="J49" i="4"/>
  <c r="K49" i="4"/>
  <c r="L49" i="4"/>
  <c r="M49" i="4"/>
  <c r="N49" i="4"/>
  <c r="O49" i="4"/>
  <c r="P49" i="4"/>
  <c r="I50" i="4"/>
  <c r="J50" i="4"/>
  <c r="K50" i="4"/>
  <c r="L50" i="4"/>
  <c r="M50" i="4"/>
  <c r="N50" i="4"/>
  <c r="O50" i="4"/>
  <c r="P50" i="4"/>
  <c r="I51" i="4"/>
  <c r="J51" i="4"/>
  <c r="K51" i="4"/>
  <c r="L51" i="4"/>
  <c r="M51" i="4"/>
  <c r="N51" i="4"/>
  <c r="O51" i="4"/>
  <c r="P51" i="4"/>
  <c r="I52" i="4"/>
  <c r="J52" i="4"/>
  <c r="K52" i="4"/>
  <c r="L52" i="4"/>
  <c r="M52" i="4"/>
  <c r="N52" i="4"/>
  <c r="O52" i="4"/>
  <c r="P52" i="4"/>
  <c r="I53" i="4"/>
  <c r="J53" i="4"/>
  <c r="K53" i="4"/>
  <c r="L53" i="4"/>
  <c r="M53" i="4"/>
  <c r="N53" i="4"/>
  <c r="O53" i="4"/>
  <c r="P53" i="4"/>
  <c r="I54" i="4"/>
  <c r="J54" i="4"/>
  <c r="K54" i="4"/>
  <c r="L54" i="4"/>
  <c r="M54" i="4"/>
  <c r="N54" i="4"/>
  <c r="O54" i="4"/>
  <c r="P54" i="4"/>
  <c r="H3" i="4"/>
  <c r="H4" i="4"/>
  <c r="H5" i="4"/>
  <c r="H6" i="4"/>
  <c r="H7" i="4"/>
  <c r="H8" i="4"/>
  <c r="H9" i="4"/>
  <c r="H10" i="4"/>
  <c r="H11" i="4"/>
  <c r="H12" i="4"/>
  <c r="K3" i="3"/>
  <c r="L3" i="3"/>
  <c r="M3" i="3"/>
  <c r="N3" i="3"/>
  <c r="O3" i="3"/>
  <c r="P3" i="3"/>
  <c r="Q3" i="3"/>
  <c r="K4" i="3"/>
  <c r="L4" i="3"/>
  <c r="M4" i="3"/>
  <c r="N4" i="3"/>
  <c r="O4" i="3"/>
  <c r="P4" i="3"/>
  <c r="Q4" i="3"/>
  <c r="K5" i="3"/>
  <c r="L5" i="3"/>
  <c r="M5" i="3"/>
  <c r="N5" i="3"/>
  <c r="O5" i="3"/>
  <c r="P5" i="3"/>
  <c r="Q5" i="3"/>
  <c r="K6" i="3"/>
  <c r="L6" i="3"/>
  <c r="M6" i="3"/>
  <c r="N6" i="3"/>
  <c r="O6" i="3"/>
  <c r="P6" i="3"/>
  <c r="Q6" i="3"/>
  <c r="K7" i="3"/>
  <c r="L7" i="3"/>
  <c r="M7" i="3"/>
  <c r="N7" i="3"/>
  <c r="O7" i="3"/>
  <c r="P7" i="3"/>
  <c r="Q7" i="3"/>
  <c r="K8" i="3"/>
  <c r="L8" i="3"/>
  <c r="M8" i="3"/>
  <c r="N8" i="3"/>
  <c r="O8" i="3"/>
  <c r="P8" i="3"/>
  <c r="Q8" i="3"/>
  <c r="K9" i="3"/>
  <c r="L9" i="3"/>
  <c r="M9" i="3"/>
  <c r="N9" i="3"/>
  <c r="O9" i="3"/>
  <c r="P9" i="3"/>
  <c r="Q9" i="3"/>
  <c r="K10" i="3"/>
  <c r="L10" i="3"/>
  <c r="M10" i="3"/>
  <c r="N10" i="3"/>
  <c r="O10" i="3"/>
  <c r="P10" i="3"/>
  <c r="Q10" i="3"/>
  <c r="K11" i="3"/>
  <c r="L11" i="3"/>
  <c r="M11" i="3"/>
  <c r="N11" i="3"/>
  <c r="O11" i="3"/>
  <c r="P11" i="3"/>
  <c r="Q11" i="3"/>
  <c r="K12" i="3"/>
  <c r="L12" i="3"/>
  <c r="M12" i="3"/>
  <c r="N12" i="3"/>
  <c r="O12" i="3"/>
  <c r="P12" i="3"/>
  <c r="Q12" i="3"/>
  <c r="K13" i="3"/>
  <c r="L13" i="3"/>
  <c r="M13" i="3"/>
  <c r="N13" i="3"/>
  <c r="O13" i="3"/>
  <c r="P13" i="3"/>
  <c r="Q13" i="3"/>
  <c r="K14" i="3"/>
  <c r="L14" i="3"/>
  <c r="M14" i="3"/>
  <c r="N14" i="3"/>
  <c r="O14" i="3"/>
  <c r="P14" i="3"/>
  <c r="Q14" i="3"/>
  <c r="K15" i="3"/>
  <c r="L15" i="3"/>
  <c r="M15" i="3"/>
  <c r="N15" i="3"/>
  <c r="O15" i="3"/>
  <c r="P15" i="3"/>
  <c r="Q15" i="3"/>
  <c r="K16" i="3"/>
  <c r="L16" i="3"/>
  <c r="M16" i="3"/>
  <c r="N16" i="3"/>
  <c r="O16" i="3"/>
  <c r="P16" i="3"/>
  <c r="Q16" i="3"/>
  <c r="K17" i="3"/>
  <c r="L17" i="3"/>
  <c r="M17" i="3"/>
  <c r="N17" i="3"/>
  <c r="O17" i="3"/>
  <c r="P17" i="3"/>
  <c r="Q17" i="3"/>
  <c r="K18" i="3"/>
  <c r="L18" i="3"/>
  <c r="M18" i="3"/>
  <c r="N18" i="3"/>
  <c r="O18" i="3"/>
  <c r="P18" i="3"/>
  <c r="Q18" i="3"/>
  <c r="K19" i="3"/>
  <c r="L19" i="3"/>
  <c r="M19" i="3"/>
  <c r="N19" i="3"/>
  <c r="O19" i="3"/>
  <c r="P19" i="3"/>
  <c r="Q19" i="3"/>
  <c r="K20" i="3"/>
  <c r="L20" i="3"/>
  <c r="M20" i="3"/>
  <c r="N20" i="3"/>
  <c r="O20" i="3"/>
  <c r="P20" i="3"/>
  <c r="Q20" i="3"/>
  <c r="K21" i="3"/>
  <c r="L21" i="3"/>
  <c r="M21" i="3"/>
  <c r="N21" i="3"/>
  <c r="O21" i="3"/>
  <c r="P21" i="3"/>
  <c r="Q21" i="3"/>
  <c r="K22" i="3"/>
  <c r="L22" i="3"/>
  <c r="M22" i="3"/>
  <c r="N22" i="3"/>
  <c r="O22" i="3"/>
  <c r="P22" i="3"/>
  <c r="Q22" i="3"/>
  <c r="K23" i="3"/>
  <c r="L23" i="3"/>
  <c r="M23" i="3"/>
  <c r="N23" i="3"/>
  <c r="O23" i="3"/>
  <c r="P23" i="3"/>
  <c r="Q23" i="3"/>
  <c r="K24" i="3"/>
  <c r="L24" i="3"/>
  <c r="M24" i="3"/>
  <c r="N24" i="3"/>
  <c r="O24" i="3"/>
  <c r="P24" i="3"/>
  <c r="Q24" i="3"/>
  <c r="K25" i="3"/>
  <c r="L25" i="3"/>
  <c r="M25" i="3"/>
  <c r="N25" i="3"/>
  <c r="O25" i="3"/>
  <c r="P25" i="3"/>
  <c r="Q25" i="3"/>
  <c r="K26" i="3"/>
  <c r="L26" i="3"/>
  <c r="M26" i="3"/>
  <c r="N26" i="3"/>
  <c r="O26" i="3"/>
  <c r="P26" i="3"/>
  <c r="Q26" i="3"/>
  <c r="K27" i="3"/>
  <c r="L27" i="3"/>
  <c r="M27" i="3"/>
  <c r="N27" i="3"/>
  <c r="O27" i="3"/>
  <c r="P27" i="3"/>
  <c r="Q27" i="3"/>
  <c r="K28" i="3"/>
  <c r="L28" i="3"/>
  <c r="M28" i="3"/>
  <c r="N28" i="3"/>
  <c r="O28" i="3"/>
  <c r="P28" i="3"/>
  <c r="Q28" i="3"/>
  <c r="K29" i="3"/>
  <c r="L29" i="3"/>
  <c r="M29" i="3"/>
  <c r="N29" i="3"/>
  <c r="O29" i="3"/>
  <c r="P29" i="3"/>
  <c r="Q29" i="3"/>
  <c r="K30" i="3"/>
  <c r="L30" i="3"/>
  <c r="M30" i="3"/>
  <c r="N30" i="3"/>
  <c r="O30" i="3"/>
  <c r="P30" i="3"/>
  <c r="Q30" i="3"/>
  <c r="K31" i="3"/>
  <c r="L31" i="3"/>
  <c r="M31" i="3"/>
  <c r="N31" i="3"/>
  <c r="O31" i="3"/>
  <c r="P31" i="3"/>
  <c r="Q31" i="3"/>
  <c r="K32" i="3"/>
  <c r="L32" i="3"/>
  <c r="M32" i="3"/>
  <c r="N32" i="3"/>
  <c r="O32" i="3"/>
  <c r="P32" i="3"/>
  <c r="Q32" i="3"/>
  <c r="K33" i="3"/>
  <c r="L33" i="3"/>
  <c r="M33" i="3"/>
  <c r="N33" i="3"/>
  <c r="O33" i="3"/>
  <c r="P33" i="3"/>
  <c r="Q33" i="3"/>
  <c r="K34" i="3"/>
  <c r="L34" i="3"/>
  <c r="M34" i="3"/>
  <c r="N34" i="3"/>
  <c r="O34" i="3"/>
  <c r="P34" i="3"/>
  <c r="Q34" i="3"/>
  <c r="K35" i="3"/>
  <c r="L35" i="3"/>
  <c r="M35" i="3"/>
  <c r="N35" i="3"/>
  <c r="O35" i="3"/>
  <c r="P35" i="3"/>
  <c r="Q35" i="3"/>
  <c r="K36" i="3"/>
  <c r="L36" i="3"/>
  <c r="M36" i="3"/>
  <c r="N36" i="3"/>
  <c r="O36" i="3"/>
  <c r="P36" i="3"/>
  <c r="Q36" i="3"/>
  <c r="K37" i="3"/>
  <c r="L37" i="3"/>
  <c r="M37" i="3"/>
  <c r="N37" i="3"/>
  <c r="O37" i="3"/>
  <c r="P37" i="3"/>
  <c r="Q37" i="3"/>
  <c r="K38" i="3"/>
  <c r="L38" i="3"/>
  <c r="M38" i="3"/>
  <c r="N38" i="3"/>
  <c r="O38" i="3"/>
  <c r="P38" i="3"/>
  <c r="Q38" i="3"/>
  <c r="K39" i="3"/>
  <c r="L39" i="3"/>
  <c r="M39" i="3"/>
  <c r="N39" i="3"/>
  <c r="O39" i="3"/>
  <c r="P39" i="3"/>
  <c r="Q39" i="3"/>
  <c r="K40" i="3"/>
  <c r="L40" i="3"/>
  <c r="M40" i="3"/>
  <c r="N40" i="3"/>
  <c r="O40" i="3"/>
  <c r="P40" i="3"/>
  <c r="Q40" i="3"/>
  <c r="K41" i="3"/>
  <c r="L41" i="3"/>
  <c r="M41" i="3"/>
  <c r="N41" i="3"/>
  <c r="O41" i="3"/>
  <c r="P41" i="3"/>
  <c r="Q41" i="3"/>
  <c r="K42" i="3"/>
  <c r="L42" i="3"/>
  <c r="M42" i="3"/>
  <c r="N42" i="3"/>
  <c r="O42" i="3"/>
  <c r="P42" i="3"/>
  <c r="Q42" i="3"/>
  <c r="K43" i="3"/>
  <c r="L43" i="3"/>
  <c r="M43" i="3"/>
  <c r="N43" i="3"/>
  <c r="O43" i="3"/>
  <c r="P43" i="3"/>
  <c r="Q43" i="3"/>
  <c r="K44" i="3"/>
  <c r="L44" i="3"/>
  <c r="M44" i="3"/>
  <c r="N44" i="3"/>
  <c r="O44" i="3"/>
  <c r="P44" i="3"/>
  <c r="Q44" i="3"/>
  <c r="K45" i="3"/>
  <c r="L45" i="3"/>
  <c r="M45" i="3"/>
  <c r="N45" i="3"/>
  <c r="O45" i="3"/>
  <c r="P45" i="3"/>
  <c r="Q45" i="3"/>
  <c r="K46" i="3"/>
  <c r="L46" i="3"/>
  <c r="M46" i="3"/>
  <c r="N46" i="3"/>
  <c r="O46" i="3"/>
  <c r="P46" i="3"/>
  <c r="Q46" i="3"/>
  <c r="K47" i="3"/>
  <c r="L47" i="3"/>
  <c r="M47" i="3"/>
  <c r="N47" i="3"/>
  <c r="O47" i="3"/>
  <c r="P47" i="3"/>
  <c r="Q47" i="3"/>
  <c r="K48" i="3"/>
  <c r="L48" i="3"/>
  <c r="M48" i="3"/>
  <c r="N48" i="3"/>
  <c r="O48" i="3"/>
  <c r="P48" i="3"/>
  <c r="Q48" i="3"/>
  <c r="K49" i="3"/>
  <c r="L49" i="3"/>
  <c r="M49" i="3"/>
  <c r="N49" i="3"/>
  <c r="O49" i="3"/>
  <c r="P49" i="3"/>
  <c r="Q49" i="3"/>
  <c r="K50" i="3"/>
  <c r="L50" i="3"/>
  <c r="M50" i="3"/>
  <c r="N50" i="3"/>
  <c r="O50" i="3"/>
  <c r="P50" i="3"/>
  <c r="Q50" i="3"/>
  <c r="K51" i="3"/>
  <c r="L51" i="3"/>
  <c r="M51" i="3"/>
  <c r="N51" i="3"/>
  <c r="O51" i="3"/>
  <c r="P51" i="3"/>
  <c r="Q51" i="3"/>
  <c r="K52" i="3"/>
  <c r="L52" i="3"/>
  <c r="M52" i="3"/>
  <c r="N52" i="3"/>
  <c r="O52" i="3"/>
  <c r="P52" i="3"/>
  <c r="Q52" i="3"/>
  <c r="K53" i="3"/>
  <c r="L53" i="3"/>
  <c r="M53" i="3"/>
  <c r="N53" i="3"/>
  <c r="O53" i="3"/>
  <c r="P53" i="3"/>
  <c r="Q53" i="3"/>
  <c r="K54" i="3"/>
  <c r="L54" i="3"/>
  <c r="M54" i="3"/>
  <c r="N54" i="3"/>
  <c r="O54" i="3"/>
  <c r="P54" i="3"/>
  <c r="Q54" i="3"/>
  <c r="K55" i="3"/>
  <c r="L55" i="3"/>
  <c r="M55" i="3"/>
  <c r="N55" i="3"/>
  <c r="O55" i="3"/>
  <c r="P55" i="3"/>
  <c r="Q55" i="3"/>
  <c r="Q71" i="2"/>
  <c r="D64" i="10" l="1"/>
  <c r="C64" i="10"/>
  <c r="A67" i="10"/>
  <c r="A66" i="10"/>
  <c r="A63" i="10"/>
  <c r="A62" i="10"/>
  <c r="A61" i="10"/>
  <c r="A56" i="10"/>
  <c r="A55" i="10"/>
  <c r="A54" i="10"/>
  <c r="A50" i="10"/>
  <c r="A49" i="10"/>
  <c r="A48" i="10"/>
  <c r="A47" i="10"/>
  <c r="A46" i="10"/>
  <c r="A45" i="10"/>
  <c r="A44" i="10"/>
  <c r="A41" i="10"/>
  <c r="A40" i="10"/>
  <c r="A39" i="10"/>
  <c r="A37" i="10"/>
  <c r="A36" i="10"/>
  <c r="A34" i="10"/>
  <c r="A30" i="10"/>
  <c r="A29" i="10"/>
  <c r="A28" i="10"/>
  <c r="A27" i="10"/>
  <c r="A23" i="10"/>
  <c r="A22" i="10"/>
  <c r="A21" i="10"/>
  <c r="A20" i="10"/>
  <c r="A19" i="10"/>
  <c r="A18" i="10"/>
  <c r="A17" i="10"/>
  <c r="A13" i="10"/>
  <c r="A12" i="10"/>
  <c r="A11" i="10"/>
  <c r="A9" i="10"/>
  <c r="A8" i="10"/>
  <c r="A6" i="10"/>
  <c r="D6" i="2" l="1"/>
  <c r="D4" i="2"/>
  <c r="D52" i="2"/>
  <c r="D50" i="2"/>
  <c r="D51" i="2"/>
  <c r="D49" i="2"/>
  <c r="D47" i="2"/>
  <c r="D48" i="2"/>
  <c r="D46" i="2"/>
  <c r="D44" i="2"/>
  <c r="D45" i="2"/>
  <c r="D43" i="2"/>
  <c r="D41" i="2"/>
  <c r="D42" i="2"/>
  <c r="D40" i="2"/>
  <c r="D38" i="2"/>
  <c r="D39" i="2"/>
  <c r="D37" i="2"/>
  <c r="D35" i="2"/>
  <c r="D36" i="2"/>
  <c r="D34" i="2"/>
  <c r="D32" i="2"/>
  <c r="D33" i="2"/>
  <c r="D31" i="2"/>
  <c r="D23" i="2"/>
  <c r="D24" i="2"/>
  <c r="D22" i="2"/>
  <c r="D26" i="2"/>
  <c r="D27" i="2"/>
  <c r="D25" i="2"/>
  <c r="D29" i="2"/>
  <c r="D30" i="2"/>
  <c r="D28" i="2"/>
  <c r="D20" i="2"/>
  <c r="D21" i="2"/>
  <c r="D19" i="2"/>
  <c r="D17" i="2"/>
  <c r="D18" i="2"/>
  <c r="D16" i="2"/>
  <c r="D14" i="2"/>
  <c r="D15" i="2"/>
  <c r="D13" i="2"/>
  <c r="D11" i="2"/>
  <c r="D12" i="2"/>
  <c r="D10" i="2"/>
  <c r="D8" i="2"/>
  <c r="D9" i="2"/>
  <c r="D7" i="2"/>
  <c r="G45" i="3" l="1"/>
  <c r="J55" i="3" l="1"/>
  <c r="I55" i="3"/>
  <c r="H55" i="3"/>
  <c r="G55" i="3"/>
  <c r="F55" i="3"/>
  <c r="J54" i="3"/>
  <c r="I54" i="3"/>
  <c r="H54" i="3"/>
  <c r="G54" i="3"/>
  <c r="F54" i="3"/>
  <c r="J53" i="3"/>
  <c r="I53" i="3"/>
  <c r="H53" i="3"/>
  <c r="G53" i="3"/>
  <c r="F53" i="3"/>
  <c r="J52" i="3"/>
  <c r="I52" i="3"/>
  <c r="H52" i="3"/>
  <c r="G52" i="3"/>
  <c r="F52" i="3"/>
  <c r="J51" i="3"/>
  <c r="I51" i="3"/>
  <c r="H51" i="3"/>
  <c r="G51" i="3"/>
  <c r="F51" i="3"/>
  <c r="J50" i="3"/>
  <c r="I50" i="3"/>
  <c r="H50" i="3"/>
  <c r="G50" i="3"/>
  <c r="F50" i="3"/>
  <c r="J49" i="3"/>
  <c r="I49" i="3"/>
  <c r="H49" i="3"/>
  <c r="G49" i="3"/>
  <c r="F49" i="3"/>
  <c r="J48" i="3"/>
  <c r="K48" i="9" s="1"/>
  <c r="I48" i="3"/>
  <c r="H48" i="3"/>
  <c r="G48" i="3"/>
  <c r="F48" i="3"/>
  <c r="J47" i="3"/>
  <c r="I47" i="3"/>
  <c r="H47" i="3"/>
  <c r="G47" i="3"/>
  <c r="F47" i="3"/>
  <c r="J46" i="3"/>
  <c r="I46" i="3"/>
  <c r="H46" i="3"/>
  <c r="G46" i="3"/>
  <c r="F46" i="3"/>
  <c r="J45" i="3"/>
  <c r="I45" i="3"/>
  <c r="H45" i="3"/>
  <c r="F45" i="3"/>
  <c r="J44" i="3"/>
  <c r="I44" i="3"/>
  <c r="H44" i="3"/>
  <c r="G44" i="3"/>
  <c r="F44" i="3"/>
  <c r="J43" i="3"/>
  <c r="I43" i="3"/>
  <c r="H43" i="3"/>
  <c r="G43" i="3"/>
  <c r="F43" i="3"/>
  <c r="J42" i="3"/>
  <c r="I42" i="3"/>
  <c r="H42" i="3"/>
  <c r="G42" i="3"/>
  <c r="F42" i="3"/>
  <c r="J41" i="3"/>
  <c r="I41" i="3"/>
  <c r="H41" i="3"/>
  <c r="G41" i="3"/>
  <c r="F41" i="3"/>
  <c r="J40" i="3"/>
  <c r="I40" i="3"/>
  <c r="H40" i="3"/>
  <c r="G40" i="3"/>
  <c r="F40" i="3"/>
  <c r="J39" i="3"/>
  <c r="I39" i="3"/>
  <c r="H39" i="3"/>
  <c r="G39" i="3"/>
  <c r="F39" i="3"/>
  <c r="J38" i="3"/>
  <c r="I38" i="3"/>
  <c r="H38" i="3"/>
  <c r="G38" i="3"/>
  <c r="F38" i="3"/>
  <c r="J37" i="3"/>
  <c r="I37" i="3"/>
  <c r="H37" i="3"/>
  <c r="G37" i="3"/>
  <c r="F37" i="3"/>
  <c r="J36" i="3"/>
  <c r="I36" i="3"/>
  <c r="H36" i="3"/>
  <c r="G36" i="3"/>
  <c r="F36" i="3"/>
  <c r="J35" i="3"/>
  <c r="I35" i="3"/>
  <c r="H35" i="3"/>
  <c r="G35" i="3"/>
  <c r="F35" i="3"/>
  <c r="J34" i="3"/>
  <c r="I34" i="3"/>
  <c r="H34" i="3"/>
  <c r="G34" i="3"/>
  <c r="F34" i="3"/>
  <c r="J33" i="3"/>
  <c r="I33" i="3"/>
  <c r="H33" i="3"/>
  <c r="G33" i="3"/>
  <c r="F33" i="3"/>
  <c r="J32" i="3"/>
  <c r="I32" i="3"/>
  <c r="H32" i="3"/>
  <c r="G32" i="3"/>
  <c r="F32" i="3"/>
  <c r="J31" i="3"/>
  <c r="I31" i="3"/>
  <c r="H31" i="3"/>
  <c r="G31" i="3"/>
  <c r="F31" i="3"/>
  <c r="J30" i="3"/>
  <c r="I30" i="3"/>
  <c r="H30" i="3"/>
  <c r="G30" i="3"/>
  <c r="F30" i="3"/>
  <c r="J29" i="3"/>
  <c r="I29" i="3"/>
  <c r="H29" i="3"/>
  <c r="G29" i="3"/>
  <c r="F29" i="3"/>
  <c r="J28" i="3"/>
  <c r="I28" i="3"/>
  <c r="H28" i="3"/>
  <c r="G28" i="3"/>
  <c r="F28" i="3"/>
  <c r="J27" i="3"/>
  <c r="I27" i="3"/>
  <c r="H27" i="3"/>
  <c r="G27" i="3"/>
  <c r="F27" i="3"/>
  <c r="J26" i="3"/>
  <c r="I26" i="3"/>
  <c r="H26" i="3"/>
  <c r="G26" i="3"/>
  <c r="F26" i="3"/>
  <c r="J25" i="3"/>
  <c r="I25" i="3"/>
  <c r="H25" i="3"/>
  <c r="G25" i="3"/>
  <c r="F25" i="3"/>
  <c r="J24" i="3"/>
  <c r="I24" i="3"/>
  <c r="H24" i="3"/>
  <c r="G24" i="3"/>
  <c r="F24" i="3"/>
  <c r="J23" i="3"/>
  <c r="I23" i="3"/>
  <c r="H23" i="3"/>
  <c r="G23" i="3"/>
  <c r="F23" i="3"/>
  <c r="J22" i="3"/>
  <c r="I22" i="3"/>
  <c r="H22" i="3"/>
  <c r="G22" i="3"/>
  <c r="F22" i="3"/>
  <c r="J21" i="3"/>
  <c r="I21" i="3"/>
  <c r="H21" i="3"/>
  <c r="G21" i="3"/>
  <c r="F21" i="3"/>
  <c r="J20" i="3"/>
  <c r="I20" i="3"/>
  <c r="H20" i="3"/>
  <c r="G20" i="3"/>
  <c r="F20" i="3"/>
  <c r="J19" i="3"/>
  <c r="I19" i="3"/>
  <c r="H19" i="3"/>
  <c r="G19" i="3"/>
  <c r="F19" i="3"/>
  <c r="J18" i="3"/>
  <c r="I18" i="3"/>
  <c r="H18" i="3"/>
  <c r="G18" i="3"/>
  <c r="F18" i="3"/>
  <c r="J17" i="3"/>
  <c r="I17" i="3"/>
  <c r="H17" i="3"/>
  <c r="G17" i="3"/>
  <c r="F17" i="3"/>
  <c r="J16" i="3"/>
  <c r="I16" i="3"/>
  <c r="H16" i="3"/>
  <c r="G16" i="3"/>
  <c r="F16" i="3"/>
  <c r="J15" i="3"/>
  <c r="I15" i="3"/>
  <c r="H15" i="3"/>
  <c r="F15" i="3"/>
  <c r="J14" i="3"/>
  <c r="I14" i="3"/>
  <c r="H14" i="3"/>
  <c r="G14" i="3"/>
  <c r="F14" i="3"/>
  <c r="J13" i="3"/>
  <c r="I13" i="3"/>
  <c r="H13" i="3"/>
  <c r="G13" i="3"/>
  <c r="F13" i="3"/>
  <c r="J12" i="3"/>
  <c r="I12" i="3"/>
  <c r="H12" i="3"/>
  <c r="G12" i="3"/>
  <c r="F12" i="3"/>
  <c r="J11" i="3"/>
  <c r="I11" i="3"/>
  <c r="H11" i="3"/>
  <c r="G11" i="3"/>
  <c r="F11" i="3"/>
  <c r="J10" i="3"/>
  <c r="I10" i="3"/>
  <c r="H10" i="3"/>
  <c r="G10" i="3"/>
  <c r="F10" i="3"/>
  <c r="J9" i="3"/>
  <c r="I9" i="3"/>
  <c r="H9" i="3"/>
  <c r="G9" i="3"/>
  <c r="F9" i="3"/>
  <c r="J8" i="3"/>
  <c r="I8" i="3"/>
  <c r="H8" i="3"/>
  <c r="G8" i="3"/>
  <c r="F8" i="3"/>
  <c r="J7" i="3"/>
  <c r="I7" i="3"/>
  <c r="H7" i="3"/>
  <c r="G7" i="3"/>
  <c r="F7" i="3"/>
  <c r="J6" i="3"/>
  <c r="I6" i="3"/>
  <c r="H6" i="3"/>
  <c r="G6" i="3"/>
  <c r="F6" i="3"/>
  <c r="J5" i="3"/>
  <c r="I5" i="3"/>
  <c r="H5" i="3"/>
  <c r="G5" i="3"/>
  <c r="F5" i="3"/>
  <c r="J4" i="3"/>
  <c r="I4" i="3"/>
  <c r="H4" i="3"/>
  <c r="G4" i="3"/>
  <c r="F4" i="3"/>
  <c r="J3" i="3"/>
  <c r="I3" i="3"/>
  <c r="H3" i="3"/>
  <c r="G3" i="3"/>
  <c r="F3" i="3"/>
  <c r="C24" i="1"/>
  <c r="C23" i="1"/>
  <c r="C18" i="1"/>
  <c r="H54" i="4" l="1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3" i="3"/>
  <c r="K58" i="2" l="1"/>
  <c r="F77" i="3" l="1"/>
  <c r="L8" i="8" l="1"/>
  <c r="L30" i="8"/>
  <c r="L29" i="8"/>
  <c r="L28" i="8"/>
  <c r="L27" i="8"/>
  <c r="I30" i="8"/>
  <c r="I29" i="8"/>
  <c r="I28" i="8"/>
  <c r="I27" i="8"/>
  <c r="F30" i="8"/>
  <c r="F29" i="8"/>
  <c r="F28" i="8"/>
  <c r="F27" i="8"/>
  <c r="C29" i="8"/>
  <c r="D10" i="6" l="1"/>
  <c r="D11" i="6"/>
  <c r="D12" i="6"/>
  <c r="D19" i="6"/>
  <c r="D20" i="6"/>
  <c r="D21" i="6"/>
  <c r="C21" i="5" l="1"/>
  <c r="C20" i="5"/>
  <c r="C19" i="5"/>
  <c r="C12" i="5"/>
  <c r="C11" i="5"/>
  <c r="C10" i="5"/>
  <c r="E10" i="1"/>
  <c r="E11" i="1"/>
  <c r="E12" i="1"/>
  <c r="E19" i="1"/>
  <c r="E20" i="1"/>
  <c r="E21" i="1"/>
  <c r="C21" i="1"/>
  <c r="C20" i="1"/>
  <c r="L10" i="8"/>
  <c r="M10" i="8" s="1"/>
  <c r="I10" i="8"/>
  <c r="B20" i="5" s="1"/>
  <c r="J20" i="5" s="1"/>
  <c r="G10" i="8"/>
  <c r="C12" i="1"/>
  <c r="C11" i="1"/>
  <c r="G7" i="8"/>
  <c r="I7" i="8"/>
  <c r="J7" i="8" s="1"/>
  <c r="L7" i="8"/>
  <c r="M7" i="8" s="1"/>
  <c r="C13" i="1"/>
  <c r="E13" i="1"/>
  <c r="B36" i="10" s="1"/>
  <c r="C14" i="1"/>
  <c r="E14" i="1"/>
  <c r="C36" i="10" s="1"/>
  <c r="C15" i="1"/>
  <c r="E15" i="1"/>
  <c r="D36" i="10" s="1"/>
  <c r="D20" i="9" l="1"/>
  <c r="C38" i="10"/>
  <c r="D10" i="9"/>
  <c r="B35" i="10"/>
  <c r="D19" i="9"/>
  <c r="B38" i="10"/>
  <c r="D12" i="9"/>
  <c r="D35" i="10"/>
  <c r="D21" i="9"/>
  <c r="D38" i="10"/>
  <c r="D11" i="9"/>
  <c r="C35" i="10"/>
  <c r="E36" i="10"/>
  <c r="D20" i="4"/>
  <c r="D21" i="4"/>
  <c r="D12" i="4"/>
  <c r="D11" i="4"/>
  <c r="D12" i="3"/>
  <c r="F12" i="5"/>
  <c r="D11" i="3"/>
  <c r="F11" i="5"/>
  <c r="D10" i="3"/>
  <c r="F10" i="5"/>
  <c r="D19" i="4"/>
  <c r="D10" i="4"/>
  <c r="D21" i="3"/>
  <c r="F21" i="5"/>
  <c r="D20" i="3"/>
  <c r="F20" i="5"/>
  <c r="F19" i="5"/>
  <c r="D19" i="3"/>
  <c r="B11" i="5"/>
  <c r="J11" i="5" s="1"/>
  <c r="B21" i="5"/>
  <c r="J21" i="5" s="1"/>
  <c r="B12" i="5"/>
  <c r="J12" i="5" s="1"/>
  <c r="J10" i="8"/>
  <c r="B19" i="5"/>
  <c r="J19" i="5" s="1"/>
  <c r="D7" i="8"/>
  <c r="C11" i="6"/>
  <c r="C12" i="6"/>
  <c r="C10" i="6"/>
  <c r="D10" i="8"/>
  <c r="C21" i="6"/>
  <c r="C20" i="6"/>
  <c r="C19" i="6"/>
  <c r="B10" i="5"/>
  <c r="J10" i="5" s="1"/>
  <c r="Q12" i="9"/>
  <c r="M12" i="9"/>
  <c r="Q11" i="9"/>
  <c r="M11" i="9"/>
  <c r="I11" i="9"/>
  <c r="Q10" i="9"/>
  <c r="M10" i="9"/>
  <c r="I10" i="9"/>
  <c r="Q21" i="9"/>
  <c r="M21" i="9"/>
  <c r="I21" i="9"/>
  <c r="Q20" i="9"/>
  <c r="M20" i="9"/>
  <c r="Q19" i="9"/>
  <c r="M19" i="9"/>
  <c r="I19" i="9"/>
  <c r="D11" i="5"/>
  <c r="Q12" i="5"/>
  <c r="M12" i="5"/>
  <c r="I12" i="5"/>
  <c r="Q11" i="5"/>
  <c r="M11" i="5"/>
  <c r="I11" i="5"/>
  <c r="Q10" i="5"/>
  <c r="Q21" i="5"/>
  <c r="M21" i="5"/>
  <c r="I21" i="5"/>
  <c r="Q20" i="5"/>
  <c r="M20" i="5"/>
  <c r="I20" i="5"/>
  <c r="Q19" i="5"/>
  <c r="M19" i="5"/>
  <c r="P12" i="9"/>
  <c r="L12" i="9"/>
  <c r="H12" i="9"/>
  <c r="P11" i="9"/>
  <c r="L11" i="9"/>
  <c r="P10" i="9"/>
  <c r="L10" i="9"/>
  <c r="H10" i="9"/>
  <c r="P21" i="9"/>
  <c r="L21" i="9"/>
  <c r="H21" i="9"/>
  <c r="P20" i="9"/>
  <c r="L20" i="9"/>
  <c r="H20" i="9"/>
  <c r="P19" i="9"/>
  <c r="L19" i="9"/>
  <c r="D10" i="5"/>
  <c r="D21" i="5"/>
  <c r="E21" i="5" s="1"/>
  <c r="P12" i="5"/>
  <c r="L12" i="5"/>
  <c r="H12" i="5"/>
  <c r="P11" i="5"/>
  <c r="L11" i="5"/>
  <c r="H11" i="5"/>
  <c r="L10" i="5"/>
  <c r="H10" i="5"/>
  <c r="P21" i="5"/>
  <c r="L21" i="5"/>
  <c r="H21" i="5"/>
  <c r="P20" i="5"/>
  <c r="L20" i="5"/>
  <c r="H20" i="5"/>
  <c r="P19" i="5"/>
  <c r="L19" i="5"/>
  <c r="H19" i="5"/>
  <c r="O12" i="9"/>
  <c r="K12" i="9"/>
  <c r="G12" i="9"/>
  <c r="O11" i="9"/>
  <c r="K11" i="9"/>
  <c r="G11" i="9"/>
  <c r="O10" i="9"/>
  <c r="K10" i="9"/>
  <c r="O21" i="9"/>
  <c r="K21" i="9"/>
  <c r="O20" i="9"/>
  <c r="K20" i="9"/>
  <c r="G20" i="9"/>
  <c r="O19" i="9"/>
  <c r="K19" i="9"/>
  <c r="G19" i="9"/>
  <c r="D20" i="5"/>
  <c r="E20" i="5" s="1"/>
  <c r="S12" i="5"/>
  <c r="O12" i="5"/>
  <c r="K12" i="5"/>
  <c r="S11" i="5"/>
  <c r="O11" i="5"/>
  <c r="K11" i="5"/>
  <c r="O10" i="5"/>
  <c r="S21" i="5"/>
  <c r="O21" i="5"/>
  <c r="K21" i="5"/>
  <c r="S20" i="5"/>
  <c r="O20" i="5"/>
  <c r="K20" i="5"/>
  <c r="S19" i="5"/>
  <c r="O19" i="5"/>
  <c r="K19" i="5"/>
  <c r="R12" i="9"/>
  <c r="N12" i="9"/>
  <c r="J12" i="9"/>
  <c r="R11" i="9"/>
  <c r="N11" i="9"/>
  <c r="J11" i="9"/>
  <c r="R10" i="9"/>
  <c r="N10" i="9"/>
  <c r="J10" i="9"/>
  <c r="R21" i="9"/>
  <c r="N21" i="9"/>
  <c r="J21" i="9"/>
  <c r="R20" i="9"/>
  <c r="N20" i="9"/>
  <c r="J20" i="9"/>
  <c r="R19" i="9"/>
  <c r="N19" i="9"/>
  <c r="J19" i="9"/>
  <c r="D12" i="5"/>
  <c r="E12" i="5" s="1"/>
  <c r="E11" i="5"/>
  <c r="D19" i="5"/>
  <c r="E19" i="5" s="1"/>
  <c r="R12" i="5"/>
  <c r="N12" i="5"/>
  <c r="R11" i="5"/>
  <c r="N11" i="5"/>
  <c r="R10" i="5"/>
  <c r="N10" i="5"/>
  <c r="R21" i="5"/>
  <c r="N21" i="5"/>
  <c r="R20" i="5"/>
  <c r="N20" i="5"/>
  <c r="R19" i="5"/>
  <c r="N19" i="5"/>
  <c r="C6" i="8"/>
  <c r="L23" i="8"/>
  <c r="L22" i="8"/>
  <c r="L21" i="8"/>
  <c r="L20" i="8"/>
  <c r="L19" i="8"/>
  <c r="L18" i="8"/>
  <c r="L17" i="8"/>
  <c r="L9" i="8"/>
  <c r="L11" i="8"/>
  <c r="L12" i="8"/>
  <c r="L13" i="8"/>
  <c r="L6" i="8"/>
  <c r="I23" i="8"/>
  <c r="I22" i="8"/>
  <c r="I21" i="8"/>
  <c r="I20" i="8"/>
  <c r="I19" i="8"/>
  <c r="I18" i="8"/>
  <c r="I17" i="8"/>
  <c r="I8" i="8"/>
  <c r="I9" i="8"/>
  <c r="I11" i="8"/>
  <c r="I12" i="8"/>
  <c r="I13" i="8"/>
  <c r="I6" i="8"/>
  <c r="K10" i="5" l="1"/>
  <c r="P10" i="5"/>
  <c r="I19" i="5"/>
  <c r="E35" i="10"/>
  <c r="E38" i="10"/>
  <c r="E10" i="5"/>
  <c r="S10" i="5"/>
  <c r="I10" i="5"/>
  <c r="M10" i="5"/>
  <c r="B38" i="8"/>
  <c r="B35" i="8"/>
  <c r="I20" i="6"/>
  <c r="P20" i="6"/>
  <c r="R20" i="6"/>
  <c r="Q20" i="6"/>
  <c r="L20" i="6"/>
  <c r="O20" i="6"/>
  <c r="N20" i="6"/>
  <c r="E20" i="6"/>
  <c r="M20" i="6"/>
  <c r="H20" i="6"/>
  <c r="K20" i="6"/>
  <c r="J20" i="6"/>
  <c r="G20" i="6"/>
  <c r="G12" i="6"/>
  <c r="J12" i="6"/>
  <c r="R12" i="6"/>
  <c r="M12" i="6"/>
  <c r="N12" i="6"/>
  <c r="I12" i="6"/>
  <c r="Q12" i="6"/>
  <c r="E12" i="6"/>
  <c r="O12" i="6"/>
  <c r="P12" i="6"/>
  <c r="K12" i="6"/>
  <c r="L12" i="6"/>
  <c r="H12" i="6"/>
  <c r="I21" i="6"/>
  <c r="G21" i="6"/>
  <c r="E21" i="6"/>
  <c r="P21" i="6"/>
  <c r="R21" i="6"/>
  <c r="L21" i="6"/>
  <c r="O21" i="6"/>
  <c r="N21" i="6"/>
  <c r="Q21" i="6"/>
  <c r="H21" i="6"/>
  <c r="K21" i="6"/>
  <c r="J21" i="6"/>
  <c r="M21" i="6"/>
  <c r="G11" i="6"/>
  <c r="I11" i="6"/>
  <c r="P11" i="6"/>
  <c r="J11" i="6"/>
  <c r="Q11" i="6"/>
  <c r="L11" i="6"/>
  <c r="R11" i="6"/>
  <c r="N11" i="6"/>
  <c r="E11" i="6"/>
  <c r="M11" i="6"/>
  <c r="O11" i="6"/>
  <c r="H11" i="6"/>
  <c r="K11" i="6"/>
  <c r="I19" i="6"/>
  <c r="E19" i="6"/>
  <c r="L19" i="6"/>
  <c r="O19" i="6"/>
  <c r="N19" i="6"/>
  <c r="H19" i="6"/>
  <c r="K19" i="6"/>
  <c r="J19" i="6"/>
  <c r="G19" i="6"/>
  <c r="Q19" i="6"/>
  <c r="P19" i="6"/>
  <c r="R19" i="6"/>
  <c r="M19" i="6"/>
  <c r="I10" i="6"/>
  <c r="N10" i="6"/>
  <c r="R10" i="6"/>
  <c r="K10" i="6"/>
  <c r="H10" i="6"/>
  <c r="L10" i="6"/>
  <c r="Q10" i="6"/>
  <c r="O10" i="6"/>
  <c r="G10" i="6"/>
  <c r="M10" i="6"/>
  <c r="E10" i="6"/>
  <c r="J10" i="6"/>
  <c r="P10" i="6"/>
  <c r="G20" i="5"/>
  <c r="I38" i="8" s="1"/>
  <c r="G12" i="5"/>
  <c r="L35" i="8" s="1"/>
  <c r="E20" i="3"/>
  <c r="H38" i="8" s="1"/>
  <c r="I20" i="9"/>
  <c r="F20" i="9" s="1"/>
  <c r="E12" i="3"/>
  <c r="K35" i="8" s="1"/>
  <c r="I12" i="9"/>
  <c r="F12" i="9" s="1"/>
  <c r="G19" i="5"/>
  <c r="F38" i="8" s="1"/>
  <c r="G11" i="5"/>
  <c r="I35" i="8" s="1"/>
  <c r="E19" i="3"/>
  <c r="E38" i="8" s="1"/>
  <c r="H19" i="9"/>
  <c r="F19" i="9" s="1"/>
  <c r="E11" i="3"/>
  <c r="H35" i="8" s="1"/>
  <c r="H11" i="9"/>
  <c r="F11" i="9" s="1"/>
  <c r="E10" i="3"/>
  <c r="E35" i="8" s="1"/>
  <c r="G10" i="9"/>
  <c r="F10" i="9" s="1"/>
  <c r="G10" i="5"/>
  <c r="F35" i="8" s="1"/>
  <c r="G21" i="9"/>
  <c r="F21" i="9" s="1"/>
  <c r="E21" i="3"/>
  <c r="K38" i="8" s="1"/>
  <c r="G21" i="5"/>
  <c r="L38" i="8" s="1"/>
  <c r="M35" i="8" l="1"/>
  <c r="J38" i="8"/>
  <c r="M38" i="8"/>
  <c r="O35" i="8"/>
  <c r="J35" i="8"/>
  <c r="G35" i="8"/>
  <c r="N35" i="8"/>
  <c r="F12" i="6"/>
  <c r="O38" i="8"/>
  <c r="G38" i="8"/>
  <c r="N38" i="8"/>
  <c r="F21" i="6"/>
  <c r="F11" i="6"/>
  <c r="F10" i="6"/>
  <c r="F19" i="6"/>
  <c r="F20" i="6"/>
  <c r="K58" i="1"/>
  <c r="L58" i="1"/>
  <c r="M58" i="1"/>
  <c r="N58" i="1"/>
  <c r="O58" i="1"/>
  <c r="P58" i="1"/>
  <c r="Q58" i="1"/>
  <c r="G58" i="1"/>
  <c r="I58" i="1"/>
  <c r="J58" i="1"/>
  <c r="F58" i="1"/>
  <c r="A34" i="8"/>
  <c r="L58" i="2"/>
  <c r="M58" i="2"/>
  <c r="N58" i="2"/>
  <c r="O58" i="2"/>
  <c r="P58" i="2"/>
  <c r="Q58" i="2"/>
  <c r="G58" i="2"/>
  <c r="H58" i="2"/>
  <c r="I58" i="2"/>
  <c r="J58" i="2"/>
  <c r="F58" i="2"/>
  <c r="C9" i="6"/>
  <c r="C8" i="6"/>
  <c r="C7" i="6"/>
  <c r="B9" i="5"/>
  <c r="K9" i="5" s="1"/>
  <c r="B8" i="5"/>
  <c r="M8" i="5" s="1"/>
  <c r="C8" i="1"/>
  <c r="C9" i="1"/>
  <c r="A6" i="8"/>
  <c r="C9" i="5"/>
  <c r="C8" i="5"/>
  <c r="C7" i="5"/>
  <c r="M6" i="8"/>
  <c r="J6" i="8"/>
  <c r="D6" i="8"/>
  <c r="E9" i="1"/>
  <c r="D9" i="9" s="1"/>
  <c r="E8" i="1"/>
  <c r="F8" i="5" s="1"/>
  <c r="E7" i="1"/>
  <c r="F7" i="5" l="1"/>
  <c r="B34" i="10"/>
  <c r="D34" i="10"/>
  <c r="C34" i="10"/>
  <c r="C38" i="8"/>
  <c r="D38" i="8" s="1"/>
  <c r="C35" i="8"/>
  <c r="R35" i="8" s="1"/>
  <c r="P35" i="8"/>
  <c r="Q35" i="8"/>
  <c r="Q38" i="8"/>
  <c r="P38" i="8"/>
  <c r="G9" i="9"/>
  <c r="M7" i="6"/>
  <c r="G7" i="6"/>
  <c r="H7" i="6"/>
  <c r="J8" i="6"/>
  <c r="G8" i="6"/>
  <c r="H8" i="6"/>
  <c r="M9" i="6"/>
  <c r="G9" i="6"/>
  <c r="H9" i="6"/>
  <c r="H9" i="9"/>
  <c r="I9" i="9"/>
  <c r="H7" i="9"/>
  <c r="S9" i="5"/>
  <c r="D8" i="9"/>
  <c r="D9" i="3"/>
  <c r="O9" i="5"/>
  <c r="R9" i="5"/>
  <c r="F9" i="5"/>
  <c r="D8" i="3"/>
  <c r="D7" i="3"/>
  <c r="D7" i="9"/>
  <c r="O9" i="6"/>
  <c r="N9" i="6"/>
  <c r="I9" i="6"/>
  <c r="P9" i="6"/>
  <c r="J9" i="6"/>
  <c r="R9" i="6"/>
  <c r="O8" i="6"/>
  <c r="P8" i="6"/>
  <c r="O7" i="6"/>
  <c r="N7" i="6"/>
  <c r="I7" i="6"/>
  <c r="P7" i="6"/>
  <c r="J7" i="6"/>
  <c r="R7" i="6"/>
  <c r="I8" i="5"/>
  <c r="Q8" i="5"/>
  <c r="P8" i="5"/>
  <c r="D9" i="6"/>
  <c r="E9" i="6" s="1"/>
  <c r="D8" i="6"/>
  <c r="E8" i="6" s="1"/>
  <c r="D7" i="6"/>
  <c r="E7" i="6" s="1"/>
  <c r="D9" i="5"/>
  <c r="E9" i="5" s="1"/>
  <c r="D8" i="5"/>
  <c r="E8" i="5" s="1"/>
  <c r="J8" i="5"/>
  <c r="N8" i="5"/>
  <c r="R8" i="5"/>
  <c r="H9" i="5"/>
  <c r="L9" i="5"/>
  <c r="P9" i="5"/>
  <c r="K8" i="5"/>
  <c r="O8" i="5"/>
  <c r="S8" i="5"/>
  <c r="I9" i="5"/>
  <c r="M9" i="5"/>
  <c r="Q9" i="5"/>
  <c r="H8" i="5"/>
  <c r="L8" i="5"/>
  <c r="J9" i="5"/>
  <c r="N9" i="5"/>
  <c r="L7" i="6"/>
  <c r="Q7" i="6"/>
  <c r="I8" i="6"/>
  <c r="N8" i="6"/>
  <c r="L9" i="6"/>
  <c r="Q9" i="6"/>
  <c r="J9" i="9"/>
  <c r="Q8" i="6"/>
  <c r="L8" i="6"/>
  <c r="M8" i="6"/>
  <c r="R8" i="6"/>
  <c r="J8" i="9"/>
  <c r="K7" i="6"/>
  <c r="K8" i="6"/>
  <c r="K9" i="6"/>
  <c r="Q9" i="9"/>
  <c r="D35" i="8" l="1"/>
  <c r="E34" i="10"/>
  <c r="R38" i="8"/>
  <c r="S38" i="8" s="1"/>
  <c r="I8" i="9"/>
  <c r="S35" i="8"/>
  <c r="G7" i="9"/>
  <c r="O8" i="9"/>
  <c r="G8" i="9"/>
  <c r="H8" i="9"/>
  <c r="Q8" i="9"/>
  <c r="P9" i="9"/>
  <c r="N9" i="9"/>
  <c r="R9" i="9"/>
  <c r="F9" i="6"/>
  <c r="J7" i="9"/>
  <c r="E8" i="3"/>
  <c r="H34" i="8" s="1"/>
  <c r="F8" i="6"/>
  <c r="D9" i="4"/>
  <c r="F7" i="6"/>
  <c r="L9" i="9"/>
  <c r="E9" i="3"/>
  <c r="K34" i="8" s="1"/>
  <c r="L7" i="9"/>
  <c r="M9" i="9"/>
  <c r="O9" i="9"/>
  <c r="R8" i="9"/>
  <c r="K8" i="9"/>
  <c r="M8" i="9"/>
  <c r="K9" i="9"/>
  <c r="P8" i="9"/>
  <c r="N8" i="9"/>
  <c r="L8" i="9"/>
  <c r="D8" i="4"/>
  <c r="K7" i="9"/>
  <c r="G8" i="5"/>
  <c r="I34" i="8" s="1"/>
  <c r="G9" i="5"/>
  <c r="L34" i="8" s="1"/>
  <c r="I7" i="9"/>
  <c r="D7" i="4"/>
  <c r="F9" i="9" l="1"/>
  <c r="F8" i="9"/>
  <c r="B34" i="8"/>
  <c r="C34" i="8"/>
  <c r="D34" i="8" l="1"/>
  <c r="M34" i="8"/>
  <c r="J34" i="8"/>
  <c r="J64" i="2" l="1"/>
  <c r="F64" i="2" l="1"/>
  <c r="D30" i="6" l="1"/>
  <c r="D29" i="6"/>
  <c r="D28" i="6"/>
  <c r="B29" i="5"/>
  <c r="I29" i="5" s="1"/>
  <c r="C30" i="1"/>
  <c r="C29" i="1"/>
  <c r="D28" i="5"/>
  <c r="A41" i="8"/>
  <c r="A13" i="8"/>
  <c r="D13" i="8"/>
  <c r="G13" i="8"/>
  <c r="J13" i="8"/>
  <c r="M13" i="8"/>
  <c r="D12" i="8"/>
  <c r="G12" i="8"/>
  <c r="J12" i="8"/>
  <c r="M12" i="8"/>
  <c r="D29" i="5"/>
  <c r="C28" i="5"/>
  <c r="C29" i="5"/>
  <c r="C30" i="5"/>
  <c r="E30" i="1"/>
  <c r="D41" i="10" s="1"/>
  <c r="E29" i="1"/>
  <c r="C41" i="10" s="1"/>
  <c r="E28" i="1"/>
  <c r="B41" i="10" s="1"/>
  <c r="E41" i="10" l="1"/>
  <c r="G29" i="9"/>
  <c r="P29" i="5"/>
  <c r="N29" i="5"/>
  <c r="H29" i="5"/>
  <c r="L29" i="5"/>
  <c r="R29" i="5"/>
  <c r="J29" i="5"/>
  <c r="N28" i="9"/>
  <c r="R28" i="9"/>
  <c r="H28" i="9"/>
  <c r="D30" i="9"/>
  <c r="D29" i="9"/>
  <c r="D28" i="9"/>
  <c r="I30" i="9"/>
  <c r="J30" i="9"/>
  <c r="N30" i="9"/>
  <c r="H30" i="9"/>
  <c r="P30" i="9"/>
  <c r="D30" i="5"/>
  <c r="I29" i="9"/>
  <c r="G30" i="9"/>
  <c r="G28" i="9"/>
  <c r="D30" i="4"/>
  <c r="D28" i="4"/>
  <c r="D29" i="4"/>
  <c r="B30" i="5"/>
  <c r="B28" i="5"/>
  <c r="E28" i="5" s="1"/>
  <c r="C28" i="6"/>
  <c r="C29" i="6"/>
  <c r="C30" i="6"/>
  <c r="E30" i="6" s="1"/>
  <c r="D30" i="3"/>
  <c r="F30" i="5"/>
  <c r="D29" i="3"/>
  <c r="F29" i="5"/>
  <c r="D28" i="3"/>
  <c r="F28" i="5"/>
  <c r="E29" i="5"/>
  <c r="S29" i="5"/>
  <c r="Q29" i="5"/>
  <c r="O29" i="5"/>
  <c r="M29" i="5"/>
  <c r="K29" i="5"/>
  <c r="E30" i="3" l="1"/>
  <c r="K41" i="8" s="1"/>
  <c r="Q30" i="9"/>
  <c r="P29" i="9"/>
  <c r="P28" i="9"/>
  <c r="O28" i="9"/>
  <c r="E29" i="3"/>
  <c r="H41" i="8" s="1"/>
  <c r="E28" i="3"/>
  <c r="E41" i="8" s="1"/>
  <c r="O29" i="9"/>
  <c r="L29" i="9"/>
  <c r="M29" i="9"/>
  <c r="J28" i="9"/>
  <c r="L28" i="9"/>
  <c r="K30" i="9"/>
  <c r="K28" i="9"/>
  <c r="R29" i="9"/>
  <c r="L30" i="9"/>
  <c r="R30" i="9"/>
  <c r="M30" i="9"/>
  <c r="M28" i="9"/>
  <c r="H29" i="9"/>
  <c r="Q28" i="9"/>
  <c r="N29" i="9"/>
  <c r="O30" i="9"/>
  <c r="K29" i="9"/>
  <c r="Q29" i="9"/>
  <c r="I28" i="9"/>
  <c r="J29" i="9"/>
  <c r="B41" i="8"/>
  <c r="G29" i="5"/>
  <c r="I41" i="8" s="1"/>
  <c r="J30" i="5"/>
  <c r="L30" i="5"/>
  <c r="N30" i="5"/>
  <c r="P30" i="5"/>
  <c r="R30" i="5"/>
  <c r="E30" i="5"/>
  <c r="I30" i="5"/>
  <c r="K30" i="5"/>
  <c r="M30" i="5"/>
  <c r="O30" i="5"/>
  <c r="Q30" i="5"/>
  <c r="S30" i="5"/>
  <c r="H30" i="5"/>
  <c r="I28" i="5"/>
  <c r="K28" i="5"/>
  <c r="M28" i="5"/>
  <c r="O28" i="5"/>
  <c r="Q28" i="5"/>
  <c r="S28" i="5"/>
  <c r="J28" i="5"/>
  <c r="L28" i="5"/>
  <c r="N28" i="5"/>
  <c r="P28" i="5"/>
  <c r="R28" i="5"/>
  <c r="H28" i="5"/>
  <c r="I30" i="6"/>
  <c r="K30" i="6"/>
  <c r="M30" i="6"/>
  <c r="O30" i="6"/>
  <c r="Q30" i="6"/>
  <c r="G30" i="6"/>
  <c r="H30" i="6"/>
  <c r="J30" i="6"/>
  <c r="L30" i="6"/>
  <c r="N30" i="6"/>
  <c r="P30" i="6"/>
  <c r="R30" i="6"/>
  <c r="I28" i="6"/>
  <c r="K28" i="6"/>
  <c r="M28" i="6"/>
  <c r="O28" i="6"/>
  <c r="Q28" i="6"/>
  <c r="G28" i="6"/>
  <c r="E28" i="6"/>
  <c r="H28" i="6"/>
  <c r="J28" i="6"/>
  <c r="L28" i="6"/>
  <c r="N28" i="6"/>
  <c r="P28" i="6"/>
  <c r="R28" i="6"/>
  <c r="H29" i="6"/>
  <c r="J29" i="6"/>
  <c r="L29" i="6"/>
  <c r="N29" i="6"/>
  <c r="P29" i="6"/>
  <c r="R29" i="6"/>
  <c r="I29" i="6"/>
  <c r="K29" i="6"/>
  <c r="M29" i="6"/>
  <c r="O29" i="6"/>
  <c r="Q29" i="6"/>
  <c r="G29" i="6"/>
  <c r="E29" i="6"/>
  <c r="H67" i="9"/>
  <c r="I67" i="9"/>
  <c r="J67" i="9"/>
  <c r="K67" i="9"/>
  <c r="L67" i="9"/>
  <c r="M67" i="9"/>
  <c r="N67" i="9"/>
  <c r="O67" i="9"/>
  <c r="P67" i="9"/>
  <c r="Q67" i="9"/>
  <c r="R67" i="9"/>
  <c r="G67" i="9"/>
  <c r="F68" i="4"/>
  <c r="G68" i="4"/>
  <c r="H68" i="4"/>
  <c r="I68" i="4"/>
  <c r="J68" i="4"/>
  <c r="K68" i="4"/>
  <c r="L68" i="4"/>
  <c r="N68" i="4"/>
  <c r="O68" i="4"/>
  <c r="P68" i="4"/>
  <c r="E68" i="4"/>
  <c r="D67" i="4"/>
  <c r="E67" i="3"/>
  <c r="N41" i="8" l="1"/>
  <c r="Q41" i="8" s="1"/>
  <c r="F30" i="9"/>
  <c r="J41" i="8"/>
  <c r="F28" i="9"/>
  <c r="F29" i="9"/>
  <c r="F29" i="6"/>
  <c r="G28" i="5"/>
  <c r="F41" i="8" s="1"/>
  <c r="G41" i="8" s="1"/>
  <c r="G30" i="5"/>
  <c r="L41" i="8" s="1"/>
  <c r="M41" i="8" s="1"/>
  <c r="F28" i="6"/>
  <c r="F30" i="6"/>
  <c r="F67" i="9"/>
  <c r="D68" i="4"/>
  <c r="C41" i="8" l="1"/>
  <c r="D41" i="8" s="1"/>
  <c r="O41" i="8"/>
  <c r="P41" i="8" s="1"/>
  <c r="Q64" i="9"/>
  <c r="O64" i="9"/>
  <c r="R64" i="9"/>
  <c r="N64" i="9"/>
  <c r="M64" i="9"/>
  <c r="R1" i="9"/>
  <c r="Q1" i="9"/>
  <c r="P1" i="9"/>
  <c r="O1" i="9"/>
  <c r="N1" i="9"/>
  <c r="M1" i="9"/>
  <c r="L1" i="9"/>
  <c r="K1" i="9"/>
  <c r="J1" i="9"/>
  <c r="I1" i="9"/>
  <c r="H1" i="9"/>
  <c r="G1" i="9"/>
  <c r="R41" i="8" l="1"/>
  <c r="S41" i="8" s="1"/>
  <c r="L64" i="9"/>
  <c r="K64" i="9"/>
  <c r="G64" i="2"/>
  <c r="H64" i="2"/>
  <c r="I64" i="2"/>
  <c r="K64" i="2"/>
  <c r="J64" i="9"/>
  <c r="I64" i="9" l="1"/>
  <c r="H64" i="9"/>
  <c r="L64" i="2"/>
  <c r="M64" i="2"/>
  <c r="N64" i="2"/>
  <c r="O64" i="2"/>
  <c r="P64" i="2"/>
  <c r="Q64" i="2"/>
  <c r="G64" i="9" l="1"/>
  <c r="J27" i="8"/>
  <c r="J28" i="8"/>
  <c r="B51" i="5"/>
  <c r="B39" i="5"/>
  <c r="B33" i="5"/>
  <c r="B47" i="5"/>
  <c r="B41" i="5"/>
  <c r="B35" i="5"/>
  <c r="B43" i="5"/>
  <c r="B37" i="5"/>
  <c r="B31" i="5"/>
  <c r="B22" i="5"/>
  <c r="B18" i="5"/>
  <c r="B15" i="5"/>
  <c r="D5" i="6"/>
  <c r="D6" i="6"/>
  <c r="D3" i="6"/>
  <c r="B48" i="5"/>
  <c r="B45" i="5"/>
  <c r="B42" i="5"/>
  <c r="B36" i="5"/>
  <c r="B24" i="5"/>
  <c r="B5" i="5"/>
  <c r="B50" i="5"/>
  <c r="B44" i="5"/>
  <c r="B38" i="5"/>
  <c r="B32" i="5"/>
  <c r="B23" i="5"/>
  <c r="B17" i="5"/>
  <c r="B14" i="5"/>
  <c r="B4" i="5"/>
  <c r="B55" i="5"/>
  <c r="B54" i="5"/>
  <c r="B53" i="5"/>
  <c r="B52" i="5"/>
  <c r="B49" i="5"/>
  <c r="B46" i="5"/>
  <c r="B40" i="5"/>
  <c r="B34" i="5"/>
  <c r="B25" i="5"/>
  <c r="B16" i="5"/>
  <c r="B13" i="5"/>
  <c r="B6" i="5"/>
  <c r="B3" i="5"/>
  <c r="C6" i="1"/>
  <c r="C5" i="1"/>
  <c r="C4" i="1"/>
  <c r="C3" i="1"/>
  <c r="D52" i="6" l="1"/>
  <c r="D50" i="6"/>
  <c r="D48" i="6"/>
  <c r="D46" i="6"/>
  <c r="D44" i="6"/>
  <c r="D42" i="6"/>
  <c r="D40" i="6"/>
  <c r="D38" i="6"/>
  <c r="D36" i="6"/>
  <c r="D34" i="6"/>
  <c r="D32" i="6"/>
  <c r="D27" i="6"/>
  <c r="D25" i="6"/>
  <c r="D23" i="6"/>
  <c r="D18" i="6"/>
  <c r="D16" i="6"/>
  <c r="D14" i="6"/>
  <c r="D51" i="6"/>
  <c r="D49" i="6"/>
  <c r="D47" i="6"/>
  <c r="D45" i="6"/>
  <c r="D43" i="6"/>
  <c r="D41" i="6"/>
  <c r="D39" i="6"/>
  <c r="D37" i="6"/>
  <c r="D35" i="6"/>
  <c r="D33" i="6"/>
  <c r="D31" i="6"/>
  <c r="D26" i="6"/>
  <c r="D24" i="6"/>
  <c r="D22" i="6"/>
  <c r="D17" i="6"/>
  <c r="D15" i="6"/>
  <c r="D13" i="6"/>
  <c r="C55" i="1"/>
  <c r="C54" i="1"/>
  <c r="C52" i="1"/>
  <c r="C53" i="1"/>
  <c r="C51" i="1"/>
  <c r="C50" i="1"/>
  <c r="C48" i="1"/>
  <c r="C47" i="1"/>
  <c r="D46" i="5"/>
  <c r="E46" i="5" s="1"/>
  <c r="C45" i="1"/>
  <c r="C44" i="1"/>
  <c r="D43" i="5"/>
  <c r="E43" i="5" s="1"/>
  <c r="C42" i="1"/>
  <c r="C41" i="1"/>
  <c r="D40" i="5"/>
  <c r="E40" i="5" s="1"/>
  <c r="C39" i="1"/>
  <c r="C38" i="1"/>
  <c r="C36" i="1"/>
  <c r="C35" i="1"/>
  <c r="D34" i="5"/>
  <c r="E34" i="5" s="1"/>
  <c r="C33" i="1"/>
  <c r="C32" i="1"/>
  <c r="C17" i="1"/>
  <c r="C16" i="1"/>
  <c r="I1" i="7"/>
  <c r="J1" i="7"/>
  <c r="K1" i="7"/>
  <c r="L1" i="7"/>
  <c r="M1" i="7"/>
  <c r="N1" i="7"/>
  <c r="O1" i="7"/>
  <c r="P1" i="7"/>
  <c r="Q1" i="7"/>
  <c r="R1" i="7"/>
  <c r="S1" i="7"/>
  <c r="H1" i="7"/>
  <c r="R1" i="6"/>
  <c r="H1" i="6"/>
  <c r="I1" i="6"/>
  <c r="J1" i="6"/>
  <c r="K1" i="6"/>
  <c r="L1" i="6"/>
  <c r="M1" i="6"/>
  <c r="N1" i="6"/>
  <c r="O1" i="6"/>
  <c r="P1" i="6"/>
  <c r="Q1" i="6"/>
  <c r="G1" i="6"/>
  <c r="D5" i="5"/>
  <c r="E5" i="5" s="1"/>
  <c r="D6" i="5"/>
  <c r="E6" i="5" s="1"/>
  <c r="D13" i="5"/>
  <c r="E13" i="5" s="1"/>
  <c r="D23" i="5"/>
  <c r="E23" i="5" s="1"/>
  <c r="D37" i="5"/>
  <c r="E37" i="5" s="1"/>
  <c r="D41" i="5"/>
  <c r="E41" i="5" s="1"/>
  <c r="D54" i="5"/>
  <c r="D55" i="5"/>
  <c r="D4" i="5"/>
  <c r="E4" i="5" s="1"/>
  <c r="I1" i="5"/>
  <c r="J1" i="5"/>
  <c r="K1" i="5"/>
  <c r="L1" i="5"/>
  <c r="M1" i="5"/>
  <c r="N1" i="5"/>
  <c r="O1" i="5"/>
  <c r="P1" i="5"/>
  <c r="Q1" i="5"/>
  <c r="R1" i="5"/>
  <c r="S1" i="5"/>
  <c r="H1" i="5"/>
  <c r="C4" i="5"/>
  <c r="C5" i="5"/>
  <c r="C6" i="5"/>
  <c r="C13" i="5"/>
  <c r="C14" i="5"/>
  <c r="C15" i="5"/>
  <c r="C16" i="5"/>
  <c r="C17" i="5"/>
  <c r="C18" i="5"/>
  <c r="C22" i="5"/>
  <c r="C23" i="5"/>
  <c r="C24" i="5"/>
  <c r="C25" i="5"/>
  <c r="C26" i="5"/>
  <c r="C27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3" i="5"/>
  <c r="E64" i="1"/>
  <c r="D64" i="4"/>
  <c r="F1" i="4"/>
  <c r="G1" i="4"/>
  <c r="H1" i="4"/>
  <c r="I1" i="4"/>
  <c r="J1" i="4"/>
  <c r="K1" i="4"/>
  <c r="L1" i="4"/>
  <c r="M1" i="4"/>
  <c r="N1" i="4"/>
  <c r="O1" i="4"/>
  <c r="P1" i="4"/>
  <c r="E1" i="4"/>
  <c r="Q1" i="3"/>
  <c r="G1" i="3"/>
  <c r="H1" i="3"/>
  <c r="I1" i="3"/>
  <c r="J1" i="3"/>
  <c r="K1" i="3"/>
  <c r="L1" i="3"/>
  <c r="M1" i="3"/>
  <c r="N1" i="3"/>
  <c r="O1" i="3"/>
  <c r="P1" i="3"/>
  <c r="F1" i="3"/>
  <c r="G1" i="2"/>
  <c r="H1" i="2"/>
  <c r="I1" i="2"/>
  <c r="J1" i="2"/>
  <c r="K1" i="2"/>
  <c r="L1" i="2"/>
  <c r="M1" i="2"/>
  <c r="N1" i="2"/>
  <c r="O1" i="2"/>
  <c r="P1" i="2"/>
  <c r="Q1" i="2"/>
  <c r="F1" i="2"/>
  <c r="E4" i="1"/>
  <c r="C54" i="10" s="1"/>
  <c r="C63" i="10" s="1"/>
  <c r="E5" i="1"/>
  <c r="D54" i="10" s="1"/>
  <c r="D63" i="10" s="1"/>
  <c r="E6" i="1"/>
  <c r="B55" i="10" s="1"/>
  <c r="E55" i="10" s="1"/>
  <c r="E16" i="1"/>
  <c r="B37" i="10" s="1"/>
  <c r="E17" i="1"/>
  <c r="C37" i="10" s="1"/>
  <c r="E18" i="1"/>
  <c r="D37" i="10" s="1"/>
  <c r="E22" i="1"/>
  <c r="B39" i="10" s="1"/>
  <c r="E23" i="1"/>
  <c r="C39" i="10" s="1"/>
  <c r="E24" i="1"/>
  <c r="D39" i="10" s="1"/>
  <c r="E25" i="1"/>
  <c r="B40" i="10" s="1"/>
  <c r="E26" i="1"/>
  <c r="C40" i="10" s="1"/>
  <c r="E27" i="1"/>
  <c r="D40" i="10" s="1"/>
  <c r="E31" i="1"/>
  <c r="B44" i="10" s="1"/>
  <c r="E32" i="1"/>
  <c r="C44" i="10" s="1"/>
  <c r="E33" i="1"/>
  <c r="D44" i="10" s="1"/>
  <c r="E34" i="1"/>
  <c r="B45" i="10" s="1"/>
  <c r="E35" i="1"/>
  <c r="C45" i="10" s="1"/>
  <c r="E36" i="1"/>
  <c r="D45" i="10" s="1"/>
  <c r="E37" i="1"/>
  <c r="B46" i="10" s="1"/>
  <c r="E38" i="1"/>
  <c r="C46" i="10" s="1"/>
  <c r="E39" i="1"/>
  <c r="D46" i="10" s="1"/>
  <c r="E40" i="1"/>
  <c r="B47" i="10" s="1"/>
  <c r="E41" i="1"/>
  <c r="C47" i="10" s="1"/>
  <c r="E42" i="1"/>
  <c r="D47" i="10" s="1"/>
  <c r="E43" i="1"/>
  <c r="B48" i="10" s="1"/>
  <c r="E44" i="1"/>
  <c r="C48" i="10" s="1"/>
  <c r="E45" i="1"/>
  <c r="D48" i="10" s="1"/>
  <c r="E46" i="1"/>
  <c r="B49" i="10" s="1"/>
  <c r="E47" i="1"/>
  <c r="C49" i="10" s="1"/>
  <c r="E48" i="1"/>
  <c r="D49" i="10" s="1"/>
  <c r="E49" i="1"/>
  <c r="B50" i="10" s="1"/>
  <c r="E50" i="1"/>
  <c r="C50" i="10" s="1"/>
  <c r="E51" i="1"/>
  <c r="D50" i="10" s="1"/>
  <c r="E52" i="1"/>
  <c r="B56" i="10" s="1"/>
  <c r="E53" i="1"/>
  <c r="B57" i="10" s="1"/>
  <c r="E54" i="1"/>
  <c r="C57" i="10" s="1"/>
  <c r="C65" i="10" s="1"/>
  <c r="E55" i="1"/>
  <c r="D57" i="10" s="1"/>
  <c r="D65" i="10" s="1"/>
  <c r="E3" i="1"/>
  <c r="B54" i="10" s="1"/>
  <c r="E54" i="10" l="1"/>
  <c r="B63" i="10"/>
  <c r="E63" i="10" s="1"/>
  <c r="E56" i="10"/>
  <c r="B64" i="10"/>
  <c r="E64" i="10" s="1"/>
  <c r="D61" i="10"/>
  <c r="E50" i="10"/>
  <c r="E39" i="10"/>
  <c r="D67" i="3"/>
  <c r="E67" i="10"/>
  <c r="E57" i="10"/>
  <c r="B65" i="10"/>
  <c r="E65" i="10" s="1"/>
  <c r="E37" i="10"/>
  <c r="C61" i="10"/>
  <c r="E49" i="10"/>
  <c r="E48" i="10"/>
  <c r="E47" i="10"/>
  <c r="E46" i="10"/>
  <c r="D62" i="10"/>
  <c r="E45" i="10"/>
  <c r="C62" i="10"/>
  <c r="E44" i="10"/>
  <c r="B62" i="10"/>
  <c r="E40" i="10"/>
  <c r="B61" i="10"/>
  <c r="D16" i="5"/>
  <c r="E16" i="5" s="1"/>
  <c r="D24" i="5"/>
  <c r="E24" i="5" s="1"/>
  <c r="D38" i="5"/>
  <c r="E38" i="5" s="1"/>
  <c r="D17" i="5"/>
  <c r="E17" i="5" s="1"/>
  <c r="D39" i="5"/>
  <c r="E39" i="5" s="1"/>
  <c r="D44" i="5"/>
  <c r="E44" i="5" s="1"/>
  <c r="D48" i="5"/>
  <c r="E48" i="5" s="1"/>
  <c r="D53" i="5"/>
  <c r="D31" i="5"/>
  <c r="E31" i="5" s="1"/>
  <c r="D50" i="5"/>
  <c r="E50" i="5" s="1"/>
  <c r="D49" i="5"/>
  <c r="E49" i="5" s="1"/>
  <c r="D45" i="5"/>
  <c r="E45" i="5" s="1"/>
  <c r="D35" i="5"/>
  <c r="E35" i="5" s="1"/>
  <c r="D51" i="5"/>
  <c r="E51" i="5" s="1"/>
  <c r="D47" i="5"/>
  <c r="E47" i="5" s="1"/>
  <c r="D33" i="5"/>
  <c r="E33" i="5" s="1"/>
  <c r="D18" i="5"/>
  <c r="E18" i="5" s="1"/>
  <c r="D22" i="5"/>
  <c r="E22" i="5" s="1"/>
  <c r="D36" i="5"/>
  <c r="E36" i="5" s="1"/>
  <c r="D54" i="9"/>
  <c r="D52" i="9"/>
  <c r="D51" i="9"/>
  <c r="D24" i="9"/>
  <c r="D23" i="9"/>
  <c r="D5" i="9"/>
  <c r="D42" i="5"/>
  <c r="E42" i="5" s="1"/>
  <c r="D32" i="5"/>
  <c r="E32" i="5" s="1"/>
  <c r="D5" i="3"/>
  <c r="D54" i="3"/>
  <c r="D14" i="5"/>
  <c r="E14" i="5" s="1"/>
  <c r="D52" i="3"/>
  <c r="D24" i="3"/>
  <c r="F52" i="5"/>
  <c r="F5" i="5"/>
  <c r="F54" i="5"/>
  <c r="F24" i="5"/>
  <c r="B67" i="8"/>
  <c r="F4" i="5"/>
  <c r="D4" i="9"/>
  <c r="F51" i="5"/>
  <c r="D51" i="3"/>
  <c r="F55" i="5"/>
  <c r="D55" i="9"/>
  <c r="D55" i="3"/>
  <c r="D64" i="3"/>
  <c r="D64" i="9"/>
  <c r="D50" i="3"/>
  <c r="D50" i="9"/>
  <c r="F49" i="5"/>
  <c r="D49" i="9"/>
  <c r="F48" i="5"/>
  <c r="D48" i="9"/>
  <c r="F47" i="5"/>
  <c r="D47" i="9"/>
  <c r="F46" i="5"/>
  <c r="D46" i="9"/>
  <c r="D45" i="3"/>
  <c r="D45" i="9"/>
  <c r="F44" i="5"/>
  <c r="D44" i="9"/>
  <c r="F43" i="5"/>
  <c r="D43" i="9"/>
  <c r="F42" i="5"/>
  <c r="D42" i="9"/>
  <c r="D41" i="3"/>
  <c r="D41" i="9"/>
  <c r="F40" i="5"/>
  <c r="D40" i="9"/>
  <c r="F39" i="5"/>
  <c r="D39" i="9"/>
  <c r="F38" i="5"/>
  <c r="D38" i="9"/>
  <c r="F37" i="5"/>
  <c r="D37" i="9"/>
  <c r="F36" i="5"/>
  <c r="D36" i="9"/>
  <c r="F35" i="5"/>
  <c r="D35" i="9"/>
  <c r="F34" i="5"/>
  <c r="D34" i="9"/>
  <c r="F32" i="5"/>
  <c r="D32" i="9"/>
  <c r="F31" i="5"/>
  <c r="D31" i="9"/>
  <c r="F27" i="5"/>
  <c r="D27" i="9"/>
  <c r="F25" i="5"/>
  <c r="D25" i="9"/>
  <c r="D23" i="3"/>
  <c r="F23" i="5"/>
  <c r="F22" i="5"/>
  <c r="D22" i="9"/>
  <c r="F18" i="5"/>
  <c r="D18" i="9"/>
  <c r="F17" i="5"/>
  <c r="D17" i="9"/>
  <c r="F16" i="5"/>
  <c r="D16" i="9"/>
  <c r="D14" i="3"/>
  <c r="D14" i="9"/>
  <c r="D13" i="3"/>
  <c r="D13" i="9"/>
  <c r="F6" i="5"/>
  <c r="D6" i="9"/>
  <c r="D6" i="3"/>
  <c r="D3" i="3"/>
  <c r="D3" i="9"/>
  <c r="F33" i="5"/>
  <c r="D33" i="9"/>
  <c r="D15" i="3"/>
  <c r="D15" i="9"/>
  <c r="D53" i="3"/>
  <c r="D53" i="9"/>
  <c r="F26" i="5"/>
  <c r="D26" i="9"/>
  <c r="D27" i="3"/>
  <c r="D26" i="3"/>
  <c r="D25" i="3"/>
  <c r="F50" i="5"/>
  <c r="F45" i="5"/>
  <c r="D18" i="3"/>
  <c r="D16" i="3"/>
  <c r="D4" i="3"/>
  <c r="F3" i="5"/>
  <c r="D48" i="3"/>
  <c r="D47" i="3"/>
  <c r="D44" i="3"/>
  <c r="D42" i="3"/>
  <c r="D39" i="3"/>
  <c r="D38" i="3"/>
  <c r="D37" i="3"/>
  <c r="D36" i="3"/>
  <c r="D35" i="3"/>
  <c r="D34" i="3"/>
  <c r="D33" i="3"/>
  <c r="D32" i="3"/>
  <c r="D31" i="3"/>
  <c r="D22" i="3"/>
  <c r="D17" i="3"/>
  <c r="F53" i="5"/>
  <c r="D49" i="3"/>
  <c r="D46" i="3"/>
  <c r="D43" i="3"/>
  <c r="F41" i="5"/>
  <c r="D40" i="3"/>
  <c r="F15" i="5"/>
  <c r="F14" i="5"/>
  <c r="F13" i="5"/>
  <c r="A54" i="8"/>
  <c r="A55" i="8"/>
  <c r="A48" i="8"/>
  <c r="A49" i="8"/>
  <c r="A50" i="8"/>
  <c r="A56" i="8"/>
  <c r="A63" i="8"/>
  <c r="A61" i="8"/>
  <c r="A62" i="8"/>
  <c r="A66" i="8"/>
  <c r="A67" i="8"/>
  <c r="A44" i="8"/>
  <c r="A45" i="8"/>
  <c r="A46" i="8"/>
  <c r="A47" i="8"/>
  <c r="M27" i="8"/>
  <c r="A27" i="8"/>
  <c r="E5" i="6"/>
  <c r="E3" i="6"/>
  <c r="C54" i="6"/>
  <c r="C55" i="6"/>
  <c r="C53" i="6"/>
  <c r="C52" i="6"/>
  <c r="E52" i="6" s="1"/>
  <c r="C50" i="6"/>
  <c r="E50" i="6" s="1"/>
  <c r="C51" i="6"/>
  <c r="E51" i="6" s="1"/>
  <c r="C49" i="6"/>
  <c r="E49" i="6" s="1"/>
  <c r="C47" i="6"/>
  <c r="E47" i="6" s="1"/>
  <c r="C48" i="6"/>
  <c r="E48" i="6" s="1"/>
  <c r="C46" i="6"/>
  <c r="E46" i="6" s="1"/>
  <c r="C44" i="6"/>
  <c r="E44" i="6" s="1"/>
  <c r="C45" i="6"/>
  <c r="E45" i="6" s="1"/>
  <c r="C43" i="6"/>
  <c r="E43" i="6" s="1"/>
  <c r="C41" i="6"/>
  <c r="E41" i="6" s="1"/>
  <c r="C42" i="6"/>
  <c r="E42" i="6" s="1"/>
  <c r="C40" i="6"/>
  <c r="E40" i="6" s="1"/>
  <c r="C39" i="6"/>
  <c r="E39" i="6" s="1"/>
  <c r="C38" i="6"/>
  <c r="E38" i="6" s="1"/>
  <c r="C37" i="6"/>
  <c r="E37" i="6" s="1"/>
  <c r="C35" i="6"/>
  <c r="E35" i="6" s="1"/>
  <c r="C36" i="6"/>
  <c r="E36" i="6" s="1"/>
  <c r="C34" i="6"/>
  <c r="E34" i="6" s="1"/>
  <c r="C32" i="6"/>
  <c r="E32" i="6" s="1"/>
  <c r="C33" i="6"/>
  <c r="E33" i="6" s="1"/>
  <c r="C31" i="6"/>
  <c r="E31" i="6" s="1"/>
  <c r="C26" i="6"/>
  <c r="E26" i="6" s="1"/>
  <c r="C27" i="6"/>
  <c r="E27" i="6" s="1"/>
  <c r="C25" i="6"/>
  <c r="E25" i="6" s="1"/>
  <c r="C23" i="6"/>
  <c r="E23" i="6" s="1"/>
  <c r="C24" i="6"/>
  <c r="E24" i="6" s="1"/>
  <c r="C22" i="6"/>
  <c r="E22" i="6" s="1"/>
  <c r="C17" i="6"/>
  <c r="E17" i="6" s="1"/>
  <c r="C18" i="6"/>
  <c r="E18" i="6" s="1"/>
  <c r="C16" i="6"/>
  <c r="E16" i="6" s="1"/>
  <c r="C14" i="6"/>
  <c r="E14" i="6" s="1"/>
  <c r="C15" i="6"/>
  <c r="E15" i="6" s="1"/>
  <c r="C13" i="6"/>
  <c r="E13" i="6" s="1"/>
  <c r="A40" i="8"/>
  <c r="A36" i="8"/>
  <c r="A37" i="8"/>
  <c r="A28" i="8"/>
  <c r="C28" i="8"/>
  <c r="G28" i="8"/>
  <c r="M28" i="8"/>
  <c r="A20" i="8"/>
  <c r="D20" i="8"/>
  <c r="G20" i="8"/>
  <c r="J20" i="8"/>
  <c r="M20" i="8"/>
  <c r="A21" i="8"/>
  <c r="D21" i="8"/>
  <c r="G21" i="8"/>
  <c r="J21" i="8"/>
  <c r="M21" i="8"/>
  <c r="A22" i="8"/>
  <c r="D22" i="8"/>
  <c r="G22" i="8"/>
  <c r="J22" i="8"/>
  <c r="M22" i="8"/>
  <c r="A23" i="8"/>
  <c r="D23" i="8"/>
  <c r="G23" i="8"/>
  <c r="J23" i="8"/>
  <c r="M23" i="8"/>
  <c r="A29" i="8"/>
  <c r="D29" i="8"/>
  <c r="J29" i="8"/>
  <c r="M29" i="8"/>
  <c r="A30" i="8"/>
  <c r="G30" i="8"/>
  <c r="J30" i="8"/>
  <c r="M30" i="8"/>
  <c r="A19" i="8"/>
  <c r="D19" i="8"/>
  <c r="G19" i="8"/>
  <c r="J19" i="8"/>
  <c r="M19" i="8"/>
  <c r="M18" i="8"/>
  <c r="J18" i="8"/>
  <c r="G18" i="8"/>
  <c r="D18" i="8"/>
  <c r="A18" i="8"/>
  <c r="M17" i="8"/>
  <c r="J17" i="8"/>
  <c r="G17" i="8"/>
  <c r="D17" i="8"/>
  <c r="A17" i="8"/>
  <c r="A39" i="8"/>
  <c r="M11" i="8"/>
  <c r="M9" i="8"/>
  <c r="J11" i="8"/>
  <c r="J9" i="8"/>
  <c r="G11" i="8"/>
  <c r="G9" i="8"/>
  <c r="J8" i="8"/>
  <c r="G8" i="8"/>
  <c r="D11" i="8"/>
  <c r="D9" i="8"/>
  <c r="D8" i="8"/>
  <c r="A12" i="8"/>
  <c r="A11" i="8"/>
  <c r="A9" i="8"/>
  <c r="A8" i="8"/>
  <c r="D66" i="10" l="1"/>
  <c r="C66" i="10"/>
  <c r="E62" i="10"/>
  <c r="E61" i="10"/>
  <c r="B66" i="10"/>
  <c r="G55" i="9"/>
  <c r="G68" i="9" s="1"/>
  <c r="D61" i="9"/>
  <c r="D65" i="9" s="1"/>
  <c r="D28" i="8"/>
  <c r="F27" i="7"/>
  <c r="G53" i="6"/>
  <c r="H53" i="6"/>
  <c r="I53" i="6"/>
  <c r="J53" i="6"/>
  <c r="K53" i="6"/>
  <c r="L53" i="6"/>
  <c r="M53" i="6"/>
  <c r="N53" i="6"/>
  <c r="O53" i="6"/>
  <c r="P53" i="6"/>
  <c r="Q53" i="6"/>
  <c r="R53" i="6"/>
  <c r="G54" i="6"/>
  <c r="H54" i="6"/>
  <c r="I54" i="6"/>
  <c r="J54" i="6"/>
  <c r="K54" i="6"/>
  <c r="L54" i="6"/>
  <c r="M54" i="6"/>
  <c r="N54" i="6"/>
  <c r="O54" i="6"/>
  <c r="P54" i="6"/>
  <c r="Q54" i="6"/>
  <c r="R54" i="6"/>
  <c r="G55" i="6"/>
  <c r="H55" i="6"/>
  <c r="I55" i="6"/>
  <c r="J55" i="6"/>
  <c r="K55" i="6"/>
  <c r="L55" i="6"/>
  <c r="M55" i="6"/>
  <c r="N55" i="6"/>
  <c r="O55" i="6"/>
  <c r="P55" i="6"/>
  <c r="Q55" i="6"/>
  <c r="R55" i="6"/>
  <c r="H52" i="6"/>
  <c r="H33" i="5"/>
  <c r="H35" i="5"/>
  <c r="H37" i="5"/>
  <c r="H39" i="5"/>
  <c r="H41" i="5"/>
  <c r="H43" i="5"/>
  <c r="H45" i="5"/>
  <c r="H47" i="5"/>
  <c r="H49" i="5"/>
  <c r="H51" i="5"/>
  <c r="H14" i="5"/>
  <c r="H16" i="5"/>
  <c r="H18" i="5"/>
  <c r="H23" i="5"/>
  <c r="H4" i="5"/>
  <c r="I4" i="5"/>
  <c r="J4" i="5"/>
  <c r="K4" i="5"/>
  <c r="L4" i="5"/>
  <c r="M4" i="5"/>
  <c r="N4" i="5"/>
  <c r="O4" i="5"/>
  <c r="P4" i="5"/>
  <c r="Q4" i="5"/>
  <c r="R4" i="5"/>
  <c r="S4" i="5"/>
  <c r="H5" i="5"/>
  <c r="I5" i="5"/>
  <c r="J5" i="5"/>
  <c r="K5" i="5"/>
  <c r="L5" i="5"/>
  <c r="M5" i="5"/>
  <c r="N5" i="5"/>
  <c r="O5" i="5"/>
  <c r="P5" i="5"/>
  <c r="Q5" i="5"/>
  <c r="R5" i="5"/>
  <c r="S5" i="5"/>
  <c r="H6" i="5"/>
  <c r="I6" i="5"/>
  <c r="J6" i="5"/>
  <c r="K6" i="5"/>
  <c r="L6" i="5"/>
  <c r="M6" i="5"/>
  <c r="N6" i="5"/>
  <c r="O6" i="5"/>
  <c r="P6" i="5"/>
  <c r="Q6" i="5"/>
  <c r="R6" i="5"/>
  <c r="S6" i="5"/>
  <c r="H52" i="5"/>
  <c r="I52" i="5"/>
  <c r="J52" i="5"/>
  <c r="K52" i="5"/>
  <c r="L52" i="5"/>
  <c r="M52" i="5"/>
  <c r="N52" i="5"/>
  <c r="O52" i="5"/>
  <c r="P52" i="5"/>
  <c r="Q52" i="5"/>
  <c r="R52" i="5"/>
  <c r="S52" i="5"/>
  <c r="H53" i="5"/>
  <c r="I53" i="5"/>
  <c r="J53" i="5"/>
  <c r="K53" i="5"/>
  <c r="L53" i="5"/>
  <c r="M53" i="5"/>
  <c r="N53" i="5"/>
  <c r="O53" i="5"/>
  <c r="P53" i="5"/>
  <c r="Q53" i="5"/>
  <c r="R53" i="5"/>
  <c r="S53" i="5"/>
  <c r="H54" i="5"/>
  <c r="I54" i="5"/>
  <c r="J54" i="5"/>
  <c r="K54" i="5"/>
  <c r="L54" i="5"/>
  <c r="M54" i="5"/>
  <c r="N54" i="5"/>
  <c r="O54" i="5"/>
  <c r="P54" i="5"/>
  <c r="Q54" i="5"/>
  <c r="R54" i="5"/>
  <c r="S54" i="5"/>
  <c r="H55" i="5"/>
  <c r="I55" i="5"/>
  <c r="J55" i="5"/>
  <c r="K55" i="5"/>
  <c r="L55" i="5"/>
  <c r="M55" i="5"/>
  <c r="N55" i="5"/>
  <c r="O55" i="5"/>
  <c r="P55" i="5"/>
  <c r="Q55" i="5"/>
  <c r="R55" i="5"/>
  <c r="S55" i="5"/>
  <c r="I3" i="5"/>
  <c r="J3" i="5"/>
  <c r="K3" i="5"/>
  <c r="L3" i="5"/>
  <c r="M3" i="5"/>
  <c r="N3" i="5"/>
  <c r="O3" i="5"/>
  <c r="P3" i="5"/>
  <c r="Q3" i="5"/>
  <c r="R3" i="5"/>
  <c r="S3" i="5"/>
  <c r="H3" i="5"/>
  <c r="H32" i="5"/>
  <c r="H34" i="5"/>
  <c r="H36" i="5"/>
  <c r="H38" i="5"/>
  <c r="H40" i="5"/>
  <c r="H42" i="5"/>
  <c r="H44" i="5"/>
  <c r="H46" i="5"/>
  <c r="H48" i="5"/>
  <c r="H50" i="5"/>
  <c r="H31" i="5"/>
  <c r="H15" i="5"/>
  <c r="H17" i="5"/>
  <c r="H22" i="5"/>
  <c r="H24" i="5"/>
  <c r="H13" i="5"/>
  <c r="F61" i="5"/>
  <c r="F8" i="7" s="1"/>
  <c r="Q61" i="2"/>
  <c r="Q70" i="2" s="1"/>
  <c r="Q72" i="2" s="1"/>
  <c r="P61" i="2"/>
  <c r="O61" i="2"/>
  <c r="N61" i="2"/>
  <c r="M61" i="2"/>
  <c r="L61" i="2"/>
  <c r="K61" i="2"/>
  <c r="J61" i="2"/>
  <c r="I61" i="2"/>
  <c r="H61" i="2"/>
  <c r="G61" i="2"/>
  <c r="F61" i="2"/>
  <c r="Q60" i="2"/>
  <c r="P60" i="2"/>
  <c r="O60" i="2"/>
  <c r="N60" i="2"/>
  <c r="M60" i="2"/>
  <c r="L60" i="2"/>
  <c r="K60" i="2"/>
  <c r="J60" i="2"/>
  <c r="I60" i="2"/>
  <c r="H60" i="2"/>
  <c r="G60" i="2"/>
  <c r="F60" i="2"/>
  <c r="Q59" i="2"/>
  <c r="P59" i="2"/>
  <c r="O59" i="2"/>
  <c r="N59" i="2"/>
  <c r="M59" i="2"/>
  <c r="L59" i="2"/>
  <c r="K59" i="2"/>
  <c r="J59" i="2"/>
  <c r="I59" i="2"/>
  <c r="H59" i="2"/>
  <c r="G59" i="2"/>
  <c r="F59" i="2"/>
  <c r="Q57" i="2"/>
  <c r="P57" i="2"/>
  <c r="O57" i="2"/>
  <c r="O69" i="2" s="1"/>
  <c r="N57" i="2"/>
  <c r="N69" i="2" s="1"/>
  <c r="M57" i="2"/>
  <c r="M69" i="2" s="1"/>
  <c r="L57" i="2"/>
  <c r="L69" i="2" s="1"/>
  <c r="K57" i="2"/>
  <c r="J57" i="2"/>
  <c r="J69" i="2" s="1"/>
  <c r="I57" i="2"/>
  <c r="I69" i="2" s="1"/>
  <c r="H57" i="2"/>
  <c r="H69" i="2" s="1"/>
  <c r="G57" i="2"/>
  <c r="G69" i="2" s="1"/>
  <c r="F57" i="2"/>
  <c r="F69" i="2" s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E65" i="1" s="1"/>
  <c r="Q60" i="1"/>
  <c r="P60" i="1"/>
  <c r="O60" i="1"/>
  <c r="N60" i="1"/>
  <c r="M60" i="1"/>
  <c r="L60" i="1"/>
  <c r="K60" i="1"/>
  <c r="J60" i="1"/>
  <c r="I60" i="1"/>
  <c r="H60" i="1"/>
  <c r="G60" i="1"/>
  <c r="F60" i="1"/>
  <c r="Q59" i="1"/>
  <c r="P59" i="1"/>
  <c r="O59" i="1"/>
  <c r="N59" i="1"/>
  <c r="M59" i="1"/>
  <c r="L59" i="1"/>
  <c r="K59" i="1"/>
  <c r="J59" i="1"/>
  <c r="I59" i="1"/>
  <c r="G59" i="1"/>
  <c r="F59" i="1"/>
  <c r="Q57" i="1"/>
  <c r="P57" i="1"/>
  <c r="O57" i="1"/>
  <c r="N57" i="1"/>
  <c r="M57" i="1"/>
  <c r="L57" i="1"/>
  <c r="K57" i="1"/>
  <c r="J57" i="1"/>
  <c r="I57" i="1"/>
  <c r="G57" i="1"/>
  <c r="F57" i="1"/>
  <c r="D61" i="3"/>
  <c r="D68" i="3" s="1"/>
  <c r="J13" i="9"/>
  <c r="N13" i="9"/>
  <c r="R13" i="9"/>
  <c r="J14" i="9"/>
  <c r="N14" i="9"/>
  <c r="R14" i="9"/>
  <c r="R16" i="9"/>
  <c r="J17" i="9"/>
  <c r="O17" i="9"/>
  <c r="P18" i="9"/>
  <c r="R18" i="9"/>
  <c r="J31" i="9"/>
  <c r="N31" i="9"/>
  <c r="J32" i="9"/>
  <c r="K32" i="9"/>
  <c r="N32" i="9"/>
  <c r="R32" i="9"/>
  <c r="N33" i="9"/>
  <c r="O33" i="9"/>
  <c r="J34" i="9"/>
  <c r="R34" i="9"/>
  <c r="J35" i="9"/>
  <c r="N35" i="9"/>
  <c r="J36" i="9"/>
  <c r="J38" i="9"/>
  <c r="I39" i="9"/>
  <c r="R41" i="9"/>
  <c r="J44" i="9"/>
  <c r="J46" i="9"/>
  <c r="J47" i="9"/>
  <c r="J50" i="9"/>
  <c r="H5" i="9"/>
  <c r="K5" i="9"/>
  <c r="L5" i="9"/>
  <c r="M5" i="9"/>
  <c r="N5" i="9"/>
  <c r="O5" i="9"/>
  <c r="P5" i="9"/>
  <c r="Q5" i="9"/>
  <c r="R5" i="9"/>
  <c r="L4" i="9"/>
  <c r="J6" i="9"/>
  <c r="M6" i="9"/>
  <c r="N6" i="9"/>
  <c r="R6" i="9"/>
  <c r="L13" i="9"/>
  <c r="P13" i="9"/>
  <c r="H14" i="9"/>
  <c r="L14" i="9"/>
  <c r="P14" i="9"/>
  <c r="H16" i="9"/>
  <c r="N16" i="9"/>
  <c r="P16" i="9"/>
  <c r="H17" i="9"/>
  <c r="L17" i="9"/>
  <c r="P17" i="9"/>
  <c r="H18" i="9"/>
  <c r="L18" i="9"/>
  <c r="N18" i="9"/>
  <c r="P22" i="9"/>
  <c r="H23" i="9"/>
  <c r="L23" i="9"/>
  <c r="N23" i="9"/>
  <c r="I24" i="9"/>
  <c r="J24" i="9"/>
  <c r="N24" i="9"/>
  <c r="P33" i="9"/>
  <c r="P34" i="9"/>
  <c r="P35" i="9"/>
  <c r="L36" i="9"/>
  <c r="P36" i="9"/>
  <c r="N37" i="9"/>
  <c r="P37" i="9"/>
  <c r="R37" i="9"/>
  <c r="H38" i="9"/>
  <c r="L38" i="9"/>
  <c r="R38" i="9"/>
  <c r="J39" i="9"/>
  <c r="O39" i="9"/>
  <c r="P39" i="9"/>
  <c r="J40" i="9"/>
  <c r="L40" i="9"/>
  <c r="P40" i="9"/>
  <c r="I41" i="9"/>
  <c r="K41" i="9"/>
  <c r="N41" i="9"/>
  <c r="J42" i="9"/>
  <c r="K42" i="9"/>
  <c r="R42" i="9"/>
  <c r="N43" i="9"/>
  <c r="K45" i="9"/>
  <c r="K47" i="9"/>
  <c r="N47" i="9"/>
  <c r="M50" i="9"/>
  <c r="O50" i="9"/>
  <c r="H55" i="9"/>
  <c r="H68" i="9" s="1"/>
  <c r="I55" i="9"/>
  <c r="I68" i="9" s="1"/>
  <c r="J55" i="9"/>
  <c r="J68" i="9" s="1"/>
  <c r="K55" i="9"/>
  <c r="K68" i="9" s="1"/>
  <c r="L55" i="9"/>
  <c r="L68" i="9" s="1"/>
  <c r="R55" i="9"/>
  <c r="R68" i="9" s="1"/>
  <c r="Q69" i="2" l="1"/>
  <c r="P69" i="2"/>
  <c r="G65" i="1"/>
  <c r="G67" i="1"/>
  <c r="H65" i="1"/>
  <c r="H67" i="1"/>
  <c r="L65" i="1"/>
  <c r="L67" i="1"/>
  <c r="P65" i="1"/>
  <c r="P67" i="1"/>
  <c r="I65" i="1"/>
  <c r="I67" i="1"/>
  <c r="Q65" i="1"/>
  <c r="Q67" i="1"/>
  <c r="F65" i="1"/>
  <c r="F67" i="1"/>
  <c r="J65" i="1"/>
  <c r="J67" i="1"/>
  <c r="O65" i="1"/>
  <c r="O67" i="1"/>
  <c r="N65" i="1"/>
  <c r="N67" i="1"/>
  <c r="M65" i="1"/>
  <c r="M67" i="1"/>
  <c r="K65" i="1"/>
  <c r="K67" i="1"/>
  <c r="E66" i="10"/>
  <c r="E68" i="10" s="1"/>
  <c r="K69" i="2"/>
  <c r="Q60" i="5"/>
  <c r="Q7" i="7" s="1"/>
  <c r="N49" i="9"/>
  <c r="R47" i="9"/>
  <c r="Q46" i="9"/>
  <c r="R45" i="9"/>
  <c r="R39" i="9"/>
  <c r="Q31" i="9"/>
  <c r="R23" i="9"/>
  <c r="O16" i="9"/>
  <c r="N58" i="4"/>
  <c r="P66" i="6" s="1"/>
  <c r="Q32" i="7" s="1"/>
  <c r="J58" i="4"/>
  <c r="L66" i="6" s="1"/>
  <c r="M32" i="7" s="1"/>
  <c r="F58" i="4"/>
  <c r="M58" i="4"/>
  <c r="O66" i="6" s="1"/>
  <c r="P32" i="7" s="1"/>
  <c r="I58" i="4"/>
  <c r="K66" i="6" s="1"/>
  <c r="L32" i="7" s="1"/>
  <c r="E58" i="4"/>
  <c r="G66" i="6" s="1"/>
  <c r="H32" i="7" s="1"/>
  <c r="P58" i="4"/>
  <c r="R66" i="6" s="1"/>
  <c r="S32" i="7" s="1"/>
  <c r="L58" i="4"/>
  <c r="N66" i="6" s="1"/>
  <c r="O32" i="7" s="1"/>
  <c r="H58" i="4"/>
  <c r="J66" i="6" s="1"/>
  <c r="K32" i="7" s="1"/>
  <c r="O58" i="4"/>
  <c r="Q66" i="6" s="1"/>
  <c r="R32" i="7" s="1"/>
  <c r="K58" i="4"/>
  <c r="M66" i="6" s="1"/>
  <c r="N32" i="7" s="1"/>
  <c r="G58" i="4"/>
  <c r="I66" i="6" s="1"/>
  <c r="J32" i="7" s="1"/>
  <c r="G35" i="9"/>
  <c r="G22" i="9"/>
  <c r="P51" i="9"/>
  <c r="L51" i="9"/>
  <c r="H51" i="9"/>
  <c r="P50" i="9"/>
  <c r="L50" i="9"/>
  <c r="H50" i="9"/>
  <c r="P49" i="9"/>
  <c r="L49" i="9"/>
  <c r="H49" i="9"/>
  <c r="P48" i="9"/>
  <c r="L48" i="9"/>
  <c r="H48" i="9"/>
  <c r="P47" i="9"/>
  <c r="L46" i="9"/>
  <c r="H46" i="9"/>
  <c r="P45" i="9"/>
  <c r="L45" i="9"/>
  <c r="H45" i="9"/>
  <c r="L44" i="9"/>
  <c r="H44" i="9"/>
  <c r="P43" i="9"/>
  <c r="L42" i="9"/>
  <c r="H42" i="9"/>
  <c r="P41" i="9"/>
  <c r="H41" i="9"/>
  <c r="H40" i="9"/>
  <c r="L37" i="9"/>
  <c r="H37" i="9"/>
  <c r="H36" i="9"/>
  <c r="L35" i="9"/>
  <c r="H35" i="9"/>
  <c r="H34" i="9"/>
  <c r="L24" i="9"/>
  <c r="H24" i="9"/>
  <c r="P23" i="9"/>
  <c r="H22" i="9"/>
  <c r="G24" i="9"/>
  <c r="G14" i="9"/>
  <c r="O51" i="9"/>
  <c r="K51" i="9"/>
  <c r="K50" i="9"/>
  <c r="O49" i="9"/>
  <c r="E59" i="4"/>
  <c r="G67" i="6" s="1"/>
  <c r="H33" i="7" s="1"/>
  <c r="O48" i="9"/>
  <c r="O47" i="9"/>
  <c r="O46" i="9"/>
  <c r="O45" i="9"/>
  <c r="O44" i="9"/>
  <c r="K44" i="9"/>
  <c r="O43" i="9"/>
  <c r="O42" i="9"/>
  <c r="O41" i="9"/>
  <c r="O40" i="9"/>
  <c r="K39" i="9"/>
  <c r="O38" i="9"/>
  <c r="K38" i="9"/>
  <c r="O37" i="9"/>
  <c r="O36" i="9"/>
  <c r="K36" i="9"/>
  <c r="O35" i="9"/>
  <c r="K35" i="9"/>
  <c r="O34" i="9"/>
  <c r="O32" i="9"/>
  <c r="O31" i="9"/>
  <c r="O24" i="9"/>
  <c r="K24" i="9"/>
  <c r="O23" i="9"/>
  <c r="K23" i="9"/>
  <c r="O22" i="9"/>
  <c r="O18" i="9"/>
  <c r="K18" i="9"/>
  <c r="K17" i="9"/>
  <c r="O14" i="9"/>
  <c r="K14" i="9"/>
  <c r="O13" i="9"/>
  <c r="R51" i="9"/>
  <c r="N51" i="9"/>
  <c r="J51" i="9"/>
  <c r="R50" i="9"/>
  <c r="N50" i="9"/>
  <c r="R49" i="9"/>
  <c r="J48" i="9"/>
  <c r="R46" i="9"/>
  <c r="N46" i="9"/>
  <c r="N45" i="9"/>
  <c r="R43" i="9"/>
  <c r="N42" i="9"/>
  <c r="N39" i="9"/>
  <c r="N38" i="9"/>
  <c r="R35" i="9"/>
  <c r="N34" i="9"/>
  <c r="R33" i="9"/>
  <c r="J33" i="9"/>
  <c r="R31" i="9"/>
  <c r="R24" i="9"/>
  <c r="J18" i="9"/>
  <c r="R17" i="9"/>
  <c r="N17" i="9"/>
  <c r="G50" i="9"/>
  <c r="G13" i="9"/>
  <c r="Q51" i="9"/>
  <c r="M51" i="9"/>
  <c r="I51" i="9"/>
  <c r="Q50" i="9"/>
  <c r="I50" i="9"/>
  <c r="Q49" i="9"/>
  <c r="M49" i="9"/>
  <c r="I49" i="9"/>
  <c r="Q48" i="9"/>
  <c r="M48" i="9"/>
  <c r="M47" i="9"/>
  <c r="I47" i="9"/>
  <c r="M46" i="9"/>
  <c r="I46" i="9"/>
  <c r="Q45" i="9"/>
  <c r="M45" i="9"/>
  <c r="I45" i="9"/>
  <c r="Q44" i="9"/>
  <c r="M44" i="9"/>
  <c r="M43" i="9"/>
  <c r="I43" i="9"/>
  <c r="Q42" i="9"/>
  <c r="M42" i="9"/>
  <c r="I42" i="9"/>
  <c r="Q41" i="9"/>
  <c r="M41" i="9"/>
  <c r="Q40" i="9"/>
  <c r="M40" i="9"/>
  <c r="M39" i="9"/>
  <c r="Q38" i="9"/>
  <c r="M38" i="9"/>
  <c r="I38" i="9"/>
  <c r="Q37" i="9"/>
  <c r="M37" i="9"/>
  <c r="I37" i="9"/>
  <c r="Q36" i="9"/>
  <c r="M36" i="9"/>
  <c r="M33" i="9"/>
  <c r="I33" i="9"/>
  <c r="Q32" i="9"/>
  <c r="M32" i="9"/>
  <c r="I32" i="9"/>
  <c r="M31" i="9"/>
  <c r="I31" i="9"/>
  <c r="Q24" i="9"/>
  <c r="M24" i="9"/>
  <c r="Q23" i="9"/>
  <c r="M23" i="9"/>
  <c r="I23" i="9"/>
  <c r="Q22" i="9"/>
  <c r="M18" i="9"/>
  <c r="I18" i="9"/>
  <c r="Q17" i="9"/>
  <c r="M17" i="9"/>
  <c r="I17" i="9"/>
  <c r="Q16" i="9"/>
  <c r="M16" i="9"/>
  <c r="I16" i="9"/>
  <c r="Q14" i="9"/>
  <c r="M14" i="9"/>
  <c r="I14" i="9"/>
  <c r="Q13" i="9"/>
  <c r="M13" i="9"/>
  <c r="I13" i="9"/>
  <c r="H13" i="9"/>
  <c r="P6" i="9"/>
  <c r="L6" i="9"/>
  <c r="H6" i="9"/>
  <c r="O6" i="9"/>
  <c r="K6" i="9"/>
  <c r="Q6" i="9"/>
  <c r="I6" i="9"/>
  <c r="I5" i="9"/>
  <c r="J43" i="9"/>
  <c r="J22" i="9"/>
  <c r="G49" i="9"/>
  <c r="G48" i="9"/>
  <c r="G38" i="9"/>
  <c r="G39" i="9"/>
  <c r="G45" i="9"/>
  <c r="G36" i="9"/>
  <c r="G31" i="9"/>
  <c r="G23" i="9"/>
  <c r="G18" i="9"/>
  <c r="G17" i="9"/>
  <c r="G6" i="9"/>
  <c r="G46" i="9"/>
  <c r="G40" i="9"/>
  <c r="G51" i="9"/>
  <c r="G44" i="9"/>
  <c r="G41" i="9"/>
  <c r="G34" i="9"/>
  <c r="G47" i="9"/>
  <c r="G43" i="9"/>
  <c r="G42" i="9"/>
  <c r="G37" i="9"/>
  <c r="G33" i="9"/>
  <c r="G32" i="9"/>
  <c r="G16" i="9"/>
  <c r="G5" i="9"/>
  <c r="M60" i="5"/>
  <c r="M7" i="7" s="1"/>
  <c r="I60" i="5"/>
  <c r="I7" i="7" s="1"/>
  <c r="J49" i="9"/>
  <c r="R48" i="9"/>
  <c r="N48" i="9"/>
  <c r="I48" i="9"/>
  <c r="Q47" i="9"/>
  <c r="L47" i="9"/>
  <c r="H47" i="9"/>
  <c r="P46" i="9"/>
  <c r="J45" i="9"/>
  <c r="R44" i="9"/>
  <c r="N44" i="9"/>
  <c r="I44" i="9"/>
  <c r="Q43" i="9"/>
  <c r="L43" i="9"/>
  <c r="H43" i="9"/>
  <c r="P42" i="9"/>
  <c r="J41" i="9"/>
  <c r="R40" i="9"/>
  <c r="N40" i="9"/>
  <c r="I40" i="9"/>
  <c r="Q39" i="9"/>
  <c r="L39" i="9"/>
  <c r="H39" i="9"/>
  <c r="P38" i="9"/>
  <c r="J37" i="9"/>
  <c r="R36" i="9"/>
  <c r="N36" i="9"/>
  <c r="I36" i="9"/>
  <c r="Q35" i="9"/>
  <c r="M35" i="9"/>
  <c r="I35" i="9"/>
  <c r="Q34" i="9"/>
  <c r="M34" i="9"/>
  <c r="I34" i="9"/>
  <c r="Q33" i="9"/>
  <c r="H33" i="9"/>
  <c r="P32" i="9"/>
  <c r="L32" i="9"/>
  <c r="H32" i="9"/>
  <c r="P31" i="9"/>
  <c r="L31" i="9"/>
  <c r="H31" i="9"/>
  <c r="P24" i="9"/>
  <c r="J23" i="9"/>
  <c r="R22" i="9"/>
  <c r="N22" i="9"/>
  <c r="I22" i="9"/>
  <c r="Q18" i="9"/>
  <c r="J16" i="9"/>
  <c r="J5" i="9"/>
  <c r="P44" i="9"/>
  <c r="P62" i="1"/>
  <c r="L62" i="1"/>
  <c r="M22" i="9"/>
  <c r="Q62" i="1"/>
  <c r="O62" i="1"/>
  <c r="N62" i="1"/>
  <c r="M62" i="1"/>
  <c r="L41" i="9"/>
  <c r="K46" i="9"/>
  <c r="K40" i="9"/>
  <c r="K34" i="9"/>
  <c r="K22" i="9"/>
  <c r="K49" i="9"/>
  <c r="K43" i="9"/>
  <c r="K37" i="9"/>
  <c r="K31" i="9"/>
  <c r="K16" i="9"/>
  <c r="K13" i="9"/>
  <c r="K33" i="9"/>
  <c r="L16" i="9"/>
  <c r="L34" i="9"/>
  <c r="L22" i="9"/>
  <c r="L33" i="9"/>
  <c r="J62" i="1"/>
  <c r="K62" i="1"/>
  <c r="C4" i="6"/>
  <c r="C6" i="6"/>
  <c r="E6" i="6" s="1"/>
  <c r="S60" i="5"/>
  <c r="S7" i="7" s="1"/>
  <c r="O60" i="5"/>
  <c r="O7" i="7" s="1"/>
  <c r="K60" i="5"/>
  <c r="K7" i="7" s="1"/>
  <c r="S57" i="5"/>
  <c r="S4" i="7" s="1"/>
  <c r="Q57" i="5"/>
  <c r="Q4" i="7" s="1"/>
  <c r="O57" i="5"/>
  <c r="O4" i="7" s="1"/>
  <c r="M57" i="5"/>
  <c r="M4" i="7" s="1"/>
  <c r="K57" i="5"/>
  <c r="K4" i="7" s="1"/>
  <c r="I57" i="5"/>
  <c r="I4" i="7" s="1"/>
  <c r="F35" i="7"/>
  <c r="F69" i="5"/>
  <c r="F16" i="7" s="1"/>
  <c r="D65" i="3"/>
  <c r="E62" i="1"/>
  <c r="F62" i="1"/>
  <c r="G62" i="2"/>
  <c r="G65" i="2" s="1"/>
  <c r="G67" i="2" s="1"/>
  <c r="K62" i="2"/>
  <c r="K65" i="2" s="1"/>
  <c r="K67" i="2" s="1"/>
  <c r="M62" i="2"/>
  <c r="M65" i="2" s="1"/>
  <c r="M67" i="2" s="1"/>
  <c r="O62" i="2"/>
  <c r="O65" i="2" s="1"/>
  <c r="O67" i="2" s="1"/>
  <c r="Q62" i="2"/>
  <c r="Q65" i="2" s="1"/>
  <c r="Q67" i="2" s="1"/>
  <c r="I62" i="2"/>
  <c r="I65" i="2" s="1"/>
  <c r="I67" i="2" s="1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27" i="4"/>
  <c r="D26" i="4"/>
  <c r="D25" i="4"/>
  <c r="D24" i="4"/>
  <c r="D23" i="4"/>
  <c r="D22" i="4"/>
  <c r="D18" i="4"/>
  <c r="D17" i="4"/>
  <c r="D16" i="4"/>
  <c r="D15" i="4"/>
  <c r="D14" i="4"/>
  <c r="D6" i="4"/>
  <c r="B55" i="8" s="1"/>
  <c r="D5" i="4"/>
  <c r="E55" i="3"/>
  <c r="K57" i="8" s="1"/>
  <c r="E54" i="3"/>
  <c r="H57" i="8" s="1"/>
  <c r="H65" i="8" s="1"/>
  <c r="J65" i="8" s="1"/>
  <c r="E53" i="3"/>
  <c r="E57" i="8" s="1"/>
  <c r="E51" i="3"/>
  <c r="K50" i="8" s="1"/>
  <c r="E50" i="3"/>
  <c r="H50" i="8" s="1"/>
  <c r="E49" i="3"/>
  <c r="E50" i="8" s="1"/>
  <c r="E48" i="3"/>
  <c r="K49" i="8" s="1"/>
  <c r="E47" i="3"/>
  <c r="H49" i="8" s="1"/>
  <c r="E46" i="3"/>
  <c r="E49" i="8" s="1"/>
  <c r="E45" i="3"/>
  <c r="K48" i="8" s="1"/>
  <c r="E44" i="3"/>
  <c r="H48" i="8" s="1"/>
  <c r="E43" i="3"/>
  <c r="E48" i="8" s="1"/>
  <c r="E42" i="3"/>
  <c r="K47" i="8" s="1"/>
  <c r="E41" i="3"/>
  <c r="H47" i="8" s="1"/>
  <c r="E40" i="3"/>
  <c r="E47" i="8" s="1"/>
  <c r="E39" i="3"/>
  <c r="K46" i="8" s="1"/>
  <c r="E38" i="3"/>
  <c r="H46" i="8" s="1"/>
  <c r="E37" i="3"/>
  <c r="E46" i="8" s="1"/>
  <c r="E36" i="3"/>
  <c r="K45" i="8" s="1"/>
  <c r="E35" i="3"/>
  <c r="H45" i="8" s="1"/>
  <c r="E34" i="3"/>
  <c r="E45" i="8" s="1"/>
  <c r="E33" i="3"/>
  <c r="K44" i="8" s="1"/>
  <c r="E32" i="3"/>
  <c r="H44" i="8" s="1"/>
  <c r="E31" i="3"/>
  <c r="E44" i="8" s="1"/>
  <c r="E24" i="3"/>
  <c r="K39" i="8" s="1"/>
  <c r="E23" i="3"/>
  <c r="H39" i="8" s="1"/>
  <c r="E22" i="3"/>
  <c r="E39" i="8" s="1"/>
  <c r="E18" i="3"/>
  <c r="K37" i="8" s="1"/>
  <c r="E17" i="3"/>
  <c r="H37" i="8" s="1"/>
  <c r="E16" i="3"/>
  <c r="E37" i="8" s="1"/>
  <c r="E4" i="3"/>
  <c r="H54" i="8" s="1"/>
  <c r="E5" i="3"/>
  <c r="K54" i="8" s="1"/>
  <c r="K63" i="8" s="1"/>
  <c r="D3" i="4"/>
  <c r="D13" i="4"/>
  <c r="I62" i="1"/>
  <c r="E14" i="3"/>
  <c r="H36" i="8" s="1"/>
  <c r="H62" i="1"/>
  <c r="E13" i="3"/>
  <c r="G62" i="1"/>
  <c r="P62" i="2"/>
  <c r="P65" i="2" s="1"/>
  <c r="P67" i="2" s="1"/>
  <c r="N62" i="2"/>
  <c r="N65" i="2" s="1"/>
  <c r="N67" i="2" s="1"/>
  <c r="L62" i="2"/>
  <c r="L65" i="2" s="1"/>
  <c r="L67" i="2" s="1"/>
  <c r="J62" i="2"/>
  <c r="J65" i="2" s="1"/>
  <c r="H62" i="2"/>
  <c r="H65" i="2" s="1"/>
  <c r="H67" i="2" s="1"/>
  <c r="F62" i="2"/>
  <c r="F65" i="2" s="1"/>
  <c r="F67" i="2" s="1"/>
  <c r="K56" i="8"/>
  <c r="K64" i="8" s="1"/>
  <c r="R60" i="5"/>
  <c r="R7" i="7" s="1"/>
  <c r="P60" i="5"/>
  <c r="P7" i="7" s="1"/>
  <c r="N60" i="5"/>
  <c r="N7" i="7" s="1"/>
  <c r="L60" i="5"/>
  <c r="L7" i="7" s="1"/>
  <c r="J60" i="5"/>
  <c r="J7" i="7" s="1"/>
  <c r="H60" i="5"/>
  <c r="H7" i="7" s="1"/>
  <c r="H60" i="6"/>
  <c r="I26" i="7" s="1"/>
  <c r="I45" i="7" s="1"/>
  <c r="F55" i="6"/>
  <c r="F54" i="6"/>
  <c r="F53" i="6"/>
  <c r="G55" i="5"/>
  <c r="G54" i="5"/>
  <c r="G53" i="5"/>
  <c r="G52" i="5"/>
  <c r="G6" i="5"/>
  <c r="G5" i="5"/>
  <c r="G4" i="5"/>
  <c r="G3" i="5"/>
  <c r="F54" i="8" s="1"/>
  <c r="H14" i="6"/>
  <c r="J14" i="6"/>
  <c r="L14" i="6"/>
  <c r="N14" i="6"/>
  <c r="P14" i="6"/>
  <c r="R14" i="6"/>
  <c r="G14" i="6"/>
  <c r="I14" i="6"/>
  <c r="K14" i="6"/>
  <c r="M14" i="6"/>
  <c r="O14" i="6"/>
  <c r="Q14" i="6"/>
  <c r="H16" i="6"/>
  <c r="J16" i="6"/>
  <c r="L16" i="6"/>
  <c r="N16" i="6"/>
  <c r="P16" i="6"/>
  <c r="R16" i="6"/>
  <c r="G16" i="6"/>
  <c r="I16" i="6"/>
  <c r="K16" i="6"/>
  <c r="M16" i="6"/>
  <c r="O16" i="6"/>
  <c r="Q16" i="6"/>
  <c r="H18" i="6"/>
  <c r="J18" i="6"/>
  <c r="L18" i="6"/>
  <c r="N18" i="6"/>
  <c r="P18" i="6"/>
  <c r="R18" i="6"/>
  <c r="G18" i="6"/>
  <c r="I18" i="6"/>
  <c r="K18" i="6"/>
  <c r="M18" i="6"/>
  <c r="O18" i="6"/>
  <c r="Q18" i="6"/>
  <c r="H23" i="6"/>
  <c r="J23" i="6"/>
  <c r="L23" i="6"/>
  <c r="N23" i="6"/>
  <c r="P23" i="6"/>
  <c r="R23" i="6"/>
  <c r="G23" i="6"/>
  <c r="I23" i="6"/>
  <c r="K23" i="6"/>
  <c r="M23" i="6"/>
  <c r="O23" i="6"/>
  <c r="Q23" i="6"/>
  <c r="H25" i="6"/>
  <c r="J25" i="6"/>
  <c r="L25" i="6"/>
  <c r="N25" i="6"/>
  <c r="P25" i="6"/>
  <c r="R25" i="6"/>
  <c r="G25" i="6"/>
  <c r="I25" i="6"/>
  <c r="K25" i="6"/>
  <c r="M25" i="6"/>
  <c r="O25" i="6"/>
  <c r="Q25" i="6"/>
  <c r="H27" i="6"/>
  <c r="J27" i="6"/>
  <c r="L27" i="6"/>
  <c r="N27" i="6"/>
  <c r="P27" i="6"/>
  <c r="R27" i="6"/>
  <c r="G27" i="6"/>
  <c r="I27" i="6"/>
  <c r="K27" i="6"/>
  <c r="M27" i="6"/>
  <c r="O27" i="6"/>
  <c r="Q27" i="6"/>
  <c r="H32" i="6"/>
  <c r="J32" i="6"/>
  <c r="L32" i="6"/>
  <c r="N32" i="6"/>
  <c r="P32" i="6"/>
  <c r="R32" i="6"/>
  <c r="G32" i="6"/>
  <c r="I32" i="6"/>
  <c r="K32" i="6"/>
  <c r="M32" i="6"/>
  <c r="O32" i="6"/>
  <c r="Q32" i="6"/>
  <c r="H34" i="6"/>
  <c r="J34" i="6"/>
  <c r="L34" i="6"/>
  <c r="N34" i="6"/>
  <c r="P34" i="6"/>
  <c r="R34" i="6"/>
  <c r="G34" i="6"/>
  <c r="I34" i="6"/>
  <c r="K34" i="6"/>
  <c r="M34" i="6"/>
  <c r="O34" i="6"/>
  <c r="Q34" i="6"/>
  <c r="H36" i="6"/>
  <c r="J36" i="6"/>
  <c r="L36" i="6"/>
  <c r="N36" i="6"/>
  <c r="P36" i="6"/>
  <c r="R36" i="6"/>
  <c r="G36" i="6"/>
  <c r="I36" i="6"/>
  <c r="K36" i="6"/>
  <c r="M36" i="6"/>
  <c r="O36" i="6"/>
  <c r="Q36" i="6"/>
  <c r="H38" i="6"/>
  <c r="J38" i="6"/>
  <c r="L38" i="6"/>
  <c r="N38" i="6"/>
  <c r="P38" i="6"/>
  <c r="R38" i="6"/>
  <c r="G38" i="6"/>
  <c r="I38" i="6"/>
  <c r="K38" i="6"/>
  <c r="M38" i="6"/>
  <c r="O38" i="6"/>
  <c r="Q38" i="6"/>
  <c r="H40" i="6"/>
  <c r="J40" i="6"/>
  <c r="L40" i="6"/>
  <c r="N40" i="6"/>
  <c r="P40" i="6"/>
  <c r="R40" i="6"/>
  <c r="G40" i="6"/>
  <c r="I40" i="6"/>
  <c r="K40" i="6"/>
  <c r="M40" i="6"/>
  <c r="O40" i="6"/>
  <c r="Q40" i="6"/>
  <c r="H42" i="6"/>
  <c r="J42" i="6"/>
  <c r="L42" i="6"/>
  <c r="N42" i="6"/>
  <c r="P42" i="6"/>
  <c r="R42" i="6"/>
  <c r="G42" i="6"/>
  <c r="I42" i="6"/>
  <c r="K42" i="6"/>
  <c r="M42" i="6"/>
  <c r="O42" i="6"/>
  <c r="Q42" i="6"/>
  <c r="H44" i="6"/>
  <c r="J44" i="6"/>
  <c r="L44" i="6"/>
  <c r="N44" i="6"/>
  <c r="P44" i="6"/>
  <c r="R44" i="6"/>
  <c r="G44" i="6"/>
  <c r="I44" i="6"/>
  <c r="K44" i="6"/>
  <c r="M44" i="6"/>
  <c r="O44" i="6"/>
  <c r="Q44" i="6"/>
  <c r="H46" i="6"/>
  <c r="J46" i="6"/>
  <c r="L46" i="6"/>
  <c r="N46" i="6"/>
  <c r="P46" i="6"/>
  <c r="R46" i="6"/>
  <c r="G46" i="6"/>
  <c r="I46" i="6"/>
  <c r="K46" i="6"/>
  <c r="M46" i="6"/>
  <c r="O46" i="6"/>
  <c r="Q46" i="6"/>
  <c r="H48" i="6"/>
  <c r="J48" i="6"/>
  <c r="L48" i="6"/>
  <c r="N48" i="6"/>
  <c r="P48" i="6"/>
  <c r="R48" i="6"/>
  <c r="G48" i="6"/>
  <c r="I48" i="6"/>
  <c r="K48" i="6"/>
  <c r="M48" i="6"/>
  <c r="O48" i="6"/>
  <c r="Q48" i="6"/>
  <c r="H50" i="6"/>
  <c r="J50" i="6"/>
  <c r="L50" i="6"/>
  <c r="N50" i="6"/>
  <c r="P50" i="6"/>
  <c r="R50" i="6"/>
  <c r="G50" i="6"/>
  <c r="I50" i="6"/>
  <c r="K50" i="6"/>
  <c r="M50" i="6"/>
  <c r="O50" i="6"/>
  <c r="Q50" i="6"/>
  <c r="H13" i="6"/>
  <c r="J13" i="6"/>
  <c r="L13" i="6"/>
  <c r="N13" i="6"/>
  <c r="P13" i="6"/>
  <c r="R13" i="6"/>
  <c r="G13" i="6"/>
  <c r="I13" i="6"/>
  <c r="K13" i="6"/>
  <c r="M13" i="6"/>
  <c r="O13" i="6"/>
  <c r="Q13" i="6"/>
  <c r="H15" i="6"/>
  <c r="J15" i="6"/>
  <c r="L15" i="6"/>
  <c r="N15" i="6"/>
  <c r="P15" i="6"/>
  <c r="R15" i="6"/>
  <c r="G15" i="6"/>
  <c r="I15" i="6"/>
  <c r="K15" i="6"/>
  <c r="M15" i="6"/>
  <c r="O15" i="6"/>
  <c r="Q15" i="6"/>
  <c r="H17" i="6"/>
  <c r="J17" i="6"/>
  <c r="L17" i="6"/>
  <c r="N17" i="6"/>
  <c r="P17" i="6"/>
  <c r="R17" i="6"/>
  <c r="G17" i="6"/>
  <c r="I17" i="6"/>
  <c r="K17" i="6"/>
  <c r="M17" i="6"/>
  <c r="O17" i="6"/>
  <c r="Q17" i="6"/>
  <c r="H22" i="6"/>
  <c r="J22" i="6"/>
  <c r="L22" i="6"/>
  <c r="N22" i="6"/>
  <c r="P22" i="6"/>
  <c r="R22" i="6"/>
  <c r="G22" i="6"/>
  <c r="I22" i="6"/>
  <c r="K22" i="6"/>
  <c r="M22" i="6"/>
  <c r="O22" i="6"/>
  <c r="Q22" i="6"/>
  <c r="H24" i="6"/>
  <c r="J24" i="6"/>
  <c r="L24" i="6"/>
  <c r="N24" i="6"/>
  <c r="P24" i="6"/>
  <c r="R24" i="6"/>
  <c r="G24" i="6"/>
  <c r="I24" i="6"/>
  <c r="K24" i="6"/>
  <c r="M24" i="6"/>
  <c r="O24" i="6"/>
  <c r="Q24" i="6"/>
  <c r="H26" i="6"/>
  <c r="J26" i="6"/>
  <c r="L26" i="6"/>
  <c r="N26" i="6"/>
  <c r="P26" i="6"/>
  <c r="R26" i="6"/>
  <c r="G26" i="6"/>
  <c r="I26" i="6"/>
  <c r="K26" i="6"/>
  <c r="M26" i="6"/>
  <c r="O26" i="6"/>
  <c r="Q26" i="6"/>
  <c r="H31" i="6"/>
  <c r="J31" i="6"/>
  <c r="L31" i="6"/>
  <c r="N31" i="6"/>
  <c r="P31" i="6"/>
  <c r="R31" i="6"/>
  <c r="G31" i="6"/>
  <c r="I31" i="6"/>
  <c r="K31" i="6"/>
  <c r="M31" i="6"/>
  <c r="O31" i="6"/>
  <c r="Q31" i="6"/>
  <c r="H33" i="6"/>
  <c r="J33" i="6"/>
  <c r="L33" i="6"/>
  <c r="N33" i="6"/>
  <c r="P33" i="6"/>
  <c r="R33" i="6"/>
  <c r="G33" i="6"/>
  <c r="I33" i="6"/>
  <c r="K33" i="6"/>
  <c r="M33" i="6"/>
  <c r="O33" i="6"/>
  <c r="Q33" i="6"/>
  <c r="H35" i="6"/>
  <c r="J35" i="6"/>
  <c r="L35" i="6"/>
  <c r="N35" i="6"/>
  <c r="P35" i="6"/>
  <c r="R35" i="6"/>
  <c r="G35" i="6"/>
  <c r="I35" i="6"/>
  <c r="K35" i="6"/>
  <c r="M35" i="6"/>
  <c r="O35" i="6"/>
  <c r="Q35" i="6"/>
  <c r="H37" i="6"/>
  <c r="J37" i="6"/>
  <c r="L37" i="6"/>
  <c r="N37" i="6"/>
  <c r="P37" i="6"/>
  <c r="R37" i="6"/>
  <c r="G37" i="6"/>
  <c r="I37" i="6"/>
  <c r="K37" i="6"/>
  <c r="M37" i="6"/>
  <c r="O37" i="6"/>
  <c r="Q37" i="6"/>
  <c r="H39" i="6"/>
  <c r="J39" i="6"/>
  <c r="L39" i="6"/>
  <c r="N39" i="6"/>
  <c r="P39" i="6"/>
  <c r="R39" i="6"/>
  <c r="G39" i="6"/>
  <c r="I39" i="6"/>
  <c r="K39" i="6"/>
  <c r="M39" i="6"/>
  <c r="O39" i="6"/>
  <c r="Q39" i="6"/>
  <c r="H41" i="6"/>
  <c r="J41" i="6"/>
  <c r="L41" i="6"/>
  <c r="N41" i="6"/>
  <c r="P41" i="6"/>
  <c r="R41" i="6"/>
  <c r="G41" i="6"/>
  <c r="I41" i="6"/>
  <c r="K41" i="6"/>
  <c r="M41" i="6"/>
  <c r="O41" i="6"/>
  <c r="Q41" i="6"/>
  <c r="H43" i="6"/>
  <c r="J43" i="6"/>
  <c r="L43" i="6"/>
  <c r="N43" i="6"/>
  <c r="P43" i="6"/>
  <c r="R43" i="6"/>
  <c r="G43" i="6"/>
  <c r="I43" i="6"/>
  <c r="K43" i="6"/>
  <c r="M43" i="6"/>
  <c r="O43" i="6"/>
  <c r="Q43" i="6"/>
  <c r="H45" i="6"/>
  <c r="J45" i="6"/>
  <c r="L45" i="6"/>
  <c r="N45" i="6"/>
  <c r="P45" i="6"/>
  <c r="R45" i="6"/>
  <c r="G45" i="6"/>
  <c r="I45" i="6"/>
  <c r="K45" i="6"/>
  <c r="M45" i="6"/>
  <c r="O45" i="6"/>
  <c r="Q45" i="6"/>
  <c r="H47" i="6"/>
  <c r="J47" i="6"/>
  <c r="L47" i="6"/>
  <c r="N47" i="6"/>
  <c r="P47" i="6"/>
  <c r="R47" i="6"/>
  <c r="G47" i="6"/>
  <c r="I47" i="6"/>
  <c r="K47" i="6"/>
  <c r="M47" i="6"/>
  <c r="O47" i="6"/>
  <c r="Q47" i="6"/>
  <c r="H49" i="6"/>
  <c r="J49" i="6"/>
  <c r="L49" i="6"/>
  <c r="N49" i="6"/>
  <c r="P49" i="6"/>
  <c r="R49" i="6"/>
  <c r="G49" i="6"/>
  <c r="I49" i="6"/>
  <c r="K49" i="6"/>
  <c r="M49" i="6"/>
  <c r="O49" i="6"/>
  <c r="Q49" i="6"/>
  <c r="H51" i="6"/>
  <c r="J51" i="6"/>
  <c r="L51" i="6"/>
  <c r="N51" i="6"/>
  <c r="P51" i="6"/>
  <c r="R51" i="6"/>
  <c r="G51" i="6"/>
  <c r="I51" i="6"/>
  <c r="K51" i="6"/>
  <c r="M51" i="6"/>
  <c r="O51" i="6"/>
  <c r="Q51" i="6"/>
  <c r="H3" i="6"/>
  <c r="J3" i="6"/>
  <c r="L3" i="6"/>
  <c r="N3" i="6"/>
  <c r="P3" i="6"/>
  <c r="R3" i="6"/>
  <c r="I3" i="6"/>
  <c r="K3" i="6"/>
  <c r="M3" i="6"/>
  <c r="O3" i="6"/>
  <c r="Q3" i="6"/>
  <c r="G3" i="6"/>
  <c r="G5" i="6"/>
  <c r="I5" i="6"/>
  <c r="K5" i="6"/>
  <c r="M5" i="6"/>
  <c r="O5" i="6"/>
  <c r="Q5" i="6"/>
  <c r="H5" i="6"/>
  <c r="J5" i="6"/>
  <c r="L5" i="6"/>
  <c r="N5" i="6"/>
  <c r="P5" i="6"/>
  <c r="R5" i="6"/>
  <c r="O4" i="6"/>
  <c r="N4" i="6"/>
  <c r="G6" i="6"/>
  <c r="I6" i="6"/>
  <c r="K6" i="6"/>
  <c r="O6" i="6"/>
  <c r="Q6" i="6"/>
  <c r="H6" i="6"/>
  <c r="L6" i="6"/>
  <c r="N6" i="6"/>
  <c r="P6" i="6"/>
  <c r="D52" i="4"/>
  <c r="Q52" i="6"/>
  <c r="Q60" i="6" s="1"/>
  <c r="R26" i="7" s="1"/>
  <c r="O52" i="6"/>
  <c r="O60" i="6" s="1"/>
  <c r="P26" i="7" s="1"/>
  <c r="M52" i="6"/>
  <c r="K52" i="6"/>
  <c r="K60" i="6" s="1"/>
  <c r="L26" i="7" s="1"/>
  <c r="I52" i="6"/>
  <c r="G52" i="6"/>
  <c r="R52" i="6"/>
  <c r="R60" i="6" s="1"/>
  <c r="S26" i="7" s="1"/>
  <c r="S45" i="7" s="1"/>
  <c r="P52" i="6"/>
  <c r="N52" i="6"/>
  <c r="N60" i="6" s="1"/>
  <c r="O26" i="7" s="1"/>
  <c r="O45" i="7" s="1"/>
  <c r="L52" i="6"/>
  <c r="L60" i="6" s="1"/>
  <c r="M26" i="7" s="1"/>
  <c r="J52" i="6"/>
  <c r="J60" i="6" s="1"/>
  <c r="K26" i="7" s="1"/>
  <c r="S51" i="5"/>
  <c r="Q51" i="5"/>
  <c r="O51" i="5"/>
  <c r="M51" i="5"/>
  <c r="K51" i="5"/>
  <c r="I51" i="5"/>
  <c r="S50" i="5"/>
  <c r="Q50" i="5"/>
  <c r="O50" i="5"/>
  <c r="M50" i="5"/>
  <c r="K50" i="5"/>
  <c r="I50" i="5"/>
  <c r="S49" i="5"/>
  <c r="Q49" i="5"/>
  <c r="O49" i="5"/>
  <c r="M49" i="5"/>
  <c r="K49" i="5"/>
  <c r="I49" i="5"/>
  <c r="S48" i="5"/>
  <c r="Q48" i="5"/>
  <c r="O48" i="5"/>
  <c r="M48" i="5"/>
  <c r="K48" i="5"/>
  <c r="I48" i="5"/>
  <c r="S47" i="5"/>
  <c r="Q47" i="5"/>
  <c r="O47" i="5"/>
  <c r="M47" i="5"/>
  <c r="K47" i="5"/>
  <c r="I47" i="5"/>
  <c r="S46" i="5"/>
  <c r="Q46" i="5"/>
  <c r="O46" i="5"/>
  <c r="M46" i="5"/>
  <c r="K46" i="5"/>
  <c r="I46" i="5"/>
  <c r="S45" i="5"/>
  <c r="Q45" i="5"/>
  <c r="O45" i="5"/>
  <c r="M45" i="5"/>
  <c r="K45" i="5"/>
  <c r="I45" i="5"/>
  <c r="S44" i="5"/>
  <c r="Q44" i="5"/>
  <c r="O44" i="5"/>
  <c r="M44" i="5"/>
  <c r="K44" i="5"/>
  <c r="I44" i="5"/>
  <c r="S43" i="5"/>
  <c r="Q43" i="5"/>
  <c r="O43" i="5"/>
  <c r="M43" i="5"/>
  <c r="K43" i="5"/>
  <c r="I43" i="5"/>
  <c r="S42" i="5"/>
  <c r="Q42" i="5"/>
  <c r="O42" i="5"/>
  <c r="M42" i="5"/>
  <c r="K42" i="5"/>
  <c r="I42" i="5"/>
  <c r="S41" i="5"/>
  <c r="Q41" i="5"/>
  <c r="O41" i="5"/>
  <c r="M41" i="5"/>
  <c r="K41" i="5"/>
  <c r="I41" i="5"/>
  <c r="S40" i="5"/>
  <c r="Q40" i="5"/>
  <c r="O40" i="5"/>
  <c r="M40" i="5"/>
  <c r="K40" i="5"/>
  <c r="I40" i="5"/>
  <c r="S39" i="5"/>
  <c r="Q39" i="5"/>
  <c r="O39" i="5"/>
  <c r="M39" i="5"/>
  <c r="K39" i="5"/>
  <c r="I39" i="5"/>
  <c r="S38" i="5"/>
  <c r="Q38" i="5"/>
  <c r="O38" i="5"/>
  <c r="M38" i="5"/>
  <c r="K38" i="5"/>
  <c r="I38" i="5"/>
  <c r="S37" i="5"/>
  <c r="Q37" i="5"/>
  <c r="O37" i="5"/>
  <c r="M37" i="5"/>
  <c r="K37" i="5"/>
  <c r="I37" i="5"/>
  <c r="S36" i="5"/>
  <c r="Q36" i="5"/>
  <c r="O36" i="5"/>
  <c r="M36" i="5"/>
  <c r="K36" i="5"/>
  <c r="I36" i="5"/>
  <c r="S35" i="5"/>
  <c r="Q35" i="5"/>
  <c r="O35" i="5"/>
  <c r="M35" i="5"/>
  <c r="K35" i="5"/>
  <c r="I35" i="5"/>
  <c r="S34" i="5"/>
  <c r="Q34" i="5"/>
  <c r="O34" i="5"/>
  <c r="M34" i="5"/>
  <c r="K34" i="5"/>
  <c r="I34" i="5"/>
  <c r="S33" i="5"/>
  <c r="Q33" i="5"/>
  <c r="O33" i="5"/>
  <c r="M33" i="5"/>
  <c r="K33" i="5"/>
  <c r="I33" i="5"/>
  <c r="S32" i="5"/>
  <c r="Q32" i="5"/>
  <c r="O32" i="5"/>
  <c r="M32" i="5"/>
  <c r="K32" i="5"/>
  <c r="I32" i="5"/>
  <c r="R51" i="5"/>
  <c r="P51" i="5"/>
  <c r="N51" i="5"/>
  <c r="L51" i="5"/>
  <c r="J51" i="5"/>
  <c r="R50" i="5"/>
  <c r="P50" i="5"/>
  <c r="N50" i="5"/>
  <c r="L50" i="5"/>
  <c r="J50" i="5"/>
  <c r="R49" i="5"/>
  <c r="P49" i="5"/>
  <c r="N49" i="5"/>
  <c r="L49" i="5"/>
  <c r="J49" i="5"/>
  <c r="R48" i="5"/>
  <c r="P48" i="5"/>
  <c r="N48" i="5"/>
  <c r="L48" i="5"/>
  <c r="J48" i="5"/>
  <c r="R47" i="5"/>
  <c r="P47" i="5"/>
  <c r="N47" i="5"/>
  <c r="L47" i="5"/>
  <c r="J47" i="5"/>
  <c r="R46" i="5"/>
  <c r="P46" i="5"/>
  <c r="N46" i="5"/>
  <c r="L46" i="5"/>
  <c r="J46" i="5"/>
  <c r="R45" i="5"/>
  <c r="P45" i="5"/>
  <c r="N45" i="5"/>
  <c r="L45" i="5"/>
  <c r="J45" i="5"/>
  <c r="R44" i="5"/>
  <c r="P44" i="5"/>
  <c r="N44" i="5"/>
  <c r="L44" i="5"/>
  <c r="J44" i="5"/>
  <c r="R43" i="5"/>
  <c r="P43" i="5"/>
  <c r="N43" i="5"/>
  <c r="L43" i="5"/>
  <c r="J43" i="5"/>
  <c r="R42" i="5"/>
  <c r="P42" i="5"/>
  <c r="N42" i="5"/>
  <c r="L42" i="5"/>
  <c r="J42" i="5"/>
  <c r="R41" i="5"/>
  <c r="P41" i="5"/>
  <c r="N41" i="5"/>
  <c r="L41" i="5"/>
  <c r="J41" i="5"/>
  <c r="R40" i="5"/>
  <c r="P40" i="5"/>
  <c r="N40" i="5"/>
  <c r="L40" i="5"/>
  <c r="J40" i="5"/>
  <c r="R39" i="5"/>
  <c r="P39" i="5"/>
  <c r="N39" i="5"/>
  <c r="L39" i="5"/>
  <c r="J39" i="5"/>
  <c r="R38" i="5"/>
  <c r="P38" i="5"/>
  <c r="N38" i="5"/>
  <c r="L38" i="5"/>
  <c r="J38" i="5"/>
  <c r="R37" i="5"/>
  <c r="P37" i="5"/>
  <c r="N37" i="5"/>
  <c r="L37" i="5"/>
  <c r="J37" i="5"/>
  <c r="R36" i="5"/>
  <c r="P36" i="5"/>
  <c r="N36" i="5"/>
  <c r="L36" i="5"/>
  <c r="J36" i="5"/>
  <c r="R35" i="5"/>
  <c r="P35" i="5"/>
  <c r="N35" i="5"/>
  <c r="L35" i="5"/>
  <c r="J35" i="5"/>
  <c r="R34" i="5"/>
  <c r="P34" i="5"/>
  <c r="N34" i="5"/>
  <c r="L34" i="5"/>
  <c r="J34" i="5"/>
  <c r="R33" i="5"/>
  <c r="P33" i="5"/>
  <c r="N33" i="5"/>
  <c r="L33" i="5"/>
  <c r="J33" i="5"/>
  <c r="R32" i="5"/>
  <c r="P32" i="5"/>
  <c r="N32" i="5"/>
  <c r="L32" i="5"/>
  <c r="J32" i="5"/>
  <c r="H59" i="5"/>
  <c r="H6" i="7" s="1"/>
  <c r="S31" i="5"/>
  <c r="Q31" i="5"/>
  <c r="O31" i="5"/>
  <c r="M31" i="5"/>
  <c r="K31" i="5"/>
  <c r="I31" i="5"/>
  <c r="S24" i="5"/>
  <c r="Q24" i="5"/>
  <c r="O24" i="5"/>
  <c r="M24" i="5"/>
  <c r="K24" i="5"/>
  <c r="I24" i="5"/>
  <c r="S23" i="5"/>
  <c r="Q23" i="5"/>
  <c r="O23" i="5"/>
  <c r="M23" i="5"/>
  <c r="K23" i="5"/>
  <c r="I23" i="5"/>
  <c r="S22" i="5"/>
  <c r="Q22" i="5"/>
  <c r="O22" i="5"/>
  <c r="M22" i="5"/>
  <c r="K22" i="5"/>
  <c r="I22" i="5"/>
  <c r="S18" i="5"/>
  <c r="Q18" i="5"/>
  <c r="O18" i="5"/>
  <c r="M18" i="5"/>
  <c r="K18" i="5"/>
  <c r="I18" i="5"/>
  <c r="S17" i="5"/>
  <c r="Q17" i="5"/>
  <c r="O17" i="5"/>
  <c r="M17" i="5"/>
  <c r="K17" i="5"/>
  <c r="I17" i="5"/>
  <c r="S16" i="5"/>
  <c r="Q16" i="5"/>
  <c r="O16" i="5"/>
  <c r="M16" i="5"/>
  <c r="K16" i="5"/>
  <c r="I16" i="5"/>
  <c r="S15" i="5"/>
  <c r="Q15" i="5"/>
  <c r="O15" i="5"/>
  <c r="M15" i="5"/>
  <c r="K15" i="5"/>
  <c r="I15" i="5"/>
  <c r="S14" i="5"/>
  <c r="Q14" i="5"/>
  <c r="O14" i="5"/>
  <c r="M14" i="5"/>
  <c r="K14" i="5"/>
  <c r="I14" i="5"/>
  <c r="R31" i="5"/>
  <c r="P31" i="5"/>
  <c r="N31" i="5"/>
  <c r="L31" i="5"/>
  <c r="J31" i="5"/>
  <c r="R24" i="5"/>
  <c r="P24" i="5"/>
  <c r="N24" i="5"/>
  <c r="L24" i="5"/>
  <c r="J24" i="5"/>
  <c r="R23" i="5"/>
  <c r="P23" i="5"/>
  <c r="N23" i="5"/>
  <c r="L23" i="5"/>
  <c r="J23" i="5"/>
  <c r="R22" i="5"/>
  <c r="P22" i="5"/>
  <c r="N22" i="5"/>
  <c r="L22" i="5"/>
  <c r="J22" i="5"/>
  <c r="R18" i="5"/>
  <c r="P18" i="5"/>
  <c r="N18" i="5"/>
  <c r="L18" i="5"/>
  <c r="J18" i="5"/>
  <c r="R17" i="5"/>
  <c r="P17" i="5"/>
  <c r="N17" i="5"/>
  <c r="L17" i="5"/>
  <c r="J17" i="5"/>
  <c r="R16" i="5"/>
  <c r="P16" i="5"/>
  <c r="N16" i="5"/>
  <c r="L16" i="5"/>
  <c r="J16" i="5"/>
  <c r="R15" i="5"/>
  <c r="P15" i="5"/>
  <c r="N15" i="5"/>
  <c r="L15" i="5"/>
  <c r="J15" i="5"/>
  <c r="R14" i="5"/>
  <c r="P14" i="5"/>
  <c r="N14" i="5"/>
  <c r="L14" i="5"/>
  <c r="J14" i="5"/>
  <c r="S13" i="5"/>
  <c r="Q13" i="5"/>
  <c r="O13" i="5"/>
  <c r="M13" i="5"/>
  <c r="K13" i="5"/>
  <c r="I13" i="5"/>
  <c r="R13" i="5"/>
  <c r="P13" i="5"/>
  <c r="N13" i="5"/>
  <c r="L13" i="5"/>
  <c r="J13" i="5"/>
  <c r="Q59" i="3"/>
  <c r="S67" i="5" s="1"/>
  <c r="S14" i="7" s="1"/>
  <c r="O59" i="3"/>
  <c r="Q67" i="5" s="1"/>
  <c r="Q14" i="7" s="1"/>
  <c r="M59" i="3"/>
  <c r="O67" i="5" s="1"/>
  <c r="O14" i="7" s="1"/>
  <c r="K59" i="3"/>
  <c r="M67" i="5" s="1"/>
  <c r="M14" i="7" s="1"/>
  <c r="I59" i="3"/>
  <c r="K67" i="5" s="1"/>
  <c r="K14" i="7" s="1"/>
  <c r="G59" i="3"/>
  <c r="I67" i="5" s="1"/>
  <c r="I14" i="7" s="1"/>
  <c r="P59" i="4"/>
  <c r="R67" i="6" s="1"/>
  <c r="S33" i="7" s="1"/>
  <c r="N59" i="4"/>
  <c r="P67" i="6" s="1"/>
  <c r="Q33" i="7" s="1"/>
  <c r="L59" i="4"/>
  <c r="N67" i="6" s="1"/>
  <c r="O33" i="7" s="1"/>
  <c r="J59" i="4"/>
  <c r="L67" i="6" s="1"/>
  <c r="M33" i="7" s="1"/>
  <c r="H59" i="4"/>
  <c r="J67" i="6" s="1"/>
  <c r="K33" i="7" s="1"/>
  <c r="F59" i="4"/>
  <c r="H67" i="6" s="1"/>
  <c r="I33" i="7" s="1"/>
  <c r="H66" i="6"/>
  <c r="I32" i="7" s="1"/>
  <c r="P59" i="3"/>
  <c r="R67" i="5" s="1"/>
  <c r="R14" i="7" s="1"/>
  <c r="N59" i="3"/>
  <c r="P67" i="5" s="1"/>
  <c r="P14" i="7" s="1"/>
  <c r="L59" i="3"/>
  <c r="N67" i="5" s="1"/>
  <c r="N14" i="7" s="1"/>
  <c r="J59" i="3"/>
  <c r="L67" i="5" s="1"/>
  <c r="L14" i="7" s="1"/>
  <c r="H59" i="3"/>
  <c r="J67" i="5" s="1"/>
  <c r="J14" i="7" s="1"/>
  <c r="F59" i="3"/>
  <c r="H67" i="5" s="1"/>
  <c r="H14" i="7" s="1"/>
  <c r="O59" i="4"/>
  <c r="Q67" i="6" s="1"/>
  <c r="R33" i="7" s="1"/>
  <c r="M59" i="4"/>
  <c r="O67" i="6" s="1"/>
  <c r="P33" i="7" s="1"/>
  <c r="K59" i="4"/>
  <c r="M67" i="6" s="1"/>
  <c r="N33" i="7" s="1"/>
  <c r="I59" i="4"/>
  <c r="K67" i="6" s="1"/>
  <c r="L33" i="7" s="1"/>
  <c r="G59" i="4"/>
  <c r="I67" i="6" s="1"/>
  <c r="J33" i="7" s="1"/>
  <c r="J57" i="4"/>
  <c r="L65" i="6" s="1"/>
  <c r="M31" i="7" s="1"/>
  <c r="H57" i="5"/>
  <c r="J57" i="5"/>
  <c r="J4" i="7" s="1"/>
  <c r="L57" i="5"/>
  <c r="L4" i="7" s="1"/>
  <c r="N57" i="5"/>
  <c r="N4" i="7" s="1"/>
  <c r="P57" i="5"/>
  <c r="P4" i="7" s="1"/>
  <c r="R57" i="5"/>
  <c r="R4" i="7" s="1"/>
  <c r="E67" i="1" l="1"/>
  <c r="F5" i="9"/>
  <c r="B39" i="8"/>
  <c r="F14" i="9"/>
  <c r="F50" i="9"/>
  <c r="L4" i="6"/>
  <c r="K4" i="6"/>
  <c r="R59" i="9"/>
  <c r="F51" i="9"/>
  <c r="H4" i="6"/>
  <c r="H61" i="6" s="1"/>
  <c r="I27" i="7" s="1"/>
  <c r="I4" i="6"/>
  <c r="P4" i="6"/>
  <c r="Q4" i="6"/>
  <c r="Q57" i="6" s="1"/>
  <c r="R23" i="7" s="1"/>
  <c r="R42" i="7" s="1"/>
  <c r="G4" i="6"/>
  <c r="G57" i="5"/>
  <c r="K45" i="7"/>
  <c r="F42" i="9"/>
  <c r="J59" i="9"/>
  <c r="F45" i="9"/>
  <c r="F17" i="9"/>
  <c r="O59" i="9"/>
  <c r="D58" i="4"/>
  <c r="F66" i="6" s="1"/>
  <c r="G32" i="7" s="1"/>
  <c r="E36" i="8"/>
  <c r="J58" i="6"/>
  <c r="K24" i="7" s="1"/>
  <c r="H52" i="7"/>
  <c r="L45" i="7"/>
  <c r="O58" i="6"/>
  <c r="P24" i="7" s="1"/>
  <c r="G58" i="6"/>
  <c r="H24" i="7" s="1"/>
  <c r="L58" i="6"/>
  <c r="M24" i="7" s="1"/>
  <c r="F24" i="9"/>
  <c r="R58" i="6"/>
  <c r="S24" i="7" s="1"/>
  <c r="K58" i="6"/>
  <c r="L24" i="7" s="1"/>
  <c r="P58" i="6"/>
  <c r="Q24" i="7" s="1"/>
  <c r="H58" i="6"/>
  <c r="I24" i="7" s="1"/>
  <c r="M58" i="6"/>
  <c r="N24" i="7" s="1"/>
  <c r="Q58" i="6"/>
  <c r="R24" i="7" s="1"/>
  <c r="I58" i="6"/>
  <c r="J24" i="7" s="1"/>
  <c r="N58" i="6"/>
  <c r="O24" i="7" s="1"/>
  <c r="F13" i="9"/>
  <c r="F18" i="9"/>
  <c r="F6" i="9"/>
  <c r="F38" i="9"/>
  <c r="G59" i="9"/>
  <c r="F23" i="9"/>
  <c r="O59" i="6"/>
  <c r="P25" i="7" s="1"/>
  <c r="K59" i="6"/>
  <c r="L25" i="7" s="1"/>
  <c r="P59" i="9"/>
  <c r="F48" i="9"/>
  <c r="N57" i="6"/>
  <c r="O23" i="7" s="1"/>
  <c r="O42" i="7" s="1"/>
  <c r="F43" i="9"/>
  <c r="F16" i="9"/>
  <c r="F37" i="9"/>
  <c r="F35" i="9"/>
  <c r="F41" i="9"/>
  <c r="Q59" i="9"/>
  <c r="L57" i="6"/>
  <c r="M23" i="7" s="1"/>
  <c r="M42" i="7" s="1"/>
  <c r="F46" i="9"/>
  <c r="F40" i="9"/>
  <c r="J67" i="2"/>
  <c r="I59" i="9"/>
  <c r="H59" i="9"/>
  <c r="M59" i="9"/>
  <c r="L59" i="9"/>
  <c r="F34" i="9"/>
  <c r="F32" i="9"/>
  <c r="F36" i="9"/>
  <c r="F39" i="9"/>
  <c r="F47" i="9"/>
  <c r="M45" i="7"/>
  <c r="P45" i="7"/>
  <c r="R6" i="6"/>
  <c r="J6" i="6"/>
  <c r="M6" i="6"/>
  <c r="R4" i="6"/>
  <c r="J4" i="6"/>
  <c r="M4" i="6"/>
  <c r="F22" i="9"/>
  <c r="F44" i="9"/>
  <c r="F49" i="9"/>
  <c r="P59" i="6"/>
  <c r="Q25" i="7" s="1"/>
  <c r="N59" i="9"/>
  <c r="F31" i="9"/>
  <c r="F33" i="9"/>
  <c r="R59" i="6"/>
  <c r="S25" i="7" s="1"/>
  <c r="H62" i="8"/>
  <c r="N44" i="8"/>
  <c r="K59" i="9"/>
  <c r="H56" i="8"/>
  <c r="H64" i="8" s="1"/>
  <c r="N46" i="8"/>
  <c r="B36" i="8"/>
  <c r="N48" i="8"/>
  <c r="K62" i="8"/>
  <c r="N50" i="8"/>
  <c r="N39" i="8"/>
  <c r="N57" i="8"/>
  <c r="N65" i="8" s="1"/>
  <c r="P65" i="8" s="1"/>
  <c r="E65" i="8"/>
  <c r="G65" i="8" s="1"/>
  <c r="M57" i="8"/>
  <c r="K65" i="8"/>
  <c r="M65" i="8" s="1"/>
  <c r="N37" i="8"/>
  <c r="N45" i="8"/>
  <c r="N47" i="8"/>
  <c r="N49" i="8"/>
  <c r="B37" i="8"/>
  <c r="B40" i="8"/>
  <c r="B45" i="8"/>
  <c r="B47" i="8"/>
  <c r="B49" i="8"/>
  <c r="C57" i="8"/>
  <c r="C65" i="8" s="1"/>
  <c r="B44" i="8"/>
  <c r="B46" i="8"/>
  <c r="B48" i="8"/>
  <c r="B50" i="8"/>
  <c r="E59" i="3"/>
  <c r="G67" i="5" s="1"/>
  <c r="G14" i="7" s="1"/>
  <c r="H63" i="8"/>
  <c r="D59" i="4"/>
  <c r="F67" i="6" s="1"/>
  <c r="G33" i="7" s="1"/>
  <c r="J57" i="8"/>
  <c r="G57" i="8"/>
  <c r="M56" i="8"/>
  <c r="M64" i="8"/>
  <c r="J52" i="7"/>
  <c r="N52" i="7"/>
  <c r="R52" i="7"/>
  <c r="K52" i="7"/>
  <c r="O52" i="7"/>
  <c r="S52" i="7"/>
  <c r="E62" i="8"/>
  <c r="L52" i="7"/>
  <c r="P52" i="7"/>
  <c r="I52" i="7"/>
  <c r="M52" i="7"/>
  <c r="Q52" i="7"/>
  <c r="B56" i="8"/>
  <c r="B64" i="8" s="1"/>
  <c r="G60" i="5"/>
  <c r="G7" i="7" s="1"/>
  <c r="J59" i="6"/>
  <c r="K25" i="7" s="1"/>
  <c r="R45" i="7"/>
  <c r="I54" i="8"/>
  <c r="J54" i="8" s="1"/>
  <c r="F55" i="8"/>
  <c r="O55" i="8" s="1"/>
  <c r="L54" i="8"/>
  <c r="M54" i="8" s="1"/>
  <c r="P57" i="6"/>
  <c r="Q23" i="7" s="1"/>
  <c r="Q42" i="7" s="1"/>
  <c r="O57" i="6"/>
  <c r="P23" i="7" s="1"/>
  <c r="P42" i="7" s="1"/>
  <c r="G57" i="6"/>
  <c r="H23" i="7" s="1"/>
  <c r="K57" i="6"/>
  <c r="L23" i="7" s="1"/>
  <c r="L42" i="7" s="1"/>
  <c r="L59" i="5"/>
  <c r="L6" i="7" s="1"/>
  <c r="P59" i="5"/>
  <c r="P6" i="7" s="1"/>
  <c r="I59" i="5"/>
  <c r="I6" i="7" s="1"/>
  <c r="M59" i="5"/>
  <c r="M6" i="7" s="1"/>
  <c r="Q59" i="5"/>
  <c r="Q6" i="7" s="1"/>
  <c r="I57" i="6"/>
  <c r="J23" i="7" s="1"/>
  <c r="J42" i="7" s="1"/>
  <c r="G61" i="6"/>
  <c r="H27" i="7" s="1"/>
  <c r="K61" i="6"/>
  <c r="L27" i="7" s="1"/>
  <c r="L61" i="6"/>
  <c r="M27" i="7" s="1"/>
  <c r="I56" i="8"/>
  <c r="I64" i="8" s="1"/>
  <c r="F57" i="8"/>
  <c r="L57" i="8"/>
  <c r="L65" i="8" s="1"/>
  <c r="G4" i="7"/>
  <c r="F56" i="8"/>
  <c r="L56" i="8"/>
  <c r="L64" i="8" s="1"/>
  <c r="I57" i="8"/>
  <c r="I65" i="8" s="1"/>
  <c r="J59" i="5"/>
  <c r="J6" i="7" s="1"/>
  <c r="N59" i="5"/>
  <c r="N6" i="7" s="1"/>
  <c r="R59" i="5"/>
  <c r="R6" i="7" s="1"/>
  <c r="K59" i="5"/>
  <c r="K6" i="7" s="1"/>
  <c r="O59" i="5"/>
  <c r="O6" i="7" s="1"/>
  <c r="S59" i="5"/>
  <c r="S6" i="7" s="1"/>
  <c r="N61" i="6"/>
  <c r="O27" i="7" s="1"/>
  <c r="H4" i="7"/>
  <c r="F3" i="6"/>
  <c r="F31" i="6"/>
  <c r="G59" i="6"/>
  <c r="H25" i="7" s="1"/>
  <c r="H44" i="7" s="1"/>
  <c r="F51" i="6"/>
  <c r="F49" i="6"/>
  <c r="F47" i="6"/>
  <c r="F45" i="6"/>
  <c r="F43" i="6"/>
  <c r="F41" i="6"/>
  <c r="F39" i="6"/>
  <c r="F37" i="6"/>
  <c r="F35" i="6"/>
  <c r="F33" i="6"/>
  <c r="L59" i="6"/>
  <c r="M25" i="7" s="1"/>
  <c r="H59" i="6"/>
  <c r="I25" i="7" s="1"/>
  <c r="F26" i="6"/>
  <c r="F24" i="6"/>
  <c r="F22" i="6"/>
  <c r="F17" i="6"/>
  <c r="F15" i="6"/>
  <c r="F13" i="6"/>
  <c r="F50" i="6"/>
  <c r="F48" i="6"/>
  <c r="F46" i="6"/>
  <c r="F44" i="6"/>
  <c r="F42" i="6"/>
  <c r="F40" i="6"/>
  <c r="F38" i="6"/>
  <c r="F36" i="6"/>
  <c r="F34" i="6"/>
  <c r="F32" i="6"/>
  <c r="F27" i="6"/>
  <c r="F25" i="6"/>
  <c r="F23" i="6"/>
  <c r="F18" i="6"/>
  <c r="F16" i="6"/>
  <c r="F14" i="6"/>
  <c r="I59" i="6"/>
  <c r="J25" i="7" s="1"/>
  <c r="F6" i="6"/>
  <c r="C55" i="8" s="1"/>
  <c r="F5" i="6"/>
  <c r="H57" i="6"/>
  <c r="I23" i="7" s="1"/>
  <c r="I60" i="6"/>
  <c r="J26" i="7" s="1"/>
  <c r="J45" i="7" s="1"/>
  <c r="I61" i="6"/>
  <c r="F52" i="6"/>
  <c r="C56" i="8" s="1"/>
  <c r="C64" i="8" s="1"/>
  <c r="G60" i="6"/>
  <c r="H26" i="7" s="1"/>
  <c r="H45" i="7" s="1"/>
  <c r="M60" i="6"/>
  <c r="N26" i="7" s="1"/>
  <c r="N45" i="7" s="1"/>
  <c r="M59" i="6"/>
  <c r="N25" i="7" s="1"/>
  <c r="Q59" i="6"/>
  <c r="R25" i="7" s="1"/>
  <c r="N59" i="6"/>
  <c r="O25" i="7" s="1"/>
  <c r="O61" i="6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14" i="5"/>
  <c r="G15" i="5"/>
  <c r="G16" i="5"/>
  <c r="F37" i="8" s="1"/>
  <c r="G17" i="5"/>
  <c r="I37" i="8" s="1"/>
  <c r="J37" i="8" s="1"/>
  <c r="G18" i="5"/>
  <c r="G22" i="5"/>
  <c r="F39" i="8" s="1"/>
  <c r="G23" i="5"/>
  <c r="I39" i="8" s="1"/>
  <c r="J39" i="8" s="1"/>
  <c r="G24" i="5"/>
  <c r="G31" i="5"/>
  <c r="F44" i="8" s="1"/>
  <c r="G13" i="5"/>
  <c r="Q61" i="6" l="1"/>
  <c r="Q62" i="6" s="1"/>
  <c r="Q39" i="8"/>
  <c r="B61" i="8"/>
  <c r="M57" i="6"/>
  <c r="N23" i="7" s="1"/>
  <c r="N42" i="7" s="1"/>
  <c r="Q44" i="7"/>
  <c r="L44" i="7"/>
  <c r="P44" i="7"/>
  <c r="Q48" i="8"/>
  <c r="J56" i="8"/>
  <c r="F58" i="6"/>
  <c r="G24" i="7" s="1"/>
  <c r="M61" i="6"/>
  <c r="N27" i="7" s="1"/>
  <c r="F4" i="6"/>
  <c r="C54" i="8" s="1"/>
  <c r="C63" i="8" s="1"/>
  <c r="K44" i="7"/>
  <c r="J57" i="6"/>
  <c r="K23" i="7" s="1"/>
  <c r="K42" i="7" s="1"/>
  <c r="H42" i="7"/>
  <c r="I44" i="7"/>
  <c r="J61" i="6"/>
  <c r="K27" i="7" s="1"/>
  <c r="F59" i="9"/>
  <c r="S44" i="7"/>
  <c r="B62" i="8"/>
  <c r="Q45" i="8"/>
  <c r="Q44" i="8"/>
  <c r="Q37" i="8"/>
  <c r="Q50" i="8"/>
  <c r="Q46" i="8"/>
  <c r="H62" i="6"/>
  <c r="C37" i="8"/>
  <c r="D37" i="8" s="1"/>
  <c r="C47" i="8"/>
  <c r="D47" i="8" s="1"/>
  <c r="Q49" i="8"/>
  <c r="Q47" i="8"/>
  <c r="C40" i="8"/>
  <c r="D40" i="8" s="1"/>
  <c r="O56" i="8"/>
  <c r="O64" i="8" s="1"/>
  <c r="F64" i="8"/>
  <c r="C46" i="8"/>
  <c r="D46" i="8" s="1"/>
  <c r="C50" i="8"/>
  <c r="D50" i="8" s="1"/>
  <c r="O54" i="8"/>
  <c r="O57" i="8"/>
  <c r="O65" i="8" s="1"/>
  <c r="F65" i="8"/>
  <c r="C45" i="8"/>
  <c r="D45" i="8" s="1"/>
  <c r="C49" i="8"/>
  <c r="D49" i="8" s="1"/>
  <c r="C36" i="8"/>
  <c r="C39" i="8"/>
  <c r="D39" i="8" s="1"/>
  <c r="C48" i="8"/>
  <c r="D48" i="8" s="1"/>
  <c r="C44" i="8"/>
  <c r="D44" i="8" s="1"/>
  <c r="G52" i="7"/>
  <c r="J44" i="7"/>
  <c r="M44" i="7"/>
  <c r="G37" i="8"/>
  <c r="N62" i="8"/>
  <c r="G39" i="8"/>
  <c r="P57" i="8"/>
  <c r="L39" i="8"/>
  <c r="L36" i="8"/>
  <c r="D55" i="8"/>
  <c r="F63" i="8"/>
  <c r="G44" i="8"/>
  <c r="L37" i="8"/>
  <c r="M37" i="8" s="1"/>
  <c r="D56" i="8"/>
  <c r="I36" i="8"/>
  <c r="F36" i="8"/>
  <c r="L62" i="6"/>
  <c r="L28" i="7"/>
  <c r="I50" i="8"/>
  <c r="J50" i="8" s="1"/>
  <c r="L49" i="8"/>
  <c r="M49" i="8" s="1"/>
  <c r="F49" i="8"/>
  <c r="I48" i="8"/>
  <c r="J48" i="8" s="1"/>
  <c r="L47" i="8"/>
  <c r="M47" i="8" s="1"/>
  <c r="F47" i="8"/>
  <c r="I46" i="8"/>
  <c r="J46" i="8" s="1"/>
  <c r="L45" i="8"/>
  <c r="M45" i="8" s="1"/>
  <c r="F45" i="8"/>
  <c r="I44" i="8"/>
  <c r="L50" i="8"/>
  <c r="M50" i="8" s="1"/>
  <c r="F50" i="8"/>
  <c r="I49" i="8"/>
  <c r="J49" i="8" s="1"/>
  <c r="L48" i="8"/>
  <c r="M48" i="8" s="1"/>
  <c r="F48" i="8"/>
  <c r="I47" i="8"/>
  <c r="J47" i="8" s="1"/>
  <c r="L46" i="8"/>
  <c r="M46" i="8" s="1"/>
  <c r="F46" i="8"/>
  <c r="I45" i="8"/>
  <c r="J45" i="8" s="1"/>
  <c r="L44" i="8"/>
  <c r="R44" i="7"/>
  <c r="N44" i="7"/>
  <c r="O28" i="7"/>
  <c r="G59" i="5"/>
  <c r="G62" i="6"/>
  <c r="K62" i="6"/>
  <c r="J27" i="7"/>
  <c r="O44" i="7"/>
  <c r="M28" i="7"/>
  <c r="H28" i="7"/>
  <c r="P27" i="7"/>
  <c r="I28" i="7"/>
  <c r="I42" i="7"/>
  <c r="N62" i="6"/>
  <c r="F59" i="6"/>
  <c r="G25" i="7" s="1"/>
  <c r="F60" i="6"/>
  <c r="G26" i="7" s="1"/>
  <c r="G45" i="7" s="1"/>
  <c r="I62" i="6"/>
  <c r="P60" i="6"/>
  <c r="Q26" i="7" s="1"/>
  <c r="P61" i="6"/>
  <c r="O62" i="6"/>
  <c r="R61" i="6"/>
  <c r="R57" i="6"/>
  <c r="S23" i="7" s="1"/>
  <c r="R27" i="7" l="1"/>
  <c r="R28" i="7" s="1"/>
  <c r="C61" i="8"/>
  <c r="D61" i="8" s="1"/>
  <c r="D36" i="8"/>
  <c r="N28" i="7"/>
  <c r="M62" i="6"/>
  <c r="R54" i="8"/>
  <c r="F61" i="6"/>
  <c r="G27" i="7" s="1"/>
  <c r="F57" i="6"/>
  <c r="G23" i="7" s="1"/>
  <c r="G42" i="7" s="1"/>
  <c r="O39" i="8"/>
  <c r="P39" i="8" s="1"/>
  <c r="M39" i="8"/>
  <c r="J62" i="6"/>
  <c r="C62" i="8"/>
  <c r="D62" i="8" s="1"/>
  <c r="O50" i="8"/>
  <c r="Q62" i="8"/>
  <c r="O46" i="8"/>
  <c r="O44" i="8"/>
  <c r="R44" i="8" s="1"/>
  <c r="O47" i="8"/>
  <c r="O37" i="8"/>
  <c r="O48" i="8"/>
  <c r="O45" i="8"/>
  <c r="O49" i="8"/>
  <c r="O36" i="8"/>
  <c r="O63" i="8"/>
  <c r="R57" i="8"/>
  <c r="R65" i="8" s="1"/>
  <c r="G48" i="8"/>
  <c r="G45" i="8"/>
  <c r="G49" i="8"/>
  <c r="G46" i="8"/>
  <c r="G50" i="8"/>
  <c r="G47" i="8"/>
  <c r="R55" i="8"/>
  <c r="R56" i="8"/>
  <c r="R64" i="8" s="1"/>
  <c r="F62" i="8"/>
  <c r="G62" i="8" s="1"/>
  <c r="L63" i="8"/>
  <c r="M44" i="8"/>
  <c r="L62" i="8"/>
  <c r="J44" i="8"/>
  <c r="I62" i="8"/>
  <c r="J62" i="8" s="1"/>
  <c r="G36" i="8"/>
  <c r="J36" i="8"/>
  <c r="I63" i="8"/>
  <c r="G6" i="7"/>
  <c r="G44" i="7" s="1"/>
  <c r="M63" i="8"/>
  <c r="K28" i="7"/>
  <c r="S27" i="7"/>
  <c r="S28" i="7" s="1"/>
  <c r="Q27" i="7"/>
  <c r="Q28" i="7" s="1"/>
  <c r="P28" i="7"/>
  <c r="S42" i="7"/>
  <c r="Q45" i="7"/>
  <c r="J28" i="7"/>
  <c r="P62" i="6"/>
  <c r="R62" i="6"/>
  <c r="R36" i="8" l="1"/>
  <c r="R39" i="8"/>
  <c r="S39" i="8" s="1"/>
  <c r="C67" i="8"/>
  <c r="C66" i="8"/>
  <c r="P44" i="8"/>
  <c r="O62" i="8"/>
  <c r="P37" i="8"/>
  <c r="R37" i="8"/>
  <c r="S37" i="8" s="1"/>
  <c r="P47" i="8"/>
  <c r="R47" i="8"/>
  <c r="S47" i="8" s="1"/>
  <c r="P50" i="8"/>
  <c r="R50" i="8"/>
  <c r="S50" i="8" s="1"/>
  <c r="P46" i="8"/>
  <c r="R46" i="8"/>
  <c r="S46" i="8" s="1"/>
  <c r="P49" i="8"/>
  <c r="R49" i="8"/>
  <c r="S49" i="8" s="1"/>
  <c r="P45" i="8"/>
  <c r="R45" i="8"/>
  <c r="S45" i="8" s="1"/>
  <c r="P48" i="8"/>
  <c r="R48" i="8"/>
  <c r="S48" i="8" s="1"/>
  <c r="S44" i="8"/>
  <c r="R63" i="8"/>
  <c r="J25" i="5"/>
  <c r="N25" i="5"/>
  <c r="R25" i="5"/>
  <c r="P25" i="5"/>
  <c r="O25" i="5"/>
  <c r="L25" i="5"/>
  <c r="K25" i="5"/>
  <c r="I25" i="5"/>
  <c r="Q25" i="5"/>
  <c r="M25" i="5"/>
  <c r="S25" i="5"/>
  <c r="H25" i="5"/>
  <c r="C68" i="8" l="1"/>
  <c r="B26" i="5"/>
  <c r="C26" i="1"/>
  <c r="B27" i="5"/>
  <c r="C27" i="1"/>
  <c r="P62" i="8"/>
  <c r="R62" i="8"/>
  <c r="S62" i="8" s="1"/>
  <c r="G25" i="5"/>
  <c r="P27" i="9" l="1"/>
  <c r="J27" i="9"/>
  <c r="N26" i="9"/>
  <c r="M26" i="9"/>
  <c r="Q26" i="9"/>
  <c r="D27" i="5"/>
  <c r="E27" i="5" s="1"/>
  <c r="H26" i="5"/>
  <c r="S26" i="5"/>
  <c r="O26" i="5"/>
  <c r="K26" i="5"/>
  <c r="R26" i="5"/>
  <c r="N26" i="5"/>
  <c r="J26" i="5"/>
  <c r="Q26" i="5"/>
  <c r="M26" i="5"/>
  <c r="I26" i="5"/>
  <c r="P26" i="5"/>
  <c r="L26" i="5"/>
  <c r="H27" i="5"/>
  <c r="S27" i="5"/>
  <c r="O27" i="5"/>
  <c r="K27" i="5"/>
  <c r="P27" i="5"/>
  <c r="L27" i="5"/>
  <c r="Q27" i="5"/>
  <c r="M27" i="5"/>
  <c r="I27" i="5"/>
  <c r="R27" i="5"/>
  <c r="N27" i="5"/>
  <c r="J27" i="5"/>
  <c r="D26" i="5"/>
  <c r="E26" i="5" s="1"/>
  <c r="F40" i="8"/>
  <c r="R26" i="9" l="1"/>
  <c r="Q27" i="9"/>
  <c r="L26" i="9"/>
  <c r="N27" i="9"/>
  <c r="H26" i="9"/>
  <c r="L27" i="9"/>
  <c r="K27" i="9"/>
  <c r="K26" i="9"/>
  <c r="M27" i="9"/>
  <c r="P26" i="9"/>
  <c r="I26" i="9"/>
  <c r="H27" i="9"/>
  <c r="R27" i="9"/>
  <c r="I27" i="9"/>
  <c r="O26" i="9"/>
  <c r="O27" i="9"/>
  <c r="J26" i="9"/>
  <c r="G26" i="9"/>
  <c r="E26" i="3"/>
  <c r="H40" i="8" s="1"/>
  <c r="H61" i="8" s="1"/>
  <c r="G27" i="9"/>
  <c r="E27" i="3"/>
  <c r="K40" i="8" s="1"/>
  <c r="G26" i="5"/>
  <c r="G27" i="5"/>
  <c r="J64" i="8"/>
  <c r="J63" i="8"/>
  <c r="M62" i="8"/>
  <c r="L40" i="8" l="1"/>
  <c r="F27" i="9"/>
  <c r="F26" i="9"/>
  <c r="M40" i="8"/>
  <c r="I40" i="8"/>
  <c r="I61" i="8" s="1"/>
  <c r="H66" i="8"/>
  <c r="L61" i="8" l="1"/>
  <c r="L66" i="8" s="1"/>
  <c r="J40" i="8"/>
  <c r="O40" i="8"/>
  <c r="M8" i="8"/>
  <c r="I15" i="9" l="1"/>
  <c r="Q15" i="9"/>
  <c r="I66" i="8"/>
  <c r="J66" i="8" s="1"/>
  <c r="J61" i="8"/>
  <c r="R40" i="8"/>
  <c r="D15" i="5"/>
  <c r="E15" i="5" s="1"/>
  <c r="G15" i="9"/>
  <c r="J15" i="9"/>
  <c r="R15" i="9" l="1"/>
  <c r="N15" i="9"/>
  <c r="O15" i="9"/>
  <c r="P15" i="9"/>
  <c r="H15" i="9"/>
  <c r="M15" i="9"/>
  <c r="K15" i="9"/>
  <c r="L15" i="9"/>
  <c r="E15" i="3"/>
  <c r="F15" i="9" l="1"/>
  <c r="K36" i="8"/>
  <c r="N36" i="8" l="1"/>
  <c r="K61" i="8"/>
  <c r="K66" i="8" s="1"/>
  <c r="M36" i="8"/>
  <c r="P36" i="8" l="1"/>
  <c r="Q36" i="8"/>
  <c r="M61" i="8"/>
  <c r="M66" i="8"/>
  <c r="S36" i="8" l="1"/>
  <c r="G29" i="8" l="1"/>
  <c r="G52" i="9" l="1"/>
  <c r="F60" i="3"/>
  <c r="L52" i="9"/>
  <c r="Q52" i="9"/>
  <c r="O52" i="9"/>
  <c r="I52" i="9"/>
  <c r="R52" i="9"/>
  <c r="M52" i="9"/>
  <c r="P52" i="9"/>
  <c r="K52" i="9"/>
  <c r="N52" i="9"/>
  <c r="J52" i="9"/>
  <c r="D52" i="5"/>
  <c r="E52" i="3" l="1"/>
  <c r="E56" i="8" s="1"/>
  <c r="H52" i="9"/>
  <c r="I60" i="3"/>
  <c r="J60" i="3"/>
  <c r="L60" i="3"/>
  <c r="H60" i="3"/>
  <c r="P60" i="3"/>
  <c r="G60" i="3"/>
  <c r="M60" i="3"/>
  <c r="O60" i="3"/>
  <c r="Q60" i="3"/>
  <c r="N60" i="3"/>
  <c r="K60" i="3"/>
  <c r="H68" i="5"/>
  <c r="E60" i="3" l="1"/>
  <c r="G68" i="5" s="1"/>
  <c r="N56" i="8"/>
  <c r="N64" i="8" s="1"/>
  <c r="E64" i="8"/>
  <c r="F52" i="9"/>
  <c r="H15" i="7"/>
  <c r="R68" i="5"/>
  <c r="N68" i="5"/>
  <c r="M68" i="5"/>
  <c r="P68" i="5"/>
  <c r="S68" i="5"/>
  <c r="Q68" i="5"/>
  <c r="O68" i="5"/>
  <c r="I68" i="5"/>
  <c r="J68" i="5"/>
  <c r="L68" i="5"/>
  <c r="K68" i="5"/>
  <c r="G56" i="8"/>
  <c r="K15" i="7" l="1"/>
  <c r="P56" i="8"/>
  <c r="Q56" i="8"/>
  <c r="Q64" i="8" s="1"/>
  <c r="G64" i="8"/>
  <c r="M15" i="7"/>
  <c r="L15" i="7"/>
  <c r="J15" i="7"/>
  <c r="I15" i="7"/>
  <c r="O15" i="7"/>
  <c r="Q15" i="7"/>
  <c r="S15" i="7"/>
  <c r="P15" i="7"/>
  <c r="G15" i="7"/>
  <c r="N15" i="7"/>
  <c r="R15" i="7"/>
  <c r="P64" i="8" l="1"/>
  <c r="S56" i="8"/>
  <c r="E6" i="3" l="1"/>
  <c r="E55" i="8" s="1"/>
  <c r="N55" i="8" s="1"/>
  <c r="D3" i="5"/>
  <c r="G27" i="8" s="1"/>
  <c r="G55" i="8" l="1"/>
  <c r="M57" i="3"/>
  <c r="O65" i="5" s="1"/>
  <c r="N3" i="9"/>
  <c r="H57" i="3"/>
  <c r="J65" i="5" s="1"/>
  <c r="I3" i="9"/>
  <c r="Q57" i="3"/>
  <c r="S65" i="5" s="1"/>
  <c r="R3" i="9"/>
  <c r="O57" i="3"/>
  <c r="Q65" i="5" s="1"/>
  <c r="P3" i="9"/>
  <c r="J57" i="3"/>
  <c r="L65" i="5" s="1"/>
  <c r="K3" i="9"/>
  <c r="G57" i="3"/>
  <c r="I65" i="5" s="1"/>
  <c r="H3" i="9"/>
  <c r="N57" i="3"/>
  <c r="P65" i="5" s="1"/>
  <c r="O3" i="9"/>
  <c r="P57" i="3"/>
  <c r="R65" i="5" s="1"/>
  <c r="Q3" i="9"/>
  <c r="F57" i="3"/>
  <c r="H65" i="5" s="1"/>
  <c r="G3" i="9"/>
  <c r="I57" i="3"/>
  <c r="K65" i="5" s="1"/>
  <c r="J3" i="9"/>
  <c r="L3" i="9"/>
  <c r="L57" i="3"/>
  <c r="N65" i="5" s="1"/>
  <c r="M3" i="9"/>
  <c r="K57" i="3"/>
  <c r="E3" i="3"/>
  <c r="Q55" i="8" l="1"/>
  <c r="S55" i="8" s="1"/>
  <c r="P55" i="8"/>
  <c r="L57" i="9"/>
  <c r="F3" i="9"/>
  <c r="E57" i="3"/>
  <c r="E54" i="8"/>
  <c r="R12" i="7"/>
  <c r="M65" i="5"/>
  <c r="L12" i="7"/>
  <c r="K12" i="7"/>
  <c r="H12" i="7"/>
  <c r="N12" i="7"/>
  <c r="Q12" i="7"/>
  <c r="S12" i="7"/>
  <c r="J12" i="7"/>
  <c r="P12" i="7"/>
  <c r="O12" i="7"/>
  <c r="I12" i="7"/>
  <c r="N54" i="8" l="1"/>
  <c r="G65" i="5"/>
  <c r="M12" i="7"/>
  <c r="G54" i="8"/>
  <c r="E63" i="8"/>
  <c r="M50" i="7" l="1"/>
  <c r="N63" i="8"/>
  <c r="P54" i="8"/>
  <c r="G63" i="8"/>
  <c r="G12" i="7"/>
  <c r="P63" i="8" l="1"/>
  <c r="D30" i="8" l="1"/>
  <c r="D53" i="6" l="1"/>
  <c r="D54" i="6"/>
  <c r="D55" i="6"/>
  <c r="E55" i="6" s="1"/>
  <c r="E53" i="6"/>
  <c r="E54" i="6"/>
  <c r="M55" i="9"/>
  <c r="M68" i="9" s="1"/>
  <c r="P55" i="9"/>
  <c r="P68" i="9" s="1"/>
  <c r="N55" i="9"/>
  <c r="N68" i="9" s="1"/>
  <c r="Q55" i="9"/>
  <c r="Q68" i="9" s="1"/>
  <c r="O55" i="9"/>
  <c r="O68" i="9" s="1"/>
  <c r="R54" i="9" l="1"/>
  <c r="G54" i="9"/>
  <c r="G53" i="9"/>
  <c r="Q53" i="9"/>
  <c r="R53" i="9"/>
  <c r="R60" i="9" s="1"/>
  <c r="I54" i="9"/>
  <c r="L54" i="9"/>
  <c r="N54" i="9"/>
  <c r="K54" i="9"/>
  <c r="I53" i="9"/>
  <c r="N53" i="9"/>
  <c r="M54" i="9"/>
  <c r="H54" i="9"/>
  <c r="H53" i="9"/>
  <c r="P53" i="9"/>
  <c r="P60" i="9" s="1"/>
  <c r="M53" i="9"/>
  <c r="L53" i="9"/>
  <c r="Q54" i="9"/>
  <c r="O54" i="9"/>
  <c r="J54" i="9"/>
  <c r="P54" i="9"/>
  <c r="K53" i="9"/>
  <c r="O53" i="9"/>
  <c r="J53" i="9"/>
  <c r="F68" i="9"/>
  <c r="F55" i="9"/>
  <c r="J61" i="4"/>
  <c r="J69" i="4" s="1"/>
  <c r="D55" i="4"/>
  <c r="F60" i="4"/>
  <c r="E60" i="4"/>
  <c r="D53" i="4"/>
  <c r="N60" i="4"/>
  <c r="O60" i="4"/>
  <c r="K60" i="4"/>
  <c r="P60" i="4"/>
  <c r="J60" i="4"/>
  <c r="M60" i="4"/>
  <c r="G60" i="4"/>
  <c r="H60" i="4"/>
  <c r="L60" i="4"/>
  <c r="I60" i="4"/>
  <c r="D54" i="4"/>
  <c r="K60" i="9" l="1"/>
  <c r="L60" i="9"/>
  <c r="G60" i="9"/>
  <c r="N60" i="9"/>
  <c r="O60" i="9"/>
  <c r="M60" i="9"/>
  <c r="H60" i="9"/>
  <c r="J60" i="9"/>
  <c r="I60" i="9"/>
  <c r="F53" i="9"/>
  <c r="Q60" i="9"/>
  <c r="F54" i="9"/>
  <c r="B57" i="8"/>
  <c r="B65" i="8" s="1"/>
  <c r="J65" i="4"/>
  <c r="L69" i="6"/>
  <c r="L71" i="6" s="1"/>
  <c r="L72" i="6" s="1"/>
  <c r="O68" i="6"/>
  <c r="R68" i="6"/>
  <c r="P68" i="6"/>
  <c r="D60" i="4"/>
  <c r="F68" i="6" s="1"/>
  <c r="G68" i="6"/>
  <c r="H68" i="6"/>
  <c r="K68" i="6"/>
  <c r="N68" i="6"/>
  <c r="J68" i="6"/>
  <c r="I68" i="6"/>
  <c r="J62" i="4"/>
  <c r="L68" i="6"/>
  <c r="M68" i="6"/>
  <c r="Q68" i="6"/>
  <c r="M35" i="7" l="1"/>
  <c r="F60" i="9"/>
  <c r="D65" i="8"/>
  <c r="R34" i="7"/>
  <c r="N34" i="7"/>
  <c r="M34" i="7"/>
  <c r="L70" i="6"/>
  <c r="J34" i="7"/>
  <c r="K34" i="7"/>
  <c r="O34" i="7"/>
  <c r="L34" i="7"/>
  <c r="I34" i="7"/>
  <c r="H34" i="7"/>
  <c r="G34" i="7"/>
  <c r="Q34" i="7"/>
  <c r="S34" i="7"/>
  <c r="M37" i="7"/>
  <c r="M38" i="7" s="1"/>
  <c r="D57" i="8"/>
  <c r="Q57" i="8"/>
  <c r="Q65" i="8" s="1"/>
  <c r="P34" i="7"/>
  <c r="S65" i="8" l="1"/>
  <c r="P53" i="7"/>
  <c r="S57" i="8"/>
  <c r="H53" i="7"/>
  <c r="I53" i="7"/>
  <c r="O53" i="7"/>
  <c r="J53" i="7"/>
  <c r="M36" i="7"/>
  <c r="M53" i="7"/>
  <c r="R53" i="7"/>
  <c r="D64" i="8"/>
  <c r="S53" i="7"/>
  <c r="Q53" i="7"/>
  <c r="G53" i="7"/>
  <c r="L53" i="7"/>
  <c r="K53" i="7"/>
  <c r="N53" i="7"/>
  <c r="S64" i="8" l="1"/>
  <c r="D25" i="5" l="1"/>
  <c r="E25" i="5" s="1"/>
  <c r="F58" i="3"/>
  <c r="J58" i="3" l="1"/>
  <c r="G58" i="3"/>
  <c r="H58" i="3"/>
  <c r="I58" i="3"/>
  <c r="K58" i="3"/>
  <c r="H25" i="9"/>
  <c r="G61" i="3"/>
  <c r="O25" i="9"/>
  <c r="M25" i="9"/>
  <c r="K25" i="9"/>
  <c r="K58" i="9" s="1"/>
  <c r="J61" i="3"/>
  <c r="I25" i="9"/>
  <c r="H61" i="3"/>
  <c r="I61" i="3"/>
  <c r="J25" i="9"/>
  <c r="J58" i="9" s="1"/>
  <c r="G25" i="9"/>
  <c r="F61" i="3"/>
  <c r="E25" i="3"/>
  <c r="K61" i="3"/>
  <c r="L25" i="9"/>
  <c r="L58" i="9" s="1"/>
  <c r="R25" i="9"/>
  <c r="P25" i="9"/>
  <c r="N25" i="9"/>
  <c r="Q25" i="9"/>
  <c r="I58" i="9" l="1"/>
  <c r="G58" i="9"/>
  <c r="H58" i="9"/>
  <c r="L61" i="9"/>
  <c r="K65" i="3"/>
  <c r="K68" i="3"/>
  <c r="M69" i="5"/>
  <c r="F65" i="3"/>
  <c r="H69" i="5"/>
  <c r="F68" i="3"/>
  <c r="F62" i="3"/>
  <c r="H66" i="5"/>
  <c r="H65" i="3"/>
  <c r="J69" i="5"/>
  <c r="H68" i="3"/>
  <c r="G65" i="3"/>
  <c r="G68" i="3"/>
  <c r="I69" i="5"/>
  <c r="G62" i="3"/>
  <c r="I66" i="5"/>
  <c r="K62" i="3"/>
  <c r="M66" i="5"/>
  <c r="E40" i="8"/>
  <c r="F25" i="9"/>
  <c r="I62" i="3"/>
  <c r="K66" i="5"/>
  <c r="I65" i="3"/>
  <c r="I68" i="3"/>
  <c r="K69" i="5"/>
  <c r="H62" i="3"/>
  <c r="J66" i="5"/>
  <c r="J68" i="3"/>
  <c r="L69" i="5"/>
  <c r="J65" i="3"/>
  <c r="J62" i="3"/>
  <c r="L66" i="5"/>
  <c r="L70" i="5" l="1"/>
  <c r="L13" i="7"/>
  <c r="K13" i="7"/>
  <c r="K70" i="5"/>
  <c r="L16" i="7"/>
  <c r="J70" i="5"/>
  <c r="J13" i="7"/>
  <c r="K16" i="7"/>
  <c r="H16" i="7"/>
  <c r="M16" i="7"/>
  <c r="L62" i="9"/>
  <c r="G40" i="8"/>
  <c r="N40" i="8"/>
  <c r="M70" i="5"/>
  <c r="M13" i="7"/>
  <c r="I13" i="7"/>
  <c r="I70" i="5"/>
  <c r="I16" i="7"/>
  <c r="J16" i="7"/>
  <c r="H13" i="7"/>
  <c r="H70" i="5"/>
  <c r="L69" i="9"/>
  <c r="L65" i="9"/>
  <c r="M17" i="7" l="1"/>
  <c r="M51" i="7"/>
  <c r="Q40" i="8"/>
  <c r="P40" i="8"/>
  <c r="M54" i="7"/>
  <c r="K17" i="7"/>
  <c r="K51" i="7"/>
  <c r="H17" i="7"/>
  <c r="H51" i="7"/>
  <c r="I17" i="7"/>
  <c r="I51" i="7"/>
  <c r="J17" i="7"/>
  <c r="J51" i="7"/>
  <c r="L17" i="7"/>
  <c r="L51" i="7"/>
  <c r="M55" i="7" l="1"/>
  <c r="S40" i="8"/>
  <c r="P64" i="9" l="1"/>
  <c r="F64" i="9" s="1"/>
  <c r="E64" i="3"/>
  <c r="N67" i="8" s="1"/>
  <c r="Q67" i="8" l="1"/>
  <c r="R71" i="9"/>
  <c r="R74" i="9" s="1"/>
  <c r="G6" i="8"/>
  <c r="B7" i="5"/>
  <c r="I7" i="5" s="1"/>
  <c r="C7" i="1"/>
  <c r="I58" i="5" l="1"/>
  <c r="I61" i="5"/>
  <c r="M61" i="3"/>
  <c r="N7" i="9"/>
  <c r="M58" i="3"/>
  <c r="J7" i="5"/>
  <c r="L61" i="3"/>
  <c r="L58" i="3"/>
  <c r="M7" i="9"/>
  <c r="N7" i="5"/>
  <c r="P7" i="5"/>
  <c r="M7" i="5"/>
  <c r="S7" i="5"/>
  <c r="K7" i="5"/>
  <c r="Q7" i="5"/>
  <c r="O7" i="5"/>
  <c r="L7" i="5"/>
  <c r="H7" i="5"/>
  <c r="R7" i="5"/>
  <c r="D7" i="5"/>
  <c r="E7" i="5" s="1"/>
  <c r="Q61" i="3" l="1"/>
  <c r="R7" i="9"/>
  <c r="Q58" i="3"/>
  <c r="M65" i="3"/>
  <c r="O69" i="5"/>
  <c r="O16" i="7" s="1"/>
  <c r="M68" i="3"/>
  <c r="M61" i="5"/>
  <c r="M58" i="5"/>
  <c r="R58" i="5"/>
  <c r="R61" i="5"/>
  <c r="Q58" i="5"/>
  <c r="Q61" i="5"/>
  <c r="P58" i="5"/>
  <c r="P61" i="5"/>
  <c r="N66" i="5"/>
  <c r="L62" i="3"/>
  <c r="J58" i="5"/>
  <c r="J61" i="5"/>
  <c r="I71" i="5"/>
  <c r="I72" i="5" s="1"/>
  <c r="I8" i="7"/>
  <c r="O7" i="9"/>
  <c r="N61" i="3"/>
  <c r="N58" i="3"/>
  <c r="Q7" i="9"/>
  <c r="P61" i="3"/>
  <c r="P58" i="3"/>
  <c r="K58" i="5"/>
  <c r="K61" i="5"/>
  <c r="N58" i="5"/>
  <c r="N61" i="5"/>
  <c r="M62" i="3"/>
  <c r="O66" i="5"/>
  <c r="I62" i="5"/>
  <c r="I5" i="7"/>
  <c r="O58" i="5"/>
  <c r="O61" i="5"/>
  <c r="M58" i="9"/>
  <c r="G7" i="5"/>
  <c r="H58" i="5"/>
  <c r="H61" i="5"/>
  <c r="L65" i="3"/>
  <c r="L68" i="3"/>
  <c r="N69" i="5"/>
  <c r="N16" i="7" s="1"/>
  <c r="L61" i="5"/>
  <c r="L58" i="5"/>
  <c r="S58" i="5"/>
  <c r="S61" i="5"/>
  <c r="P7" i="9"/>
  <c r="O61" i="3"/>
  <c r="O58" i="3"/>
  <c r="N58" i="9"/>
  <c r="E7" i="3"/>
  <c r="Q66" i="5" l="1"/>
  <c r="O62" i="3"/>
  <c r="S62" i="5"/>
  <c r="S5" i="7"/>
  <c r="F34" i="8"/>
  <c r="G61" i="5"/>
  <c r="G58" i="5"/>
  <c r="O71" i="5"/>
  <c r="O72" i="5" s="1"/>
  <c r="O8" i="7"/>
  <c r="O70" i="5"/>
  <c r="O13" i="7"/>
  <c r="K71" i="5"/>
  <c r="K72" i="5" s="1"/>
  <c r="K8" i="7"/>
  <c r="Q58" i="9"/>
  <c r="I18" i="7"/>
  <c r="I19" i="7" s="1"/>
  <c r="I46" i="7"/>
  <c r="Q8" i="7"/>
  <c r="M62" i="5"/>
  <c r="M5" i="7"/>
  <c r="E34" i="8"/>
  <c r="E58" i="3"/>
  <c r="E61" i="3"/>
  <c r="O68" i="3"/>
  <c r="Q69" i="5"/>
  <c r="Q16" i="7" s="1"/>
  <c r="O65" i="3"/>
  <c r="L62" i="5"/>
  <c r="L5" i="7"/>
  <c r="O5" i="7"/>
  <c r="O62" i="5"/>
  <c r="K62" i="5"/>
  <c r="K5" i="7"/>
  <c r="N62" i="3"/>
  <c r="P66" i="5"/>
  <c r="N13" i="7"/>
  <c r="N70" i="5"/>
  <c r="Q62" i="5"/>
  <c r="Q5" i="7"/>
  <c r="M71" i="5"/>
  <c r="M72" i="5" s="1"/>
  <c r="M8" i="7"/>
  <c r="Q62" i="3"/>
  <c r="S66" i="5"/>
  <c r="P58" i="9"/>
  <c r="L8" i="7"/>
  <c r="L71" i="5"/>
  <c r="L72" i="5" s="1"/>
  <c r="H71" i="5"/>
  <c r="H72" i="5" s="1"/>
  <c r="H8" i="7"/>
  <c r="F7" i="9"/>
  <c r="I43" i="7"/>
  <c r="I9" i="7"/>
  <c r="N8" i="7"/>
  <c r="N71" i="5"/>
  <c r="N72" i="5" s="1"/>
  <c r="R66" i="5"/>
  <c r="P62" i="3"/>
  <c r="N68" i="3"/>
  <c r="N65" i="3"/>
  <c r="P69" i="5"/>
  <c r="P16" i="7" s="1"/>
  <c r="J71" i="5"/>
  <c r="J72" i="5" s="1"/>
  <c r="J8" i="7"/>
  <c r="P8" i="7"/>
  <c r="R8" i="7"/>
  <c r="R58" i="9"/>
  <c r="S8" i="7"/>
  <c r="H62" i="5"/>
  <c r="H5" i="7"/>
  <c r="N5" i="7"/>
  <c r="N62" i="5"/>
  <c r="P68" i="3"/>
  <c r="P65" i="3"/>
  <c r="R69" i="5"/>
  <c r="R16" i="7" s="1"/>
  <c r="O58" i="9"/>
  <c r="J62" i="5"/>
  <c r="J5" i="7"/>
  <c r="P5" i="7"/>
  <c r="P62" i="5"/>
  <c r="R62" i="5"/>
  <c r="R5" i="7"/>
  <c r="Q68" i="3"/>
  <c r="Q65" i="3"/>
  <c r="S69" i="5"/>
  <c r="S16" i="7" s="1"/>
  <c r="S71" i="5" l="1"/>
  <c r="S72" i="5" s="1"/>
  <c r="R18" i="7"/>
  <c r="R19" i="7" s="1"/>
  <c r="R46" i="7"/>
  <c r="O43" i="7"/>
  <c r="O9" i="7"/>
  <c r="E62" i="3"/>
  <c r="G66" i="5"/>
  <c r="Q18" i="7"/>
  <c r="Q19" i="7" s="1"/>
  <c r="Q46" i="7"/>
  <c r="O17" i="7"/>
  <c r="O51" i="7"/>
  <c r="G62" i="5"/>
  <c r="G5" i="7"/>
  <c r="H43" i="7"/>
  <c r="H9" i="7"/>
  <c r="P18" i="7"/>
  <c r="P19" i="7" s="1"/>
  <c r="P46" i="7"/>
  <c r="R70" i="5"/>
  <c r="R13" i="7"/>
  <c r="M18" i="7"/>
  <c r="M19" i="7" s="1"/>
  <c r="M46" i="7"/>
  <c r="M56" i="7" s="1"/>
  <c r="M57" i="7" s="1"/>
  <c r="K9" i="7"/>
  <c r="K43" i="7"/>
  <c r="G34" i="8"/>
  <c r="E61" i="8"/>
  <c r="N34" i="8"/>
  <c r="Q71" i="5"/>
  <c r="Q72" i="5" s="1"/>
  <c r="O67" i="8"/>
  <c r="R67" i="8"/>
  <c r="G8" i="7"/>
  <c r="P9" i="7"/>
  <c r="P43" i="7"/>
  <c r="R43" i="7"/>
  <c r="R9" i="7"/>
  <c r="N9" i="7"/>
  <c r="N43" i="7"/>
  <c r="P71" i="5"/>
  <c r="P72" i="5" s="1"/>
  <c r="F58" i="9"/>
  <c r="L18" i="7"/>
  <c r="L19" i="7" s="1"/>
  <c r="L46" i="7"/>
  <c r="N51" i="7"/>
  <c r="N17" i="7"/>
  <c r="L9" i="7"/>
  <c r="L43" i="7"/>
  <c r="M9" i="7"/>
  <c r="M43" i="7"/>
  <c r="K46" i="7"/>
  <c r="K18" i="7"/>
  <c r="K19" i="7" s="1"/>
  <c r="O46" i="7"/>
  <c r="O18" i="7"/>
  <c r="O19" i="7" s="1"/>
  <c r="O34" i="8"/>
  <c r="F61" i="8"/>
  <c r="F66" i="8" s="1"/>
  <c r="Q70" i="5"/>
  <c r="Q13" i="7"/>
  <c r="J43" i="7"/>
  <c r="J9" i="7"/>
  <c r="S18" i="7"/>
  <c r="S19" i="7" s="1"/>
  <c r="S46" i="7"/>
  <c r="R71" i="5"/>
  <c r="R72" i="5" s="1"/>
  <c r="J18" i="7"/>
  <c r="J19" i="7" s="1"/>
  <c r="J46" i="7"/>
  <c r="N46" i="7"/>
  <c r="N18" i="7"/>
  <c r="N19" i="7" s="1"/>
  <c r="H18" i="7"/>
  <c r="H19" i="7" s="1"/>
  <c r="H46" i="7"/>
  <c r="S70" i="5"/>
  <c r="S13" i="7"/>
  <c r="Q43" i="7"/>
  <c r="Q9" i="7"/>
  <c r="P70" i="5"/>
  <c r="P13" i="7"/>
  <c r="E68" i="3"/>
  <c r="E65" i="3"/>
  <c r="G69" i="5"/>
  <c r="G16" i="7" s="1"/>
  <c r="S9" i="7"/>
  <c r="S43" i="7"/>
  <c r="P17" i="7" l="1"/>
  <c r="P51" i="7"/>
  <c r="S67" i="8"/>
  <c r="R17" i="7"/>
  <c r="R51" i="7"/>
  <c r="G43" i="7"/>
  <c r="G9" i="7"/>
  <c r="P67" i="8"/>
  <c r="P34" i="8"/>
  <c r="Q34" i="8"/>
  <c r="N61" i="8"/>
  <c r="O61" i="8"/>
  <c r="O66" i="8" s="1"/>
  <c r="O68" i="8" s="1"/>
  <c r="R34" i="8"/>
  <c r="R61" i="8" s="1"/>
  <c r="R66" i="8" s="1"/>
  <c r="Q70" i="8" s="1"/>
  <c r="Q72" i="8" s="1"/>
  <c r="G18" i="7"/>
  <c r="G19" i="7" s="1"/>
  <c r="G46" i="7"/>
  <c r="G61" i="8"/>
  <c r="E66" i="8"/>
  <c r="G66" i="8" s="1"/>
  <c r="S17" i="7"/>
  <c r="S51" i="7"/>
  <c r="Q17" i="7"/>
  <c r="Q51" i="7"/>
  <c r="G71" i="5"/>
  <c r="G72" i="5" s="1"/>
  <c r="G70" i="5"/>
  <c r="G13" i="7"/>
  <c r="S34" i="8" l="1"/>
  <c r="Q61" i="8"/>
  <c r="R68" i="8"/>
  <c r="G17" i="7"/>
  <c r="G51" i="7"/>
  <c r="P61" i="8"/>
  <c r="N66" i="8"/>
  <c r="P66" i="8" l="1"/>
  <c r="N68" i="8"/>
  <c r="S61" i="8"/>
  <c r="R4" i="9"/>
  <c r="P4" i="9"/>
  <c r="L61" i="4"/>
  <c r="O4" i="9"/>
  <c r="M57" i="4"/>
  <c r="O65" i="6" s="1"/>
  <c r="J4" i="9"/>
  <c r="H57" i="4"/>
  <c r="I4" i="9"/>
  <c r="H4" i="9"/>
  <c r="K61" i="4"/>
  <c r="I61" i="4"/>
  <c r="I57" i="4"/>
  <c r="K65" i="6" s="1"/>
  <c r="G4" i="9"/>
  <c r="D4" i="6"/>
  <c r="O61" i="4"/>
  <c r="K57" i="4" l="1"/>
  <c r="K62" i="4" s="1"/>
  <c r="L69" i="4"/>
  <c r="N69" i="6"/>
  <c r="L65" i="4"/>
  <c r="C27" i="8"/>
  <c r="D27" i="8" s="1"/>
  <c r="M69" i="6"/>
  <c r="K69" i="4"/>
  <c r="K65" i="4"/>
  <c r="J57" i="9"/>
  <c r="J61" i="9"/>
  <c r="P57" i="9"/>
  <c r="P61" i="9"/>
  <c r="G57" i="9"/>
  <c r="G61" i="9"/>
  <c r="L31" i="7"/>
  <c r="H57" i="9"/>
  <c r="H61" i="9"/>
  <c r="P31" i="7"/>
  <c r="R61" i="9"/>
  <c r="R57" i="9"/>
  <c r="O69" i="4"/>
  <c r="Q69" i="6"/>
  <c r="O65" i="4"/>
  <c r="K69" i="6"/>
  <c r="I65" i="4"/>
  <c r="I69" i="4"/>
  <c r="I61" i="9"/>
  <c r="I57" i="9"/>
  <c r="O61" i="9"/>
  <c r="O57" i="9"/>
  <c r="M61" i="4"/>
  <c r="M62" i="4" s="1"/>
  <c r="H61" i="4"/>
  <c r="P61" i="4"/>
  <c r="E57" i="4"/>
  <c r="N61" i="4"/>
  <c r="N57" i="4"/>
  <c r="M4" i="9"/>
  <c r="I62" i="4"/>
  <c r="P57" i="4"/>
  <c r="O57" i="4"/>
  <c r="M65" i="6"/>
  <c r="F61" i="4"/>
  <c r="J65" i="6"/>
  <c r="F57" i="4"/>
  <c r="E61" i="4"/>
  <c r="L57" i="4"/>
  <c r="E4" i="6"/>
  <c r="D4" i="4"/>
  <c r="N4" i="9"/>
  <c r="G57" i="4"/>
  <c r="Q4" i="9"/>
  <c r="K4" i="9"/>
  <c r="G61" i="4"/>
  <c r="I62" i="9" l="1"/>
  <c r="R62" i="9"/>
  <c r="F4" i="9"/>
  <c r="F61" i="9" s="1"/>
  <c r="F65" i="9" s="1"/>
  <c r="O62" i="9"/>
  <c r="Q57" i="9"/>
  <c r="Q61" i="9"/>
  <c r="F62" i="4"/>
  <c r="H65" i="6"/>
  <c r="O62" i="4"/>
  <c r="Q65" i="6"/>
  <c r="P65" i="6"/>
  <c r="N62" i="4"/>
  <c r="H69" i="4"/>
  <c r="J69" i="6"/>
  <c r="H65" i="4"/>
  <c r="K71" i="6"/>
  <c r="K72" i="6" s="1"/>
  <c r="L35" i="7"/>
  <c r="L36" i="7" s="1"/>
  <c r="H69" i="9"/>
  <c r="H65" i="9"/>
  <c r="G65" i="9"/>
  <c r="G69" i="9"/>
  <c r="P69" i="9"/>
  <c r="P65" i="9"/>
  <c r="I65" i="6"/>
  <c r="G62" i="4"/>
  <c r="J70" i="6"/>
  <c r="K31" i="7"/>
  <c r="N65" i="4"/>
  <c r="P69" i="6"/>
  <c r="N69" i="4"/>
  <c r="M69" i="4"/>
  <c r="O69" i="6"/>
  <c r="M65" i="4"/>
  <c r="I69" i="9"/>
  <c r="I65" i="9"/>
  <c r="R69" i="9"/>
  <c r="R65" i="9"/>
  <c r="H62" i="9"/>
  <c r="P62" i="9"/>
  <c r="B54" i="8"/>
  <c r="D61" i="4"/>
  <c r="D57" i="4"/>
  <c r="F65" i="6" s="1"/>
  <c r="G65" i="4"/>
  <c r="I69" i="6"/>
  <c r="G69" i="4"/>
  <c r="L62" i="4"/>
  <c r="N65" i="6"/>
  <c r="F69" i="4"/>
  <c r="F65" i="4"/>
  <c r="H69" i="6"/>
  <c r="G65" i="6"/>
  <c r="E62" i="4"/>
  <c r="Q71" i="6"/>
  <c r="Q72" i="6" s="1"/>
  <c r="R35" i="7"/>
  <c r="K70" i="6"/>
  <c r="G62" i="9"/>
  <c r="J69" i="9"/>
  <c r="J65" i="9"/>
  <c r="M71" i="6"/>
  <c r="M72" i="6" s="1"/>
  <c r="N35" i="7"/>
  <c r="O35" i="7"/>
  <c r="N71" i="6"/>
  <c r="N72" i="6" s="1"/>
  <c r="R65" i="6"/>
  <c r="P62" i="4"/>
  <c r="K57" i="9"/>
  <c r="K61" i="9"/>
  <c r="N57" i="9"/>
  <c r="N61" i="9"/>
  <c r="E69" i="4"/>
  <c r="E65" i="4"/>
  <c r="G69" i="6"/>
  <c r="M70" i="6"/>
  <c r="N31" i="7"/>
  <c r="M57" i="9"/>
  <c r="M61" i="9"/>
  <c r="P65" i="4"/>
  <c r="R69" i="6"/>
  <c r="P69" i="4"/>
  <c r="O65" i="9"/>
  <c r="O69" i="9"/>
  <c r="P50" i="7"/>
  <c r="L50" i="7"/>
  <c r="H62" i="4"/>
  <c r="J62" i="9"/>
  <c r="M62" i="9" l="1"/>
  <c r="F57" i="9"/>
  <c r="K62" i="9"/>
  <c r="K69" i="9"/>
  <c r="K65" i="9"/>
  <c r="R37" i="7"/>
  <c r="R38" i="7" s="1"/>
  <c r="R54" i="7"/>
  <c r="R56" i="7" s="1"/>
  <c r="R57" i="7" s="1"/>
  <c r="I35" i="7"/>
  <c r="H71" i="6"/>
  <c r="H72" i="6" s="1"/>
  <c r="G31" i="7"/>
  <c r="J71" i="6"/>
  <c r="J72" i="6" s="1"/>
  <c r="K35" i="7"/>
  <c r="K36" i="7" s="1"/>
  <c r="R31" i="7"/>
  <c r="Q70" i="6"/>
  <c r="Q69" i="9"/>
  <c r="Q65" i="9"/>
  <c r="N36" i="7"/>
  <c r="N50" i="7"/>
  <c r="O54" i="7"/>
  <c r="O56" i="7" s="1"/>
  <c r="O57" i="7" s="1"/>
  <c r="O37" i="7"/>
  <c r="O38" i="7" s="1"/>
  <c r="D65" i="4"/>
  <c r="F69" i="6"/>
  <c r="D69" i="4"/>
  <c r="Q35" i="7"/>
  <c r="P71" i="6"/>
  <c r="P72" i="6" s="1"/>
  <c r="L37" i="7"/>
  <c r="L38" i="7" s="1"/>
  <c r="L54" i="7"/>
  <c r="L56" i="7" s="1"/>
  <c r="L57" i="7" s="1"/>
  <c r="Q62" i="9"/>
  <c r="S35" i="7"/>
  <c r="R71" i="6"/>
  <c r="R72" i="6" s="1"/>
  <c r="N54" i="7"/>
  <c r="N56" i="7" s="1"/>
  <c r="N57" i="7" s="1"/>
  <c r="N37" i="7"/>
  <c r="N38" i="7" s="1"/>
  <c r="I71" i="6"/>
  <c r="I72" i="6" s="1"/>
  <c r="J35" i="7"/>
  <c r="D54" i="8"/>
  <c r="Q54" i="8"/>
  <c r="B63" i="8"/>
  <c r="P35" i="7"/>
  <c r="O71" i="6"/>
  <c r="O72" i="6" s="1"/>
  <c r="O70" i="6"/>
  <c r="I70" i="6"/>
  <c r="J31" i="7"/>
  <c r="I31" i="7"/>
  <c r="H70" i="6"/>
  <c r="N65" i="9"/>
  <c r="N69" i="9"/>
  <c r="M69" i="9"/>
  <c r="M65" i="9"/>
  <c r="H35" i="7"/>
  <c r="G71" i="6"/>
  <c r="G72" i="6" s="1"/>
  <c r="N62" i="9"/>
  <c r="R70" i="6"/>
  <c r="S31" i="7"/>
  <c r="H31" i="7"/>
  <c r="G70" i="6"/>
  <c r="O31" i="7"/>
  <c r="N70" i="6"/>
  <c r="K50" i="7"/>
  <c r="P70" i="6"/>
  <c r="Q31" i="7"/>
  <c r="L55" i="7" l="1"/>
  <c r="N55" i="7"/>
  <c r="F69" i="9"/>
  <c r="B66" i="8"/>
  <c r="D63" i="8"/>
  <c r="S37" i="7"/>
  <c r="S38" i="7" s="1"/>
  <c r="S54" i="7"/>
  <c r="S56" i="7" s="1"/>
  <c r="S57" i="7" s="1"/>
  <c r="F71" i="6"/>
  <c r="F72" i="6" s="1"/>
  <c r="G35" i="7"/>
  <c r="G36" i="7" s="1"/>
  <c r="G50" i="7"/>
  <c r="S54" i="8"/>
  <c r="Q63" i="8"/>
  <c r="R50" i="7"/>
  <c r="R55" i="7" s="1"/>
  <c r="R36" i="7"/>
  <c r="F70" i="6"/>
  <c r="Q50" i="7"/>
  <c r="Q36" i="7"/>
  <c r="S50" i="7"/>
  <c r="S36" i="7"/>
  <c r="I50" i="7"/>
  <c r="I36" i="7"/>
  <c r="Q37" i="7"/>
  <c r="Q38" i="7" s="1"/>
  <c r="Q54" i="7"/>
  <c r="Q56" i="7" s="1"/>
  <c r="Q57" i="7" s="1"/>
  <c r="K37" i="7"/>
  <c r="K38" i="7" s="1"/>
  <c r="K54" i="7"/>
  <c r="K56" i="7" s="1"/>
  <c r="K57" i="7" s="1"/>
  <c r="H36" i="7"/>
  <c r="H50" i="7"/>
  <c r="H54" i="7"/>
  <c r="H56" i="7" s="1"/>
  <c r="H57" i="7" s="1"/>
  <c r="H37" i="7"/>
  <c r="H38" i="7" s="1"/>
  <c r="O50" i="7"/>
  <c r="O55" i="7" s="1"/>
  <c r="O36" i="7"/>
  <c r="J50" i="7"/>
  <c r="J36" i="7"/>
  <c r="P37" i="7"/>
  <c r="P38" i="7" s="1"/>
  <c r="P54" i="7"/>
  <c r="P36" i="7"/>
  <c r="J37" i="7"/>
  <c r="J38" i="7" s="1"/>
  <c r="J54" i="7"/>
  <c r="J56" i="7" s="1"/>
  <c r="J57" i="7" s="1"/>
  <c r="I37" i="7"/>
  <c r="I38" i="7" s="1"/>
  <c r="I54" i="7"/>
  <c r="I56" i="7" s="1"/>
  <c r="I57" i="7" s="1"/>
  <c r="J55" i="7" l="1"/>
  <c r="S55" i="7"/>
  <c r="Q55" i="7"/>
  <c r="I55" i="7"/>
  <c r="Q66" i="8"/>
  <c r="S63" i="8"/>
  <c r="H55" i="7"/>
  <c r="G37" i="7"/>
  <c r="G38" i="7" s="1"/>
  <c r="G54" i="7"/>
  <c r="G56" i="7" s="1"/>
  <c r="G57" i="7" s="1"/>
  <c r="P56" i="7"/>
  <c r="P57" i="7" s="1"/>
  <c r="P55" i="7"/>
  <c r="K55" i="7"/>
  <c r="D66" i="8"/>
  <c r="B68" i="8"/>
  <c r="S66" i="8" l="1"/>
  <c r="Q68" i="8"/>
  <c r="Q69" i="8" s="1"/>
  <c r="G55" i="7"/>
  <c r="AA68" i="1" l="1"/>
  <c r="Z70" i="1" s="1"/>
  <c r="C14" i="11" s="1"/>
  <c r="Y70" i="1" l="1"/>
  <c r="G14" i="11" s="1"/>
  <c r="W70" i="1"/>
  <c r="E14" i="11" s="1"/>
  <c r="X70" i="1"/>
  <c r="F14" i="11" s="1"/>
  <c r="V70" i="1"/>
  <c r="D14" i="11" s="1"/>
  <c r="AA70" i="1" l="1"/>
  <c r="H14" i="11" l="1"/>
  <c r="AA61" i="1" l="1"/>
  <c r="Z62" i="1" s="1"/>
  <c r="X64" i="1" l="1"/>
  <c r="X63" i="1"/>
  <c r="X62" i="1"/>
  <c r="W62" i="1"/>
  <c r="V62" i="1"/>
  <c r="AA69" i="1"/>
  <c r="Z71" i="1" l="1"/>
  <c r="V71" i="1"/>
  <c r="W71" i="1"/>
  <c r="X71" i="1"/>
  <c r="Y71" i="1"/>
  <c r="AA62" i="1"/>
  <c r="AA71" i="1" l="1"/>
</calcChain>
</file>

<file path=xl/comments1.xml><?xml version="1.0" encoding="utf-8"?>
<comments xmlns="http://schemas.openxmlformats.org/spreadsheetml/2006/main">
  <authors>
    <author>Sheila Haynes</author>
  </authors>
  <commentList>
    <comment ref="I66" authorId="0">
      <text>
        <r>
          <rPr>
            <b/>
            <sz val="9"/>
            <color indexed="81"/>
            <rFont val="Tahoma"/>
            <family val="2"/>
          </rPr>
          <t>Sheila Haynes:</t>
        </r>
        <r>
          <rPr>
            <sz val="9"/>
            <color indexed="81"/>
            <rFont val="Tahoma"/>
            <family val="2"/>
          </rPr>
          <t xml:space="preserve">
10 LOW FLOW
48 LOW FLOW COMP
1 METER BY PASS</t>
        </r>
      </text>
    </comment>
  </commentList>
</comments>
</file>

<file path=xl/sharedStrings.xml><?xml version="1.0" encoding="utf-8"?>
<sst xmlns="http://schemas.openxmlformats.org/spreadsheetml/2006/main" count="770" uniqueCount="199">
  <si>
    <t>Rate Code</t>
  </si>
  <si>
    <t>Rate</t>
  </si>
  <si>
    <t>Quantity</t>
  </si>
  <si>
    <t>Total Of Consumption per Level</t>
  </si>
  <si>
    <t>Rate 0275 : Water METERED - FIRGROVE FALL</t>
  </si>
  <si>
    <t>Rate 0276 : Water METERED - FIRGROVE SPRING</t>
  </si>
  <si>
    <t>Rate 1105 : Water - RES METER 3/4 IN</t>
  </si>
  <si>
    <t>Rate 1110 : Water - RES MTER 1 IN</t>
  </si>
  <si>
    <t>Rate 1115 : Water - RES METER 1-1/2 IN</t>
  </si>
  <si>
    <t>Rate 1120 : Water - RES METER 2 IN</t>
  </si>
  <si>
    <t>Rate 1205 : Water - NON RES METER 3/4 IN</t>
  </si>
  <si>
    <t>Rate 1210 : Water - NON RES METER 1 IN</t>
  </si>
  <si>
    <t>Rate 1215 : Water - NON RES METER 1-1/2 IN</t>
  </si>
  <si>
    <t>Rate 1220 : Water - NON RES METER 2 IN</t>
  </si>
  <si>
    <t>Rate 1230 : Water - NON RES METER 3 IN</t>
  </si>
  <si>
    <t>Rate 1260 : Water - NON RES METER 6 IN</t>
  </si>
  <si>
    <t>Rate 1300 : Water FLAT RATE</t>
  </si>
  <si>
    <t>Rate 1400 : METER NO BILL</t>
  </si>
  <si>
    <t>Rate 1460 : FLAT NO BILL</t>
  </si>
  <si>
    <t>Rate 1500 : PENDING INSTALL</t>
  </si>
  <si>
    <t>Base Amount</t>
  </si>
  <si>
    <t xml:space="preserve">  TOTAL</t>
  </si>
  <si>
    <t>Residential Total</t>
  </si>
  <si>
    <t xml:space="preserve">Flat and Pending Meter Install </t>
  </si>
  <si>
    <t>Wholesale Total</t>
  </si>
  <si>
    <t xml:space="preserve">   check total</t>
  </si>
  <si>
    <t>Full Year Consumption per Level</t>
  </si>
  <si>
    <t>Ending Active Cust using Rate</t>
  </si>
  <si>
    <t>Modeling Rate</t>
  </si>
  <si>
    <t>Original Rate</t>
  </si>
  <si>
    <t>Total of Usage Billing</t>
  </si>
  <si>
    <t>Non Residential Total</t>
  </si>
  <si>
    <t>Increase %</t>
  </si>
  <si>
    <t>Increase $</t>
  </si>
  <si>
    <t>Inc.</t>
  </si>
  <si>
    <t>Model Base Amount</t>
  </si>
  <si>
    <t>Original Base Amount</t>
  </si>
  <si>
    <t>inc.</t>
  </si>
  <si>
    <t>Total of Usage Model Billing</t>
  </si>
  <si>
    <t>Total Base Amount Model Billing</t>
  </si>
  <si>
    <t>Modeled Consumption Billing</t>
  </si>
  <si>
    <t>Actual Consumption Billing</t>
  </si>
  <si>
    <t>MODEL Base Billing</t>
  </si>
  <si>
    <t>Actual Base Billing</t>
  </si>
  <si>
    <t>MODEL Total Billing</t>
  </si>
  <si>
    <t>Usage Consumption</t>
  </si>
  <si>
    <t>Base Fee</t>
  </si>
  <si>
    <t>Total Water Billing</t>
  </si>
  <si>
    <t>Total Water Model Billing</t>
  </si>
  <si>
    <t>Actual Total Per Cons. Report</t>
  </si>
  <si>
    <t>BASE</t>
  </si>
  <si>
    <t>% INC</t>
  </si>
  <si>
    <t>CURRENT</t>
  </si>
  <si>
    <t>PROPOSED</t>
  </si>
  <si>
    <t>1ST BLOCK</t>
  </si>
  <si>
    <t>3RD BLOCK</t>
  </si>
  <si>
    <t>Rates</t>
  </si>
  <si>
    <t>Revenue</t>
  </si>
  <si>
    <t>RESIDENTIAL</t>
  </si>
  <si>
    <t>NON-RESIDENTIAL</t>
  </si>
  <si>
    <t>OTHER</t>
  </si>
  <si>
    <t>Rate 1240 : Water - NON RES METER 4 IN</t>
  </si>
  <si>
    <t>Total</t>
  </si>
  <si>
    <t>TOTAL</t>
  </si>
  <si>
    <t xml:space="preserve">   diff</t>
  </si>
  <si>
    <t>USAGE BILLING</t>
  </si>
  <si>
    <t>REVENUE REQUIREMENT</t>
  </si>
  <si>
    <t>DIFF</t>
  </si>
  <si>
    <t>Difference</t>
  </si>
  <si>
    <t>Flat Customers</t>
  </si>
  <si>
    <t>Flat Units</t>
  </si>
  <si>
    <t xml:space="preserve">  Adj Total</t>
  </si>
  <si>
    <t>Rate 1105 : Water - RES METER 3/4 IN **</t>
  </si>
  <si>
    <t>Rate 1300 : Water FLAT RATE ***</t>
  </si>
  <si>
    <t>Rate 1500 : PENDING INSTALL/BILLING ADJ</t>
  </si>
  <si>
    <t>Rate Summary = Billing &amp; Usage less Billed Cons less Cont. Billing</t>
  </si>
  <si>
    <t>Consumption Analysis less low flow</t>
  </si>
  <si>
    <t>Rate 1400/1450/1500 : No Bill / ADJ</t>
  </si>
  <si>
    <t>Consumption Anaysis Report-LESS FIRWOOD FALL tier 1</t>
  </si>
  <si>
    <t>Rate 1500 : PENDING INSTALL/BILLING ADJ-usage adj</t>
  </si>
  <si>
    <t>ok</t>
  </si>
  <si>
    <t>Rate Summary</t>
  </si>
  <si>
    <t>Rate Summary exlc ajustments</t>
  </si>
  <si>
    <t>Rate Summary less adjustments</t>
  </si>
  <si>
    <t>Flat Rate Total</t>
  </si>
  <si>
    <t>No Bill/Pending/Billing Adj Total</t>
  </si>
  <si>
    <t>Rate 1140 : Water - RES METER 4 IN</t>
  </si>
  <si>
    <t xml:space="preserve">   </t>
  </si>
  <si>
    <t>UTC ANNUAL REPORT</t>
  </si>
  <si>
    <t xml:space="preserve">   TOTAL</t>
  </si>
  <si>
    <t xml:space="preserve">   LESS NO BILL (FLAT AND METER)</t>
  </si>
  <si>
    <t xml:space="preserve">   = UTC ANNUAL REPORT</t>
  </si>
  <si>
    <t>YTD</t>
  </si>
  <si>
    <t>B &amp; U YTD</t>
  </si>
  <si>
    <t>TRAN SUM YTD</t>
  </si>
  <si>
    <t>WATER REV</t>
  </si>
  <si>
    <t>CONT BILLING</t>
  </si>
  <si>
    <t>NET DIFF</t>
  </si>
  <si>
    <t>Rate 1100 : Water - EASTWOOD PARK</t>
  </si>
  <si>
    <t>Rate XXXX: Water - Shaw Cove Conservation 1"</t>
  </si>
  <si>
    <t>Rate XXXX: Water - Shaw Cove Conservation 3/4"</t>
  </si>
  <si>
    <t>Note: Model uses Jan Eastwood Park at Feb-Dec rates</t>
  </si>
  <si>
    <t>Rate 1105C: Water - Conservation 3/4"</t>
  </si>
  <si>
    <t>Rate 1110C: Water - Conservation 1"</t>
  </si>
  <si>
    <t>Rate XXXX: Water - Conservation 3/4"</t>
  </si>
  <si>
    <t>Rate XXXX: Water -  Conservation 1"</t>
  </si>
  <si>
    <t>Rate XXXX: Water - Conservation 1"</t>
  </si>
  <si>
    <t>Pre Rate Inc</t>
  </si>
  <si>
    <t>Rate 1105: Water - Conservation 3/4"</t>
  </si>
  <si>
    <t>PROPOSED REF</t>
  </si>
  <si>
    <t>FULL YEAR CONSUMPTION</t>
  </si>
  <si>
    <t>TIER 1</t>
  </si>
  <si>
    <t>TIER 2</t>
  </si>
  <si>
    <t>TIER 3</t>
  </si>
  <si>
    <t xml:space="preserve">CONSERVATION </t>
  </si>
  <si>
    <t>TIME USAGE</t>
  </si>
  <si>
    <t xml:space="preserve"> Billing &amp; Usage Year Total</t>
  </si>
  <si>
    <t>Rate Summary/Consumption Analysis Report plus rate 1400</t>
  </si>
  <si>
    <t>Billing &amp; Usage Summary/rate summary</t>
  </si>
  <si>
    <t>Rate 1500 : PENDING INSTALL AND  ALL RATES USAGE ADJ</t>
  </si>
  <si>
    <t>Rate XXXX: Water -  Conservation 3/4"</t>
  </si>
  <si>
    <t>Rate XXXX: Water - ShConservation 1"</t>
  </si>
  <si>
    <t>ADJUSTED</t>
  </si>
  <si>
    <t>1st block Usage</t>
  </si>
  <si>
    <t>2nd block Usage</t>
  </si>
  <si>
    <t>3rd block Usage</t>
  </si>
  <si>
    <t>Reclassified to conservation</t>
  </si>
  <si>
    <t>Proforma Revenue Adjustment</t>
  </si>
  <si>
    <t>Conservation Revenue for reclassified water</t>
  </si>
  <si>
    <t>Non Conservation Revenue for reclassified water</t>
  </si>
  <si>
    <t>Adjustment to Revenue</t>
  </si>
  <si>
    <t>Total 3rd Block Usage</t>
  </si>
  <si>
    <t>Conservation Usage</t>
  </si>
  <si>
    <t>Total Usages</t>
  </si>
  <si>
    <t>Non Conservation Usage</t>
  </si>
  <si>
    <t>Grand total of usage</t>
  </si>
  <si>
    <t>Percentage of Usage</t>
  </si>
  <si>
    <t>Conservation Rate</t>
  </si>
  <si>
    <t>Base Revenue</t>
  </si>
  <si>
    <t>Total Revenue</t>
  </si>
  <si>
    <t>Grand Totals</t>
  </si>
  <si>
    <t>Percentage of Revenue</t>
  </si>
  <si>
    <t>Conservation %</t>
  </si>
  <si>
    <t>Non Conservation %</t>
  </si>
  <si>
    <t>Adjustor</t>
  </si>
  <si>
    <t>Conservation</t>
  </si>
  <si>
    <t>Total Proposed Revenue</t>
  </si>
  <si>
    <t>New Rate</t>
  </si>
  <si>
    <t>Proposed Revenue</t>
  </si>
  <si>
    <t>% of total Revenue</t>
  </si>
  <si>
    <t>% of Increase</t>
  </si>
  <si>
    <t>Meter</t>
  </si>
  <si>
    <t>Customer Count (Annual)</t>
  </si>
  <si>
    <t>Customer Count (Monthly)</t>
  </si>
  <si>
    <t>Consumed</t>
  </si>
  <si>
    <t>% of water Consumed</t>
  </si>
  <si>
    <t>Customer Monthly Avg</t>
  </si>
  <si>
    <t>Size</t>
  </si>
  <si>
    <t>Factor</t>
  </si>
  <si>
    <t>3/4 inch</t>
  </si>
  <si>
    <t>1 inch</t>
  </si>
  <si>
    <t>1 1/2 inch</t>
  </si>
  <si>
    <t>2 inch</t>
  </si>
  <si>
    <t>3 inch</t>
  </si>
  <si>
    <t>4 inch</t>
  </si>
  <si>
    <t>6 inch</t>
  </si>
  <si>
    <t>Rainer View Water Company, Inc.</t>
  </si>
  <si>
    <t>Block 3</t>
  </si>
  <si>
    <t>Block 1</t>
  </si>
  <si>
    <t>Block 2</t>
  </si>
  <si>
    <t>Winter</t>
  </si>
  <si>
    <t>Summer</t>
  </si>
  <si>
    <t>Base</t>
  </si>
  <si>
    <t>0-600</t>
  </si>
  <si>
    <t>601-3,000</t>
  </si>
  <si>
    <t>over 3,000</t>
  </si>
  <si>
    <t>0-1,500</t>
  </si>
  <si>
    <t>1,501-7,500</t>
  </si>
  <si>
    <t>over 7,500</t>
  </si>
  <si>
    <t>0-3,000</t>
  </si>
  <si>
    <t>3,001-15,000</t>
  </si>
  <si>
    <t>over 15,000</t>
  </si>
  <si>
    <t>0-4,800</t>
  </si>
  <si>
    <t>4,801-24,000</t>
  </si>
  <si>
    <t>over 24,000</t>
  </si>
  <si>
    <t>0-9,000</t>
  </si>
  <si>
    <t>9,001-45,000</t>
  </si>
  <si>
    <t>over 45,000</t>
  </si>
  <si>
    <t>0-15,000</t>
  </si>
  <si>
    <t>15,001-75,000</t>
  </si>
  <si>
    <t>over 75,000</t>
  </si>
  <si>
    <t>0-30,000</t>
  </si>
  <si>
    <t>30,001-150,000</t>
  </si>
  <si>
    <t>over 150,000</t>
  </si>
  <si>
    <t>Proposed % of Revenue</t>
  </si>
  <si>
    <t>Totals</t>
  </si>
  <si>
    <t>Adjusted Totals</t>
  </si>
  <si>
    <t>Proposed Rate</t>
  </si>
  <si>
    <t>Factor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</si>
</sst>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* #,##0.00;&quot;$&quot;* \(#,##0.00\);&quot;$&quot;* \-00"/>
    <numFmt numFmtId="165" formatCode="&quot;$&quot;#,##0.00"/>
    <numFmt numFmtId="166" formatCode="&quot;$&quot;* #,##0.00000;&quot;$&quot;* \(#,##0.00000\);&quot;$&quot;* \-00.0"/>
    <numFmt numFmtId="167" formatCode="_(* #,##0_);_(* \(#,##0\);_(* &quot;-&quot;??_);_(@_)"/>
    <numFmt numFmtId="168" formatCode="0.0000"/>
    <numFmt numFmtId="169" formatCode="0.00000"/>
    <numFmt numFmtId="170" formatCode="_(&quot;$&quot;* #,##0_);_(&quot;$&quot;* \(#,##0\);_(&quot;$&quot;* &quot;-&quot;????_);_(@_)"/>
    <numFmt numFmtId="171" formatCode="_(&quot;$&quot;* #,##0.0000_);_(&quot;$&quot;* \(#,##0.0000\);_(&quot;$&quot;* &quot;-&quot;??_);_(@_)"/>
    <numFmt numFmtId="172" formatCode="_(&quot;$&quot;* #,##0_);_(&quot;$&quot;* \(#,##0\);_(&quot;$&quot;* &quot;-&quot;?????_);_(@_)"/>
    <numFmt numFmtId="173" formatCode="_(&quot;$&quot;* #,##0_);_(&quot;$&quot;* \(#,##0\);_(&quot;$&quot;* &quot;-&quot;??_);_(@_)"/>
    <numFmt numFmtId="174" formatCode="0.0%"/>
    <numFmt numFmtId="175" formatCode="#,##0.00000_);\(#,##0.00000\)"/>
    <numFmt numFmtId="176" formatCode="_(&quot;$&quot;* #,##0.00000_);_(&quot;$&quot;* \(#,##0.00000\);_(&quot;$&quot;* &quot;-&quot;??_);_(@_)"/>
  </numFmts>
  <fonts count="39" x14ac:knownFonts="1">
    <font>
      <sz val="10"/>
      <name val="MS Sans Serif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MS Sans Serif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MS Sans Serif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rgb="FF000000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8"/>
      <name val="MS Sans Serif"/>
      <family val="2"/>
    </font>
    <font>
      <b/>
      <u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MS Sans Serif"/>
      <family val="2"/>
    </font>
    <font>
      <b/>
      <sz val="8.5"/>
      <name val="MS Sans Serif"/>
      <family val="2"/>
    </font>
    <font>
      <b/>
      <sz val="8"/>
      <color rgb="FF000000"/>
      <name val="Calibri"/>
      <family val="2"/>
    </font>
    <font>
      <b/>
      <sz val="8"/>
      <color rgb="FFFF0000"/>
      <name val="Calibri"/>
      <family val="2"/>
    </font>
    <font>
      <sz val="11"/>
      <name val="Calibri"/>
      <family val="2"/>
    </font>
    <font>
      <b/>
      <sz val="10"/>
      <color rgb="FFFF0000"/>
      <name val="MS Sans Serif"/>
      <family val="2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</font>
    <font>
      <sz val="8"/>
      <color rgb="FFFF0000"/>
      <name val="Calibri"/>
      <family val="2"/>
    </font>
    <font>
      <sz val="10"/>
      <color rgb="FFFF0000"/>
      <name val="Calibri"/>
      <family val="2"/>
    </font>
    <font>
      <sz val="10"/>
      <color rgb="FFFF0000"/>
      <name val="MS Sans Serif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libri"/>
      <family val="2"/>
      <scheme val="minor"/>
    </font>
    <font>
      <b/>
      <sz val="10"/>
      <name val="MS Sans Serif"/>
      <family val="2"/>
    </font>
    <font>
      <sz val="1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0D7E5"/>
      </right>
      <top/>
      <bottom style="thin">
        <color rgb="FFD0D7E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302">
    <xf numFmtId="0" fontId="0" fillId="0" borderId="0" xfId="0"/>
    <xf numFmtId="0" fontId="3" fillId="3" borderId="2" xfId="0" applyFont="1" applyFill="1" applyBorder="1" applyAlignment="1" applyProtection="1">
      <alignment vertical="center" wrapText="1"/>
    </xf>
    <xf numFmtId="0" fontId="2" fillId="5" borderId="5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17" fontId="1" fillId="2" borderId="1" xfId="0" applyNumberFormat="1" applyFont="1" applyFill="1" applyBorder="1" applyAlignment="1" applyProtection="1">
      <alignment horizontal="center" vertical="center" wrapText="1"/>
    </xf>
    <xf numFmtId="165" fontId="9" fillId="0" borderId="0" xfId="0" applyNumberFormat="1" applyFont="1"/>
    <xf numFmtId="166" fontId="2" fillId="5" borderId="5" xfId="0" applyNumberFormat="1" applyFont="1" applyFill="1" applyBorder="1" applyAlignment="1" applyProtection="1">
      <alignment horizontal="right" vertical="center" wrapText="1"/>
    </xf>
    <xf numFmtId="0" fontId="0" fillId="7" borderId="0" xfId="0" applyFill="1"/>
    <xf numFmtId="0" fontId="8" fillId="7" borderId="0" xfId="0" applyFont="1" applyFill="1"/>
    <xf numFmtId="0" fontId="11" fillId="7" borderId="0" xfId="0" applyFont="1" applyFill="1"/>
    <xf numFmtId="0" fontId="11" fillId="0" borderId="0" xfId="0" applyFont="1"/>
    <xf numFmtId="165" fontId="11" fillId="7" borderId="0" xfId="0" applyNumberFormat="1" applyFont="1" applyFill="1"/>
    <xf numFmtId="0" fontId="11" fillId="6" borderId="0" xfId="0" applyFont="1" applyFill="1"/>
    <xf numFmtId="165" fontId="11" fillId="6" borderId="0" xfId="0" applyNumberFormat="1" applyFont="1" applyFill="1"/>
    <xf numFmtId="43" fontId="12" fillId="0" borderId="0" xfId="1" applyFont="1" applyFill="1"/>
    <xf numFmtId="43" fontId="13" fillId="0" borderId="0" xfId="1" applyFont="1"/>
    <xf numFmtId="167" fontId="11" fillId="7" borderId="0" xfId="1" applyNumberFormat="1" applyFont="1" applyFill="1"/>
    <xf numFmtId="167" fontId="11" fillId="6" borderId="0" xfId="1" applyNumberFormat="1" applyFont="1" applyFill="1"/>
    <xf numFmtId="167" fontId="11" fillId="0" borderId="0" xfId="1" applyNumberFormat="1" applyFont="1"/>
    <xf numFmtId="167" fontId="12" fillId="0" borderId="0" xfId="1" applyNumberFormat="1" applyFont="1" applyFill="1"/>
    <xf numFmtId="167" fontId="13" fillId="0" borderId="0" xfId="1" applyNumberFormat="1" applyFont="1"/>
    <xf numFmtId="3" fontId="11" fillId="6" borderId="0" xfId="0" applyNumberFormat="1" applyFont="1" applyFill="1"/>
    <xf numFmtId="3" fontId="11" fillId="7" borderId="0" xfId="0" applyNumberFormat="1" applyFont="1" applyFill="1"/>
    <xf numFmtId="0" fontId="14" fillId="2" borderId="1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vertical="center" wrapText="1"/>
    </xf>
    <xf numFmtId="166" fontId="2" fillId="5" borderId="8" xfId="0" applyNumberFormat="1" applyFont="1" applyFill="1" applyBorder="1" applyAlignment="1" applyProtection="1">
      <alignment horizontal="right" vertical="center" wrapText="1"/>
    </xf>
    <xf numFmtId="0" fontId="3" fillId="3" borderId="8" xfId="0" applyFont="1" applyFill="1" applyBorder="1" applyAlignment="1" applyProtection="1">
      <alignment vertical="center" wrapText="1"/>
    </xf>
    <xf numFmtId="166" fontId="4" fillId="4" borderId="8" xfId="0" applyNumberFormat="1" applyFont="1" applyFill="1" applyBorder="1" applyAlignment="1" applyProtection="1">
      <alignment horizontal="right" vertical="center" wrapText="1"/>
    </xf>
    <xf numFmtId="0" fontId="1" fillId="8" borderId="7" xfId="0" applyFont="1" applyFill="1" applyBorder="1" applyAlignment="1" applyProtection="1">
      <alignment horizontal="center" vertical="center" wrapText="1"/>
    </xf>
    <xf numFmtId="0" fontId="14" fillId="8" borderId="7" xfId="0" applyFont="1" applyFill="1" applyBorder="1" applyAlignment="1" applyProtection="1">
      <alignment horizontal="center" vertical="center" wrapText="1"/>
    </xf>
    <xf numFmtId="17" fontId="1" fillId="8" borderId="7" xfId="0" applyNumberFormat="1" applyFont="1" applyFill="1" applyBorder="1" applyAlignment="1" applyProtection="1">
      <alignment horizontal="center" vertical="center" wrapText="1"/>
    </xf>
    <xf numFmtId="0" fontId="0" fillId="7" borderId="7" xfId="0" applyFill="1" applyBorder="1" applyAlignment="1">
      <alignment wrapText="1"/>
    </xf>
    <xf numFmtId="9" fontId="1" fillId="8" borderId="7" xfId="2" applyFont="1" applyFill="1" applyBorder="1" applyAlignment="1" applyProtection="1">
      <alignment horizontal="center" vertical="center" wrapText="1"/>
    </xf>
    <xf numFmtId="43" fontId="0" fillId="7" borderId="0" xfId="1" applyFont="1" applyFill="1"/>
    <xf numFmtId="0" fontId="14" fillId="2" borderId="9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9" fontId="0" fillId="7" borderId="0" xfId="2" applyFont="1" applyFill="1" applyBorder="1"/>
    <xf numFmtId="0" fontId="14" fillId="8" borderId="15" xfId="0" applyFont="1" applyFill="1" applyBorder="1" applyAlignment="1" applyProtection="1">
      <alignment horizontal="center" vertical="center" wrapText="1"/>
    </xf>
    <xf numFmtId="9" fontId="14" fillId="8" borderId="16" xfId="2" applyFont="1" applyFill="1" applyBorder="1" applyAlignment="1" applyProtection="1">
      <alignment horizontal="center" vertical="center" wrapText="1"/>
    </xf>
    <xf numFmtId="0" fontId="1" fillId="8" borderId="13" xfId="0" applyFont="1" applyFill="1" applyBorder="1" applyAlignment="1" applyProtection="1">
      <alignment horizontal="center" vertical="center" wrapText="1"/>
    </xf>
    <xf numFmtId="9" fontId="1" fillId="8" borderId="14" xfId="2" applyFont="1" applyFill="1" applyBorder="1" applyAlignment="1" applyProtection="1">
      <alignment horizontal="center" vertical="center" wrapText="1"/>
    </xf>
    <xf numFmtId="166" fontId="4" fillId="9" borderId="13" xfId="0" applyNumberFormat="1" applyFont="1" applyFill="1" applyBorder="1" applyAlignment="1" applyProtection="1">
      <alignment horizontal="right" vertical="center" wrapText="1"/>
    </xf>
    <xf numFmtId="9" fontId="4" fillId="9" borderId="14" xfId="2" applyFont="1" applyFill="1" applyBorder="1" applyAlignment="1" applyProtection="1">
      <alignment horizontal="right" vertical="center" wrapText="1"/>
    </xf>
    <xf numFmtId="0" fontId="0" fillId="7" borderId="13" xfId="0" applyFill="1" applyBorder="1"/>
    <xf numFmtId="9" fontId="0" fillId="7" borderId="14" xfId="2" applyFont="1" applyFill="1" applyBorder="1"/>
    <xf numFmtId="0" fontId="11" fillId="7" borderId="13" xfId="0" applyFont="1" applyFill="1" applyBorder="1"/>
    <xf numFmtId="9" fontId="11" fillId="7" borderId="14" xfId="2" applyFont="1" applyFill="1" applyBorder="1"/>
    <xf numFmtId="0" fontId="15" fillId="9" borderId="6" xfId="0" applyFont="1" applyFill="1" applyBorder="1" applyAlignment="1" applyProtection="1">
      <alignment vertical="center" wrapText="1"/>
    </xf>
    <xf numFmtId="0" fontId="16" fillId="9" borderId="6" xfId="0" applyFont="1" applyFill="1" applyBorder="1" applyAlignment="1" applyProtection="1">
      <alignment vertical="center" wrapText="1"/>
    </xf>
    <xf numFmtId="0" fontId="8" fillId="7" borderId="13" xfId="0" applyFont="1" applyFill="1" applyBorder="1"/>
    <xf numFmtId="9" fontId="8" fillId="7" borderId="14" xfId="2" applyFont="1" applyFill="1" applyBorder="1"/>
    <xf numFmtId="165" fontId="9" fillId="7" borderId="0" xfId="0" applyNumberFormat="1" applyFont="1" applyFill="1"/>
    <xf numFmtId="9" fontId="9" fillId="7" borderId="0" xfId="2" applyFont="1" applyFill="1"/>
    <xf numFmtId="0" fontId="17" fillId="7" borderId="0" xfId="0" applyFont="1" applyFill="1"/>
    <xf numFmtId="9" fontId="8" fillId="7" borderId="0" xfId="2" applyFont="1" applyFill="1" applyBorder="1"/>
    <xf numFmtId="17" fontId="1" fillId="2" borderId="11" xfId="0" applyNumberFormat="1" applyFont="1" applyFill="1" applyBorder="1" applyAlignment="1" applyProtection="1">
      <alignment horizontal="center" vertical="center" wrapText="1"/>
    </xf>
    <xf numFmtId="0" fontId="14" fillId="8" borderId="17" xfId="0" applyFont="1" applyFill="1" applyBorder="1" applyAlignment="1" applyProtection="1">
      <alignment horizontal="center" vertical="center" wrapText="1"/>
    </xf>
    <xf numFmtId="9" fontId="14" fillId="8" borderId="18" xfId="2" applyFont="1" applyFill="1" applyBorder="1" applyAlignment="1" applyProtection="1">
      <alignment horizontal="center" vertical="center" wrapText="1"/>
    </xf>
    <xf numFmtId="0" fontId="1" fillId="8" borderId="19" xfId="0" applyFont="1" applyFill="1" applyBorder="1" applyAlignment="1" applyProtection="1">
      <alignment horizontal="center" vertical="center" wrapText="1"/>
    </xf>
    <xf numFmtId="9" fontId="1" fillId="8" borderId="20" xfId="2" applyFont="1" applyFill="1" applyBorder="1" applyAlignment="1" applyProtection="1">
      <alignment horizontal="center" vertical="center" wrapText="1"/>
    </xf>
    <xf numFmtId="164" fontId="2" fillId="9" borderId="19" xfId="0" applyNumberFormat="1" applyFont="1" applyFill="1" applyBorder="1" applyAlignment="1" applyProtection="1">
      <alignment horizontal="right" vertical="center" wrapText="1"/>
    </xf>
    <xf numFmtId="0" fontId="0" fillId="7" borderId="19" xfId="0" applyFill="1" applyBorder="1"/>
    <xf numFmtId="9" fontId="0" fillId="7" borderId="20" xfId="2" applyFont="1" applyFill="1" applyBorder="1"/>
    <xf numFmtId="0" fontId="11" fillId="7" borderId="19" xfId="0" applyFont="1" applyFill="1" applyBorder="1"/>
    <xf numFmtId="9" fontId="11" fillId="7" borderId="20" xfId="2" applyFont="1" applyFill="1" applyBorder="1"/>
    <xf numFmtId="43" fontId="13" fillId="0" borderId="19" xfId="1" applyFont="1" applyBorder="1"/>
    <xf numFmtId="9" fontId="13" fillId="0" borderId="20" xfId="2" applyFont="1" applyBorder="1"/>
    <xf numFmtId="9" fontId="0" fillId="7" borderId="19" xfId="2" applyFont="1" applyFill="1" applyBorder="1"/>
    <xf numFmtId="9" fontId="11" fillId="7" borderId="19" xfId="2" applyFont="1" applyFill="1" applyBorder="1"/>
    <xf numFmtId="9" fontId="13" fillId="0" borderId="19" xfId="2" applyFont="1" applyBorder="1"/>
    <xf numFmtId="9" fontId="8" fillId="7" borderId="19" xfId="2" applyFont="1" applyFill="1" applyBorder="1"/>
    <xf numFmtId="9" fontId="8" fillId="7" borderId="20" xfId="2" applyFont="1" applyFill="1" applyBorder="1"/>
    <xf numFmtId="0" fontId="0" fillId="0" borderId="19" xfId="0" applyBorder="1"/>
    <xf numFmtId="9" fontId="0" fillId="0" borderId="20" xfId="2" applyFont="1" applyBorder="1"/>
    <xf numFmtId="43" fontId="13" fillId="0" borderId="13" xfId="1" applyFont="1" applyBorder="1"/>
    <xf numFmtId="9" fontId="13" fillId="0" borderId="14" xfId="2" applyFont="1" applyBorder="1"/>
    <xf numFmtId="0" fontId="0" fillId="0" borderId="13" xfId="0" applyBorder="1"/>
    <xf numFmtId="9" fontId="0" fillId="0" borderId="14" xfId="2" applyFont="1" applyBorder="1"/>
    <xf numFmtId="0" fontId="14" fillId="2" borderId="11" xfId="0" applyFont="1" applyFill="1" applyBorder="1" applyAlignment="1" applyProtection="1">
      <alignment horizontal="center" vertical="center" wrapText="1"/>
    </xf>
    <xf numFmtId="9" fontId="11" fillId="10" borderId="20" xfId="2" applyFont="1" applyFill="1" applyBorder="1"/>
    <xf numFmtId="0" fontId="18" fillId="7" borderId="0" xfId="0" applyFont="1" applyFill="1"/>
    <xf numFmtId="0" fontId="19" fillId="0" borderId="0" xfId="0" applyFont="1"/>
    <xf numFmtId="44" fontId="0" fillId="0" borderId="0" xfId="3" applyFont="1"/>
    <xf numFmtId="44" fontId="0" fillId="0" borderId="0" xfId="0" applyNumberFormat="1"/>
    <xf numFmtId="165" fontId="0" fillId="0" borderId="0" xfId="0" applyNumberFormat="1"/>
    <xf numFmtId="0" fontId="9" fillId="0" borderId="0" xfId="0" applyFont="1"/>
    <xf numFmtId="0" fontId="9" fillId="0" borderId="0" xfId="0" applyFont="1" applyAlignment="1">
      <alignment horizontal="center" wrapText="1"/>
    </xf>
    <xf numFmtId="10" fontId="9" fillId="0" borderId="0" xfId="2" applyNumberFormat="1" applyFont="1"/>
    <xf numFmtId="165" fontId="9" fillId="12" borderId="0" xfId="0" applyNumberFormat="1" applyFont="1" applyFill="1"/>
    <xf numFmtId="165" fontId="9" fillId="11" borderId="21" xfId="0" applyNumberFormat="1" applyFont="1" applyFill="1" applyBorder="1" applyAlignment="1">
      <alignment horizontal="centerContinuous" vertical="top" wrapText="1"/>
    </xf>
    <xf numFmtId="165" fontId="9" fillId="11" borderId="22" xfId="0" applyNumberFormat="1" applyFont="1" applyFill="1" applyBorder="1" applyAlignment="1">
      <alignment horizontal="centerContinuous" vertical="top" wrapText="1"/>
    </xf>
    <xf numFmtId="0" fontId="9" fillId="11" borderId="23" xfId="0" applyFont="1" applyFill="1" applyBorder="1" applyAlignment="1">
      <alignment horizontal="centerContinuous" wrapText="1"/>
    </xf>
    <xf numFmtId="165" fontId="9" fillId="11" borderId="24" xfId="0" applyNumberFormat="1" applyFont="1" applyFill="1" applyBorder="1" applyAlignment="1">
      <alignment horizontal="center" wrapText="1"/>
    </xf>
    <xf numFmtId="165" fontId="9" fillId="11" borderId="25" xfId="0" applyNumberFormat="1" applyFont="1" applyFill="1" applyBorder="1" applyAlignment="1">
      <alignment horizontal="center" wrapText="1"/>
    </xf>
    <xf numFmtId="0" fontId="9" fillId="11" borderId="26" xfId="0" applyFont="1" applyFill="1" applyBorder="1" applyAlignment="1">
      <alignment horizontal="center" wrapText="1"/>
    </xf>
    <xf numFmtId="0" fontId="9" fillId="12" borderId="0" xfId="0" applyFont="1" applyFill="1"/>
    <xf numFmtId="0" fontId="9" fillId="6" borderId="0" xfId="0" applyFont="1" applyFill="1" applyAlignment="1">
      <alignment horizontal="center" wrapText="1"/>
    </xf>
    <xf numFmtId="165" fontId="9" fillId="6" borderId="0" xfId="0" applyNumberFormat="1" applyFont="1" applyFill="1" applyBorder="1" applyAlignment="1">
      <alignment horizontal="center" wrapText="1"/>
    </xf>
    <xf numFmtId="0" fontId="9" fillId="6" borderId="0" xfId="0" applyFont="1" applyFill="1" applyBorder="1" applyAlignment="1">
      <alignment horizontal="center" wrapText="1"/>
    </xf>
    <xf numFmtId="165" fontId="9" fillId="0" borderId="0" xfId="0" applyNumberFormat="1" applyFont="1" applyFill="1"/>
    <xf numFmtId="10" fontId="9" fillId="0" borderId="0" xfId="2" applyNumberFormat="1" applyFont="1" applyFill="1"/>
    <xf numFmtId="0" fontId="9" fillId="0" borderId="0" xfId="0" applyFont="1" applyFill="1"/>
    <xf numFmtId="10" fontId="4" fillId="9" borderId="20" xfId="2" applyNumberFormat="1" applyFont="1" applyFill="1" applyBorder="1" applyAlignment="1" applyProtection="1">
      <alignment horizontal="right" vertical="center" wrapText="1"/>
    </xf>
    <xf numFmtId="10" fontId="0" fillId="7" borderId="20" xfId="2" applyNumberFormat="1" applyFont="1" applyFill="1" applyBorder="1"/>
    <xf numFmtId="10" fontId="11" fillId="7" borderId="20" xfId="2" applyNumberFormat="1" applyFont="1" applyFill="1" applyBorder="1"/>
    <xf numFmtId="10" fontId="13" fillId="0" borderId="20" xfId="2" applyNumberFormat="1" applyFont="1" applyBorder="1"/>
    <xf numFmtId="10" fontId="0" fillId="0" borderId="20" xfId="2" applyNumberFormat="1" applyFont="1" applyBorder="1"/>
    <xf numFmtId="10" fontId="8" fillId="7" borderId="20" xfId="2" applyNumberFormat="1" applyFont="1" applyFill="1" applyBorder="1"/>
    <xf numFmtId="166" fontId="2" fillId="0" borderId="5" xfId="0" applyNumberFormat="1" applyFont="1" applyFill="1" applyBorder="1" applyAlignment="1" applyProtection="1">
      <alignment horizontal="right" vertical="center" wrapText="1"/>
    </xf>
    <xf numFmtId="0" fontId="2" fillId="3" borderId="2" xfId="0" applyFont="1" applyFill="1" applyBorder="1" applyAlignment="1" applyProtection="1">
      <alignment vertical="center" wrapText="1"/>
    </xf>
    <xf numFmtId="0" fontId="12" fillId="0" borderId="0" xfId="0" applyFont="1"/>
    <xf numFmtId="165" fontId="12" fillId="0" borderId="0" xfId="0" applyNumberFormat="1" applyFont="1" applyFill="1" applyAlignment="1">
      <alignment horizontal="right" wrapText="1"/>
    </xf>
    <xf numFmtId="165" fontId="12" fillId="0" borderId="0" xfId="0" applyNumberFormat="1" applyFont="1" applyAlignment="1">
      <alignment horizontal="right"/>
    </xf>
    <xf numFmtId="10" fontId="12" fillId="0" borderId="0" xfId="2" applyNumberFormat="1" applyFont="1"/>
    <xf numFmtId="165" fontId="12" fillId="0" borderId="0" xfId="0" applyNumberFormat="1" applyFont="1" applyFill="1"/>
    <xf numFmtId="165" fontId="12" fillId="0" borderId="0" xfId="0" applyNumberFormat="1" applyFont="1"/>
    <xf numFmtId="0" fontId="10" fillId="3" borderId="2" xfId="0" applyFont="1" applyFill="1" applyBorder="1" applyAlignment="1" applyProtection="1">
      <alignment vertical="center" wrapText="1"/>
    </xf>
    <xf numFmtId="0" fontId="10" fillId="5" borderId="5" xfId="0" applyFont="1" applyFill="1" applyBorder="1" applyAlignment="1" applyProtection="1">
      <alignment vertical="center" wrapText="1"/>
    </xf>
    <xf numFmtId="0" fontId="12" fillId="11" borderId="0" xfId="0" applyFont="1" applyFill="1" applyAlignment="1">
      <alignment horizontal="center" wrapText="1"/>
    </xf>
    <xf numFmtId="0" fontId="20" fillId="6" borderId="0" xfId="0" applyFont="1" applyFill="1" applyAlignment="1">
      <alignment horizontal="center" wrapText="1"/>
    </xf>
    <xf numFmtId="0" fontId="21" fillId="6" borderId="0" xfId="0" applyFont="1" applyFill="1" applyAlignment="1">
      <alignment horizontal="left" wrapText="1"/>
    </xf>
    <xf numFmtId="165" fontId="12" fillId="6" borderId="0" xfId="0" applyNumberFormat="1" applyFont="1" applyFill="1" applyBorder="1" applyAlignment="1">
      <alignment horizontal="center" wrapText="1"/>
    </xf>
    <xf numFmtId="0" fontId="12" fillId="6" borderId="0" xfId="0" applyFont="1" applyFill="1" applyBorder="1" applyAlignment="1">
      <alignment horizontal="center" wrapText="1"/>
    </xf>
    <xf numFmtId="165" fontId="0" fillId="0" borderId="0" xfId="3" applyNumberFormat="1" applyFont="1"/>
    <xf numFmtId="167" fontId="0" fillId="0" borderId="0" xfId="1" applyNumberFormat="1" applyFont="1"/>
    <xf numFmtId="0" fontId="22" fillId="0" borderId="0" xfId="0" applyFont="1"/>
    <xf numFmtId="165" fontId="22" fillId="0" borderId="0" xfId="3" applyNumberFormat="1" applyFont="1"/>
    <xf numFmtId="0" fontId="22" fillId="0" borderId="0" xfId="0" applyFont="1" applyAlignment="1">
      <alignment wrapText="1"/>
    </xf>
    <xf numFmtId="165" fontId="22" fillId="0" borderId="0" xfId="0" applyNumberFormat="1" applyFont="1"/>
    <xf numFmtId="0" fontId="23" fillId="0" borderId="0" xfId="0" applyFont="1"/>
    <xf numFmtId="0" fontId="24" fillId="0" borderId="0" xfId="0" applyFont="1"/>
    <xf numFmtId="0" fontId="23" fillId="6" borderId="0" xfId="0" applyFont="1" applyFill="1"/>
    <xf numFmtId="3" fontId="23" fillId="6" borderId="0" xfId="0" applyNumberFormat="1" applyFont="1" applyFill="1"/>
    <xf numFmtId="0" fontId="25" fillId="13" borderId="7" xfId="0" applyFont="1" applyFill="1" applyBorder="1" applyAlignment="1" applyProtection="1">
      <alignment horizontal="center" vertical="center" wrapText="1"/>
    </xf>
    <xf numFmtId="166" fontId="4" fillId="7" borderId="8" xfId="0" applyNumberFormat="1" applyFont="1" applyFill="1" applyBorder="1" applyAlignment="1" applyProtection="1">
      <alignment horizontal="right" vertical="center" wrapText="1"/>
    </xf>
    <xf numFmtId="166" fontId="4" fillId="7" borderId="3" xfId="0" applyNumberFormat="1" applyFont="1" applyFill="1" applyBorder="1" applyAlignment="1" applyProtection="1">
      <alignment horizontal="right" vertical="center" wrapText="1"/>
    </xf>
    <xf numFmtId="164" fontId="2" fillId="7" borderId="8" xfId="0" applyNumberFormat="1" applyFont="1" applyFill="1" applyBorder="1" applyAlignment="1" applyProtection="1">
      <alignment horizontal="right" vertical="center" wrapText="1"/>
    </xf>
    <xf numFmtId="164" fontId="2" fillId="7" borderId="5" xfId="0" applyNumberFormat="1" applyFont="1" applyFill="1" applyBorder="1" applyAlignment="1" applyProtection="1">
      <alignment horizontal="right" vertical="center" wrapText="1"/>
    </xf>
    <xf numFmtId="164" fontId="2" fillId="7" borderId="10" xfId="0" applyNumberFormat="1" applyFont="1" applyFill="1" applyBorder="1" applyAlignment="1" applyProtection="1">
      <alignment horizontal="right" vertical="center" wrapText="1"/>
    </xf>
    <xf numFmtId="0" fontId="0" fillId="6" borderId="19" xfId="0" applyFill="1" applyBorder="1"/>
    <xf numFmtId="10" fontId="0" fillId="6" borderId="20" xfId="2" applyNumberFormat="1" applyFont="1" applyFill="1" applyBorder="1"/>
    <xf numFmtId="9" fontId="11" fillId="6" borderId="19" xfId="2" applyFont="1" applyFill="1" applyBorder="1"/>
    <xf numFmtId="10" fontId="11" fillId="6" borderId="20" xfId="2" applyNumberFormat="1" applyFont="1" applyFill="1" applyBorder="1"/>
    <xf numFmtId="165" fontId="6" fillId="6" borderId="0" xfId="0" applyNumberFormat="1" applyFont="1" applyFill="1" applyBorder="1" applyAlignment="1" applyProtection="1">
      <alignment horizontal="right" vertical="center" wrapText="1"/>
    </xf>
    <xf numFmtId="3" fontId="6" fillId="12" borderId="8" xfId="0" applyNumberFormat="1" applyFont="1" applyFill="1" applyBorder="1" applyAlignment="1" applyProtection="1">
      <alignment horizontal="right" vertical="center" wrapText="1"/>
    </xf>
    <xf numFmtId="0" fontId="26" fillId="13" borderId="7" xfId="0" applyFont="1" applyFill="1" applyBorder="1" applyAlignment="1" applyProtection="1">
      <alignment horizontal="center" vertical="center" wrapText="1"/>
    </xf>
    <xf numFmtId="0" fontId="0" fillId="12" borderId="0" xfId="0" applyFill="1"/>
    <xf numFmtId="167" fontId="11" fillId="12" borderId="0" xfId="1" applyNumberFormat="1" applyFont="1" applyFill="1"/>
    <xf numFmtId="0" fontId="23" fillId="12" borderId="0" xfId="0" applyFont="1" applyFill="1"/>
    <xf numFmtId="3" fontId="5" fillId="9" borderId="8" xfId="0" applyNumberFormat="1" applyFont="1" applyFill="1" applyBorder="1" applyAlignment="1" applyProtection="1">
      <alignment horizontal="right" vertical="center" wrapText="1"/>
    </xf>
    <xf numFmtId="3" fontId="5" fillId="7" borderId="8" xfId="0" applyNumberFormat="1" applyFont="1" applyFill="1" applyBorder="1" applyAlignment="1" applyProtection="1">
      <alignment horizontal="right" vertical="center" wrapText="1"/>
    </xf>
    <xf numFmtId="3" fontId="6" fillId="7" borderId="5" xfId="0" applyNumberFormat="1" applyFont="1" applyFill="1" applyBorder="1" applyAlignment="1" applyProtection="1">
      <alignment horizontal="right" vertical="center" wrapText="1"/>
    </xf>
    <xf numFmtId="3" fontId="5" fillId="7" borderId="4" xfId="0" applyNumberFormat="1" applyFont="1" applyFill="1" applyBorder="1" applyAlignment="1" applyProtection="1">
      <alignment horizontal="right" vertical="center" wrapText="1"/>
    </xf>
    <xf numFmtId="3" fontId="6" fillId="9" borderId="8" xfId="0" applyNumberFormat="1" applyFont="1" applyFill="1" applyBorder="1" applyAlignment="1" applyProtection="1">
      <alignment horizontal="right" vertical="center" wrapText="1"/>
    </xf>
    <xf numFmtId="165" fontId="6" fillId="9" borderId="0" xfId="0" applyNumberFormat="1" applyFont="1" applyFill="1" applyBorder="1" applyAlignment="1" applyProtection="1">
      <alignment horizontal="right" vertical="center" wrapText="1"/>
    </xf>
    <xf numFmtId="165" fontId="6" fillId="7" borderId="0" xfId="0" applyNumberFormat="1" applyFont="1" applyFill="1" applyBorder="1" applyAlignment="1" applyProtection="1">
      <alignment horizontal="right" vertical="center" wrapText="1"/>
    </xf>
    <xf numFmtId="3" fontId="5" fillId="7" borderId="12" xfId="0" applyNumberFormat="1" applyFont="1" applyFill="1" applyBorder="1" applyAlignment="1" applyProtection="1">
      <alignment horizontal="right" vertical="center" wrapText="1"/>
    </xf>
    <xf numFmtId="3" fontId="6" fillId="7" borderId="8" xfId="0" applyNumberFormat="1" applyFont="1" applyFill="1" applyBorder="1" applyAlignment="1" applyProtection="1">
      <alignment horizontal="right" vertical="center" wrapText="1"/>
    </xf>
    <xf numFmtId="44" fontId="22" fillId="12" borderId="0" xfId="0" applyNumberFormat="1" applyFont="1" applyFill="1"/>
    <xf numFmtId="9" fontId="9" fillId="7" borderId="0" xfId="2" applyNumberFormat="1" applyFont="1" applyFill="1"/>
    <xf numFmtId="167" fontId="0" fillId="7" borderId="0" xfId="0" applyNumberFormat="1" applyFill="1"/>
    <xf numFmtId="167" fontId="23" fillId="12" borderId="0" xfId="0" applyNumberFormat="1" applyFont="1" applyFill="1"/>
    <xf numFmtId="17" fontId="25" fillId="8" borderId="7" xfId="0" applyNumberFormat="1" applyFont="1" applyFill="1" applyBorder="1" applyAlignment="1" applyProtection="1">
      <alignment horizontal="center" vertical="center" wrapText="1"/>
    </xf>
    <xf numFmtId="0" fontId="7" fillId="12" borderId="0" xfId="0" applyFont="1" applyFill="1"/>
    <xf numFmtId="0" fontId="7" fillId="0" borderId="0" xfId="0" applyFont="1"/>
    <xf numFmtId="166" fontId="2" fillId="7" borderId="8" xfId="0" applyNumberFormat="1" applyFont="1" applyFill="1" applyBorder="1" applyAlignment="1" applyProtection="1">
      <alignment horizontal="right" vertical="center" wrapText="1"/>
    </xf>
    <xf numFmtId="3" fontId="2" fillId="9" borderId="8" xfId="0" applyNumberFormat="1" applyFont="1" applyFill="1" applyBorder="1" applyAlignment="1" applyProtection="1">
      <alignment horizontal="right" vertical="center" wrapText="1"/>
    </xf>
    <xf numFmtId="165" fontId="2" fillId="7" borderId="0" xfId="0" applyNumberFormat="1" applyFont="1" applyFill="1" applyBorder="1" applyAlignment="1" applyProtection="1">
      <alignment horizontal="right" vertical="center" wrapText="1"/>
    </xf>
    <xf numFmtId="3" fontId="2" fillId="9" borderId="5" xfId="0" applyNumberFormat="1" applyFont="1" applyFill="1" applyBorder="1" applyAlignment="1" applyProtection="1">
      <alignment horizontal="right" vertical="center" wrapText="1"/>
    </xf>
    <xf numFmtId="3" fontId="27" fillId="12" borderId="8" xfId="0" applyNumberFormat="1" applyFont="1" applyFill="1" applyBorder="1" applyAlignment="1" applyProtection="1">
      <alignment horizontal="right" vertical="center" wrapText="1"/>
    </xf>
    <xf numFmtId="3" fontId="2" fillId="12" borderId="8" xfId="0" applyNumberFormat="1" applyFont="1" applyFill="1" applyBorder="1" applyAlignment="1" applyProtection="1">
      <alignment horizontal="right" vertical="center" wrapText="1"/>
    </xf>
    <xf numFmtId="167" fontId="0" fillId="0" borderId="0" xfId="0" applyNumberFormat="1"/>
    <xf numFmtId="165" fontId="12" fillId="14" borderId="0" xfId="0" applyNumberFormat="1" applyFont="1" applyFill="1" applyAlignment="1">
      <alignment horizontal="right" wrapText="1"/>
    </xf>
    <xf numFmtId="165" fontId="12" fillId="14" borderId="0" xfId="0" applyNumberFormat="1" applyFont="1" applyFill="1" applyAlignment="1">
      <alignment horizontal="right"/>
    </xf>
    <xf numFmtId="165" fontId="12" fillId="14" borderId="0" xfId="0" applyNumberFormat="1" applyFont="1" applyFill="1"/>
    <xf numFmtId="0" fontId="24" fillId="14" borderId="0" xfId="0" applyFont="1" applyFill="1"/>
    <xf numFmtId="0" fontId="0" fillId="14" borderId="0" xfId="0" applyFill="1"/>
    <xf numFmtId="167" fontId="11" fillId="14" borderId="0" xfId="1" applyNumberFormat="1" applyFont="1" applyFill="1"/>
    <xf numFmtId="43" fontId="12" fillId="14" borderId="0" xfId="1" applyFont="1" applyFill="1"/>
    <xf numFmtId="43" fontId="13" fillId="14" borderId="0" xfId="1" applyFont="1" applyFill="1"/>
    <xf numFmtId="165" fontId="11" fillId="14" borderId="0" xfId="0" applyNumberFormat="1" applyFont="1" applyFill="1"/>
    <xf numFmtId="44" fontId="11" fillId="14" borderId="0" xfId="3" applyNumberFormat="1" applyFont="1" applyFill="1" applyAlignment="1">
      <alignment horizontal="left"/>
    </xf>
    <xf numFmtId="44" fontId="11" fillId="14" borderId="0" xfId="3" applyNumberFormat="1" applyFont="1" applyFill="1"/>
    <xf numFmtId="0" fontId="11" fillId="14" borderId="0" xfId="0" applyFont="1" applyFill="1"/>
    <xf numFmtId="3" fontId="0" fillId="14" borderId="0" xfId="0" applyNumberFormat="1" applyFill="1"/>
    <xf numFmtId="43" fontId="12" fillId="15" borderId="0" xfId="1" applyFont="1" applyFill="1"/>
    <xf numFmtId="165" fontId="0" fillId="14" borderId="0" xfId="0" applyNumberFormat="1" applyFill="1"/>
    <xf numFmtId="0" fontId="23" fillId="7" borderId="0" xfId="0" applyFont="1" applyFill="1"/>
    <xf numFmtId="3" fontId="0" fillId="7" borderId="0" xfId="0" applyNumberFormat="1" applyFill="1"/>
    <xf numFmtId="0" fontId="7" fillId="7" borderId="0" xfId="0" applyFont="1" applyFill="1"/>
    <xf numFmtId="0" fontId="28" fillId="0" borderId="0" xfId="0" applyFont="1"/>
    <xf numFmtId="0" fontId="0" fillId="12" borderId="27" xfId="0" applyFill="1" applyBorder="1"/>
    <xf numFmtId="0" fontId="0" fillId="12" borderId="28" xfId="0" applyFill="1" applyBorder="1"/>
    <xf numFmtId="0" fontId="0" fillId="12" borderId="29" xfId="0" applyFill="1" applyBorder="1"/>
    <xf numFmtId="168" fontId="9" fillId="0" borderId="0" xfId="0" applyNumberFormat="1" applyFont="1" applyFill="1"/>
    <xf numFmtId="168" fontId="9" fillId="0" borderId="0" xfId="0" applyNumberFormat="1" applyFont="1"/>
    <xf numFmtId="169" fontId="9" fillId="12" borderId="0" xfId="0" applyNumberFormat="1" applyFont="1" applyFill="1"/>
    <xf numFmtId="169" fontId="9" fillId="0" borderId="0" xfId="0" applyNumberFormat="1" applyFont="1" applyFill="1"/>
    <xf numFmtId="169" fontId="9" fillId="6" borderId="0" xfId="0" applyNumberFormat="1" applyFont="1" applyFill="1" applyBorder="1" applyAlignment="1">
      <alignment horizontal="center" wrapText="1"/>
    </xf>
    <xf numFmtId="0" fontId="30" fillId="5" borderId="5" xfId="0" applyFont="1" applyFill="1" applyBorder="1" applyAlignment="1" applyProtection="1">
      <alignment vertical="center" wrapText="1"/>
    </xf>
    <xf numFmtId="0" fontId="31" fillId="3" borderId="5" xfId="0" applyFont="1" applyFill="1" applyBorder="1" applyAlignment="1" applyProtection="1">
      <alignment vertical="center" wrapText="1"/>
    </xf>
    <xf numFmtId="165" fontId="29" fillId="0" borderId="0" xfId="0" applyNumberFormat="1" applyFont="1"/>
    <xf numFmtId="165" fontId="29" fillId="12" borderId="0" xfId="0" applyNumberFormat="1" applyFont="1" applyFill="1"/>
    <xf numFmtId="10" fontId="29" fillId="0" borderId="0" xfId="2" applyNumberFormat="1" applyFont="1"/>
    <xf numFmtId="168" fontId="29" fillId="0" borderId="0" xfId="0" applyNumberFormat="1" applyFont="1" applyFill="1"/>
    <xf numFmtId="169" fontId="29" fillId="12" borderId="0" xfId="0" applyNumberFormat="1" applyFont="1" applyFill="1"/>
    <xf numFmtId="0" fontId="29" fillId="0" borderId="0" xfId="0" applyFont="1"/>
    <xf numFmtId="168" fontId="29" fillId="0" borderId="0" xfId="0" applyNumberFormat="1" applyFont="1"/>
    <xf numFmtId="0" fontId="2" fillId="7" borderId="5" xfId="0" applyFont="1" applyFill="1" applyBorder="1" applyAlignment="1" applyProtection="1">
      <alignment vertical="center" wrapText="1"/>
    </xf>
    <xf numFmtId="3" fontId="27" fillId="7" borderId="8" xfId="0" applyNumberFormat="1" applyFont="1" applyFill="1" applyBorder="1" applyAlignment="1" applyProtection="1">
      <alignment horizontal="right" vertical="center" wrapText="1"/>
    </xf>
    <xf numFmtId="165" fontId="9" fillId="6" borderId="0" xfId="0" applyNumberFormat="1" applyFont="1" applyFill="1" applyBorder="1" applyAlignment="1">
      <alignment horizontal="centerContinuous" wrapText="1"/>
    </xf>
    <xf numFmtId="0" fontId="9" fillId="6" borderId="0" xfId="0" applyFont="1" applyFill="1" applyBorder="1" applyAlignment="1">
      <alignment horizontal="centerContinuous" wrapText="1"/>
    </xf>
    <xf numFmtId="169" fontId="9" fillId="0" borderId="0" xfId="0" applyNumberFormat="1" applyFont="1"/>
    <xf numFmtId="0" fontId="32" fillId="3" borderId="5" xfId="0" applyFont="1" applyFill="1" applyBorder="1" applyAlignment="1" applyProtection="1">
      <alignment vertical="center" wrapText="1"/>
    </xf>
    <xf numFmtId="3" fontId="6" fillId="16" borderId="8" xfId="0" applyNumberFormat="1" applyFont="1" applyFill="1" applyBorder="1" applyAlignment="1" applyProtection="1">
      <alignment horizontal="right" vertical="center" wrapText="1"/>
    </xf>
    <xf numFmtId="165" fontId="9" fillId="14" borderId="0" xfId="0" applyNumberFormat="1" applyFont="1" applyFill="1"/>
    <xf numFmtId="0" fontId="33" fillId="0" borderId="0" xfId="0" applyFont="1" applyAlignment="1">
      <alignment wrapText="1"/>
    </xf>
    <xf numFmtId="9" fontId="1" fillId="17" borderId="7" xfId="2" applyFont="1" applyFill="1" applyBorder="1" applyAlignment="1" applyProtection="1">
      <alignment horizontal="center" vertical="center" wrapText="1"/>
    </xf>
    <xf numFmtId="164" fontId="2" fillId="18" borderId="8" xfId="0" applyNumberFormat="1" applyFont="1" applyFill="1" applyBorder="1" applyAlignment="1" applyProtection="1">
      <alignment horizontal="right" vertical="center" wrapText="1"/>
    </xf>
    <xf numFmtId="164" fontId="2" fillId="18" borderId="5" xfId="0" applyNumberFormat="1" applyFont="1" applyFill="1" applyBorder="1" applyAlignment="1" applyProtection="1">
      <alignment horizontal="right" vertical="center" wrapText="1"/>
    </xf>
    <xf numFmtId="165" fontId="9" fillId="18" borderId="0" xfId="0" applyNumberFormat="1" applyFont="1" applyFill="1"/>
    <xf numFmtId="166" fontId="4" fillId="18" borderId="8" xfId="0" applyNumberFormat="1" applyFont="1" applyFill="1" applyBorder="1" applyAlignment="1" applyProtection="1">
      <alignment horizontal="right" vertical="center" wrapText="1"/>
    </xf>
    <xf numFmtId="166" fontId="4" fillId="18" borderId="3" xfId="0" applyNumberFormat="1" applyFont="1" applyFill="1" applyBorder="1" applyAlignment="1" applyProtection="1">
      <alignment horizontal="right" vertical="center" wrapText="1"/>
    </xf>
    <xf numFmtId="0" fontId="0" fillId="18" borderId="0" xfId="0" applyFill="1"/>
    <xf numFmtId="3" fontId="0" fillId="0" borderId="0" xfId="0" applyNumberFormat="1"/>
    <xf numFmtId="43" fontId="9" fillId="11" borderId="21" xfId="1" applyFont="1" applyFill="1" applyBorder="1" applyAlignment="1">
      <alignment horizontal="centerContinuous" vertical="top" wrapText="1"/>
    </xf>
    <xf numFmtId="43" fontId="9" fillId="11" borderId="24" xfId="1" applyFont="1" applyFill="1" applyBorder="1" applyAlignment="1">
      <alignment horizontal="center" wrapText="1"/>
    </xf>
    <xf numFmtId="43" fontId="9" fillId="6" borderId="0" xfId="1" applyFont="1" applyFill="1" applyBorder="1" applyAlignment="1">
      <alignment horizontal="centerContinuous" wrapText="1"/>
    </xf>
    <xf numFmtId="43" fontId="9" fillId="6" borderId="0" xfId="1" applyFont="1" applyFill="1" applyBorder="1" applyAlignment="1">
      <alignment horizontal="center" wrapText="1"/>
    </xf>
    <xf numFmtId="43" fontId="9" fillId="0" borderId="0" xfId="1" applyFont="1"/>
    <xf numFmtId="43" fontId="29" fillId="0" borderId="0" xfId="1" applyFont="1"/>
    <xf numFmtId="43" fontId="12" fillId="0" borderId="0" xfId="1" applyFont="1" applyFill="1" applyAlignment="1">
      <alignment horizontal="right" wrapText="1"/>
    </xf>
    <xf numFmtId="43" fontId="12" fillId="6" borderId="0" xfId="1" applyFont="1" applyFill="1" applyBorder="1" applyAlignment="1">
      <alignment horizontal="center" wrapText="1"/>
    </xf>
    <xf numFmtId="43" fontId="9" fillId="0" borderId="0" xfId="0" applyNumberFormat="1" applyFont="1"/>
    <xf numFmtId="0" fontId="12" fillId="0" borderId="0" xfId="0" applyFont="1" applyFill="1"/>
    <xf numFmtId="43" fontId="9" fillId="0" borderId="0" xfId="1" applyFont="1" applyAlignment="1">
      <alignment horizontal="center"/>
    </xf>
    <xf numFmtId="43" fontId="9" fillId="14" borderId="0" xfId="1" applyFont="1" applyFill="1" applyAlignment="1">
      <alignment horizontal="center" wrapText="1"/>
    </xf>
    <xf numFmtId="43" fontId="12" fillId="6" borderId="0" xfId="1" applyFont="1" applyFill="1" applyAlignment="1">
      <alignment horizontal="right" wrapText="1"/>
    </xf>
    <xf numFmtId="43" fontId="9" fillId="6" borderId="0" xfId="1" applyFont="1" applyFill="1" applyAlignment="1">
      <alignment horizontal="center"/>
    </xf>
    <xf numFmtId="165" fontId="11" fillId="7" borderId="30" xfId="0" applyNumberFormat="1" applyFont="1" applyFill="1" applyBorder="1"/>
    <xf numFmtId="43" fontId="7" fillId="14" borderId="31" xfId="1" applyFont="1" applyFill="1" applyBorder="1"/>
    <xf numFmtId="167" fontId="7" fillId="0" borderId="0" xfId="1" applyNumberFormat="1" applyFont="1"/>
    <xf numFmtId="3" fontId="27" fillId="14" borderId="8" xfId="0" applyNumberFormat="1" applyFont="1" applyFill="1" applyBorder="1" applyAlignment="1" applyProtection="1">
      <alignment horizontal="right" vertical="center" wrapText="1"/>
    </xf>
    <xf numFmtId="3" fontId="6" fillId="14" borderId="8" xfId="0" applyNumberFormat="1" applyFont="1" applyFill="1" applyBorder="1" applyAlignment="1" applyProtection="1">
      <alignment horizontal="right" vertical="center" wrapText="1"/>
    </xf>
    <xf numFmtId="43" fontId="9" fillId="6" borderId="0" xfId="0" applyNumberFormat="1" applyFont="1" applyFill="1" applyAlignment="1">
      <alignment horizontal="center" wrapText="1"/>
    </xf>
    <xf numFmtId="0" fontId="2" fillId="14" borderId="5" xfId="0" applyFont="1" applyFill="1" applyBorder="1" applyAlignment="1" applyProtection="1">
      <alignment vertical="center" wrapText="1"/>
    </xf>
    <xf numFmtId="0" fontId="8" fillId="19" borderId="0" xfId="0" applyFont="1" applyFill="1" applyAlignment="1">
      <alignment wrapText="1"/>
    </xf>
    <xf numFmtId="0" fontId="0" fillId="19" borderId="0" xfId="0" applyFill="1" applyAlignment="1">
      <alignment wrapText="1"/>
    </xf>
    <xf numFmtId="0" fontId="8" fillId="19" borderId="0" xfId="0" applyFont="1" applyFill="1"/>
    <xf numFmtId="0" fontId="0" fillId="19" borderId="0" xfId="0" applyFill="1"/>
    <xf numFmtId="167" fontId="36" fillId="19" borderId="0" xfId="1" applyNumberFormat="1" applyFont="1" applyFill="1"/>
    <xf numFmtId="170" fontId="8" fillId="19" borderId="0" xfId="0" applyNumberFormat="1" applyFont="1" applyFill="1"/>
    <xf numFmtId="171" fontId="8" fillId="19" borderId="0" xfId="0" applyNumberFormat="1" applyFont="1" applyFill="1"/>
    <xf numFmtId="3" fontId="36" fillId="19" borderId="0" xfId="0" applyNumberFormat="1" applyFont="1" applyFill="1"/>
    <xf numFmtId="172" fontId="8" fillId="19" borderId="0" xfId="0" applyNumberFormat="1" applyFont="1" applyFill="1"/>
    <xf numFmtId="167" fontId="8" fillId="19" borderId="0" xfId="1" applyNumberFormat="1" applyFont="1" applyFill="1"/>
    <xf numFmtId="3" fontId="8" fillId="19" borderId="0" xfId="0" applyNumberFormat="1" applyFont="1" applyFill="1"/>
    <xf numFmtId="3" fontId="8" fillId="14" borderId="0" xfId="0" applyNumberFormat="1" applyFont="1" applyFill="1"/>
    <xf numFmtId="173" fontId="8" fillId="19" borderId="0" xfId="0" applyNumberFormat="1" applyFont="1" applyFill="1"/>
    <xf numFmtId="167" fontId="8" fillId="19" borderId="0" xfId="0" applyNumberFormat="1" applyFont="1" applyFill="1"/>
    <xf numFmtId="9" fontId="8" fillId="19" borderId="0" xfId="2" applyFont="1" applyFill="1"/>
    <xf numFmtId="166" fontId="8" fillId="19" borderId="0" xfId="0" applyNumberFormat="1" applyFont="1" applyFill="1"/>
    <xf numFmtId="43" fontId="8" fillId="19" borderId="0" xfId="1" applyFont="1" applyFill="1"/>
    <xf numFmtId="43" fontId="0" fillId="19" borderId="0" xfId="1" applyFont="1" applyFill="1"/>
    <xf numFmtId="43" fontId="8" fillId="19" borderId="0" xfId="1" applyFont="1" applyFill="1" applyAlignment="1">
      <alignment horizontal="left"/>
    </xf>
    <xf numFmtId="173" fontId="8" fillId="19" borderId="0" xfId="3" applyNumberFormat="1" applyFont="1" applyFill="1"/>
    <xf numFmtId="167" fontId="11" fillId="19" borderId="0" xfId="1" applyNumberFormat="1" applyFont="1" applyFill="1"/>
    <xf numFmtId="44" fontId="8" fillId="19" borderId="0" xfId="3" applyFont="1" applyFill="1"/>
    <xf numFmtId="167" fontId="22" fillId="19" borderId="0" xfId="1" applyNumberFormat="1" applyFont="1" applyFill="1"/>
    <xf numFmtId="9" fontId="22" fillId="19" borderId="0" xfId="2" applyFont="1" applyFill="1"/>
    <xf numFmtId="9" fontId="37" fillId="19" borderId="0" xfId="0" applyNumberFormat="1" applyFont="1" applyFill="1"/>
    <xf numFmtId="167" fontId="13" fillId="19" borderId="0" xfId="1" applyNumberFormat="1" applyFont="1" applyFill="1"/>
    <xf numFmtId="9" fontId="8" fillId="19" borderId="0" xfId="2" applyNumberFormat="1" applyFont="1" applyFill="1"/>
    <xf numFmtId="44" fontId="8" fillId="19" borderId="0" xfId="0" applyNumberFormat="1" applyFont="1" applyFill="1"/>
    <xf numFmtId="0" fontId="22" fillId="19" borderId="0" xfId="0" applyFont="1" applyFill="1"/>
    <xf numFmtId="173" fontId="22" fillId="19" borderId="0" xfId="3" applyNumberFormat="1" applyFont="1" applyFill="1"/>
    <xf numFmtId="173" fontId="22" fillId="19" borderId="0" xfId="0" applyNumberFormat="1" applyFont="1" applyFill="1"/>
    <xf numFmtId="0" fontId="0" fillId="19" borderId="0" xfId="0" applyFont="1" applyFill="1"/>
    <xf numFmtId="9" fontId="37" fillId="19" borderId="0" xfId="2" applyNumberFormat="1" applyFont="1" applyFill="1"/>
    <xf numFmtId="9" fontId="0" fillId="19" borderId="0" xfId="2" applyFont="1" applyFill="1"/>
    <xf numFmtId="9" fontId="0" fillId="19" borderId="0" xfId="0" applyNumberFormat="1" applyFont="1" applyFill="1"/>
    <xf numFmtId="16" fontId="8" fillId="19" borderId="0" xfId="0" applyNumberFormat="1" applyFont="1" applyFill="1"/>
    <xf numFmtId="1" fontId="8" fillId="19" borderId="0" xfId="0" applyNumberFormat="1" applyFont="1" applyFill="1"/>
    <xf numFmtId="174" fontId="8" fillId="19" borderId="0" xfId="2" applyNumberFormat="1" applyFont="1" applyFill="1"/>
    <xf numFmtId="43" fontId="8" fillId="19" borderId="0" xfId="0" applyNumberFormat="1" applyFont="1" applyFill="1"/>
    <xf numFmtId="1" fontId="22" fillId="19" borderId="0" xfId="0" applyNumberFormat="1" applyFont="1" applyFill="1"/>
    <xf numFmtId="167" fontId="22" fillId="19" borderId="0" xfId="0" applyNumberFormat="1" applyFont="1" applyFill="1"/>
    <xf numFmtId="9" fontId="22" fillId="19" borderId="0" xfId="0" applyNumberFormat="1" applyFont="1" applyFill="1"/>
    <xf numFmtId="0" fontId="0" fillId="0" borderId="0" xfId="0" applyFont="1"/>
    <xf numFmtId="0" fontId="38" fillId="0" borderId="0" xfId="0" applyFont="1"/>
    <xf numFmtId="0" fontId="38" fillId="0" borderId="1" xfId="0" applyFont="1" applyBorder="1"/>
    <xf numFmtId="44" fontId="38" fillId="0" borderId="1" xfId="3" applyFont="1" applyBorder="1"/>
    <xf numFmtId="44" fontId="38" fillId="0" borderId="1" xfId="0" applyNumberFormat="1" applyFont="1" applyBorder="1"/>
    <xf numFmtId="9" fontId="38" fillId="0" borderId="0" xfId="0" applyNumberFormat="1" applyFont="1"/>
    <xf numFmtId="164" fontId="0" fillId="19" borderId="0" xfId="0" applyNumberFormat="1" applyFill="1"/>
    <xf numFmtId="44" fontId="0" fillId="19" borderId="0" xfId="0" applyNumberFormat="1" applyFill="1"/>
    <xf numFmtId="175" fontId="8" fillId="19" borderId="0" xfId="0" applyNumberFormat="1" applyFont="1" applyFill="1"/>
    <xf numFmtId="176" fontId="8" fillId="19" borderId="0" xfId="0" applyNumberFormat="1" applyFont="1" applyFill="1"/>
    <xf numFmtId="44" fontId="38" fillId="0" borderId="1" xfId="3" applyNumberFormat="1" applyFont="1" applyBorder="1"/>
    <xf numFmtId="0" fontId="38" fillId="0" borderId="1" xfId="0" applyFont="1" applyBorder="1" applyAlignment="1">
      <alignment horizontal="center"/>
    </xf>
    <xf numFmtId="0" fontId="0" fillId="19" borderId="0" xfId="0" applyFill="1" applyAlignment="1">
      <alignment horizontal="center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ynes/Desktop/RAINIER%20VIEW/Copy%20of%20Copy%20of%20Staff%20UW-170375%20Rainer%20View-Rate%20Design%20and%20Usage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Rate Summary"/>
      <sheetName val="CONSUMPTION"/>
      <sheetName val="BASE"/>
      <sheetName val="BILLED CONSUMPTION"/>
      <sheetName val="BILLED BASE"/>
      <sheetName val="TOTAL ACTUAL BILLING"/>
      <sheetName val="Model CONSUMPTION"/>
      <sheetName val="Model BILLABLE BASE"/>
      <sheetName val="Total Model BIlling"/>
      <sheetName val="Modeling &amp; Present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5">
          <cell r="B65">
            <v>-35833.780000000006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14"/>
  <sheetViews>
    <sheetView workbookViewId="0">
      <selection activeCell="E6" sqref="E6"/>
    </sheetView>
  </sheetViews>
  <sheetFormatPr defaultRowHeight="12.75" x14ac:dyDescent="0.2"/>
  <cols>
    <col min="2" max="2" width="23.85546875" customWidth="1"/>
    <col min="3" max="3" width="14" bestFit="1" customWidth="1"/>
    <col min="4" max="4" width="17.85546875" customWidth="1"/>
    <col min="5" max="5" width="19.42578125" customWidth="1"/>
    <col min="6" max="6" width="21.5703125" customWidth="1"/>
    <col min="7" max="7" width="20.42578125" customWidth="1"/>
  </cols>
  <sheetData>
    <row r="1" spans="1:8" ht="15.75" x14ac:dyDescent="0.25">
      <c r="A1" s="290" t="s">
        <v>166</v>
      </c>
    </row>
    <row r="2" spans="1:8" ht="15.75" x14ac:dyDescent="0.25">
      <c r="A2" s="290"/>
    </row>
    <row r="3" spans="1:8" ht="15.75" x14ac:dyDescent="0.25">
      <c r="A3" s="290"/>
    </row>
    <row r="4" spans="1:8" ht="15.75" x14ac:dyDescent="0.25">
      <c r="B4" s="291"/>
      <c r="C4" s="291"/>
      <c r="D4" s="291"/>
      <c r="E4" s="291"/>
      <c r="F4" s="300" t="s">
        <v>167</v>
      </c>
      <c r="G4" s="300"/>
      <c r="H4" s="290"/>
    </row>
    <row r="5" spans="1:8" ht="15.75" x14ac:dyDescent="0.25">
      <c r="B5" s="291"/>
      <c r="C5" s="291"/>
      <c r="D5" s="291" t="s">
        <v>168</v>
      </c>
      <c r="E5" s="291" t="s">
        <v>169</v>
      </c>
      <c r="F5" s="291" t="s">
        <v>170</v>
      </c>
      <c r="G5" s="291" t="s">
        <v>171</v>
      </c>
      <c r="H5" s="290"/>
    </row>
    <row r="6" spans="1:8" ht="15.75" x14ac:dyDescent="0.25">
      <c r="B6" s="291"/>
      <c r="C6" s="291" t="s">
        <v>172</v>
      </c>
      <c r="D6" s="299">
        <f>+CONSUMPTION!V67*100</f>
        <v>1.1499999999999999</v>
      </c>
      <c r="E6" s="292">
        <f>+CONSUMPTION!W67*100</f>
        <v>1.55</v>
      </c>
      <c r="F6" s="292">
        <f>+CONSUMPTION!X67*100</f>
        <v>3.0300000000000002</v>
      </c>
      <c r="G6" s="292">
        <f>+CONSUMPTION!Y67*100</f>
        <v>5</v>
      </c>
      <c r="H6" s="290"/>
    </row>
    <row r="7" spans="1:8" ht="15.75" x14ac:dyDescent="0.25">
      <c r="B7" s="291" t="s">
        <v>159</v>
      </c>
      <c r="C7" s="293">
        <f>+BASE!U10</f>
        <v>14.9</v>
      </c>
      <c r="D7" s="291" t="s">
        <v>173</v>
      </c>
      <c r="E7" s="291" t="s">
        <v>174</v>
      </c>
      <c r="F7" s="291" t="s">
        <v>175</v>
      </c>
      <c r="G7" s="291" t="s">
        <v>175</v>
      </c>
      <c r="H7" s="290"/>
    </row>
    <row r="8" spans="1:8" ht="15.75" x14ac:dyDescent="0.25">
      <c r="B8" s="291" t="s">
        <v>160</v>
      </c>
      <c r="C8" s="293">
        <f>+BASE!U16</f>
        <v>24.83</v>
      </c>
      <c r="D8" s="291" t="s">
        <v>176</v>
      </c>
      <c r="E8" s="291" t="s">
        <v>177</v>
      </c>
      <c r="F8" s="291" t="s">
        <v>178</v>
      </c>
      <c r="G8" s="291" t="s">
        <v>178</v>
      </c>
      <c r="H8" s="290"/>
    </row>
    <row r="9" spans="1:8" ht="15.75" x14ac:dyDescent="0.25">
      <c r="B9" s="291" t="s">
        <v>161</v>
      </c>
      <c r="C9" s="293">
        <f>+BASE!U22</f>
        <v>49.67</v>
      </c>
      <c r="D9" s="291" t="s">
        <v>179</v>
      </c>
      <c r="E9" s="291" t="s">
        <v>180</v>
      </c>
      <c r="F9" s="291" t="s">
        <v>181</v>
      </c>
      <c r="G9" s="291" t="s">
        <v>181</v>
      </c>
      <c r="H9" s="290"/>
    </row>
    <row r="10" spans="1:8" ht="15.75" x14ac:dyDescent="0.25">
      <c r="B10" s="291" t="s">
        <v>162</v>
      </c>
      <c r="C10" s="293">
        <f>+BASE!U25</f>
        <v>79.47</v>
      </c>
      <c r="D10" s="291" t="s">
        <v>182</v>
      </c>
      <c r="E10" s="291" t="s">
        <v>183</v>
      </c>
      <c r="F10" s="291" t="s">
        <v>184</v>
      </c>
      <c r="G10" s="291" t="s">
        <v>184</v>
      </c>
      <c r="H10" s="290"/>
    </row>
    <row r="11" spans="1:8" ht="15.75" x14ac:dyDescent="0.25">
      <c r="B11" s="291" t="s">
        <v>163</v>
      </c>
      <c r="C11" s="293">
        <f>+BASE!U43</f>
        <v>149</v>
      </c>
      <c r="D11" s="291" t="s">
        <v>185</v>
      </c>
      <c r="E11" s="291" t="s">
        <v>186</v>
      </c>
      <c r="F11" s="291" t="s">
        <v>187</v>
      </c>
      <c r="G11" s="291" t="s">
        <v>187</v>
      </c>
      <c r="H11" s="290"/>
    </row>
    <row r="12" spans="1:8" ht="15.75" x14ac:dyDescent="0.25">
      <c r="B12" s="291" t="s">
        <v>164</v>
      </c>
      <c r="C12" s="293">
        <f>+BASE!U46</f>
        <v>248.33</v>
      </c>
      <c r="D12" s="291" t="s">
        <v>188</v>
      </c>
      <c r="E12" s="291" t="s">
        <v>189</v>
      </c>
      <c r="F12" s="291" t="s">
        <v>190</v>
      </c>
      <c r="G12" s="291" t="s">
        <v>190</v>
      </c>
      <c r="H12" s="290"/>
    </row>
    <row r="13" spans="1:8" ht="15.75" x14ac:dyDescent="0.25">
      <c r="B13" s="291" t="s">
        <v>165</v>
      </c>
      <c r="C13" s="293">
        <f>+BASE!U49</f>
        <v>496.67</v>
      </c>
      <c r="D13" s="291" t="s">
        <v>191</v>
      </c>
      <c r="E13" s="291" t="s">
        <v>192</v>
      </c>
      <c r="F13" s="291" t="s">
        <v>193</v>
      </c>
      <c r="G13" s="291" t="s">
        <v>193</v>
      </c>
      <c r="H13" s="290"/>
    </row>
    <row r="14" spans="1:8" ht="15.75" x14ac:dyDescent="0.25">
      <c r="B14" s="290" t="s">
        <v>194</v>
      </c>
      <c r="C14" s="294">
        <f>+CONSUMPTION!Z70</f>
        <v>0.46174275871289922</v>
      </c>
      <c r="D14" s="294">
        <f>+CONSUMPTION!V70</f>
        <v>0.17851962436979016</v>
      </c>
      <c r="E14" s="294">
        <f>+CONSUMPTION!W70</f>
        <v>0.20721993853818557</v>
      </c>
      <c r="F14" s="294">
        <f>+CONSUMPTION!X70</f>
        <v>5.997793006930778E-2</v>
      </c>
      <c r="G14" s="294">
        <f>+CONSUMPTION!Y70</f>
        <v>9.2539748309817288E-2</v>
      </c>
      <c r="H14" s="294">
        <f>SUM(C14:G14)</f>
        <v>0.99999999999999989</v>
      </c>
    </row>
  </sheetData>
  <mergeCells count="1">
    <mergeCell ref="F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8" tint="-0.249977111117893"/>
  </sheetPr>
  <dimension ref="A1:S65"/>
  <sheetViews>
    <sheetView workbookViewId="0">
      <pane xSplit="1" ySplit="1" topLeftCell="B32" activePane="bottomRight" state="frozen"/>
      <selection activeCell="F26" sqref="F26"/>
      <selection pane="topRight" activeCell="F26" sqref="F26"/>
      <selection pane="bottomLeft" activeCell="F26" sqref="F26"/>
      <selection pane="bottomRight" activeCell="I20" sqref="I20"/>
    </sheetView>
  </sheetViews>
  <sheetFormatPr defaultRowHeight="12.75" x14ac:dyDescent="0.2"/>
  <cols>
    <col min="1" max="1" width="27.5703125" customWidth="1"/>
    <col min="2" max="2" width="9.140625" customWidth="1"/>
    <col min="3" max="6" width="11" customWidth="1"/>
    <col min="7" max="7" width="15.85546875" customWidth="1"/>
    <col min="8" max="19" width="12.5703125" customWidth="1"/>
  </cols>
  <sheetData>
    <row r="1" spans="1:19" s="4" customFormat="1" ht="60" x14ac:dyDescent="0.2">
      <c r="A1" s="3" t="s">
        <v>0</v>
      </c>
      <c r="B1" s="35" t="s">
        <v>28</v>
      </c>
      <c r="C1" s="36" t="s">
        <v>2</v>
      </c>
      <c r="D1" s="38" t="s">
        <v>29</v>
      </c>
      <c r="E1" s="39" t="s">
        <v>34</v>
      </c>
      <c r="F1" s="3" t="s">
        <v>3</v>
      </c>
      <c r="G1" s="24" t="s">
        <v>38</v>
      </c>
      <c r="H1" s="5">
        <f>+CONSUMPTION!F1</f>
        <v>43112</v>
      </c>
      <c r="I1" s="5">
        <f>+CONSUMPTION!G1</f>
        <v>43143</v>
      </c>
      <c r="J1" s="5">
        <f>+CONSUMPTION!H1</f>
        <v>43171</v>
      </c>
      <c r="K1" s="5">
        <f>+CONSUMPTION!I1</f>
        <v>43202</v>
      </c>
      <c r="L1" s="5">
        <f>+CONSUMPTION!J1</f>
        <v>43232</v>
      </c>
      <c r="M1" s="5">
        <f>+CONSUMPTION!K1</f>
        <v>43263</v>
      </c>
      <c r="N1" s="5">
        <f>+CONSUMPTION!L1</f>
        <v>43293</v>
      </c>
      <c r="O1" s="5">
        <f>+CONSUMPTION!M1</f>
        <v>43324</v>
      </c>
      <c r="P1" s="5">
        <f>+CONSUMPTION!N1</f>
        <v>43355</v>
      </c>
      <c r="Q1" s="5">
        <f>+CONSUMPTION!O1</f>
        <v>43385</v>
      </c>
      <c r="R1" s="5">
        <f>+CONSUMPTION!P1</f>
        <v>43416</v>
      </c>
      <c r="S1" s="5">
        <f>+CONSUMPTION!Q1</f>
        <v>43446</v>
      </c>
    </row>
    <row r="2" spans="1:19" ht="23.25" x14ac:dyDescent="0.35">
      <c r="A2" s="82" t="s">
        <v>45</v>
      </c>
    </row>
    <row r="3" spans="1:19" s="8" customFormat="1" ht="30" x14ac:dyDescent="0.2">
      <c r="A3" s="48" t="s">
        <v>40</v>
      </c>
      <c r="D3" s="44"/>
      <c r="E3" s="45"/>
    </row>
    <row r="4" spans="1:19" s="13" customFormat="1" ht="15" x14ac:dyDescent="0.25">
      <c r="A4" s="13" t="s">
        <v>24</v>
      </c>
      <c r="D4" s="46"/>
      <c r="E4" s="47"/>
      <c r="G4" s="14">
        <f>+'Model CONSUMPTION'!G57</f>
        <v>3173.99</v>
      </c>
      <c r="H4" s="14">
        <f>+'Model CONSUMPTION'!H57</f>
        <v>0</v>
      </c>
      <c r="I4" s="14">
        <f>+'Model CONSUMPTION'!I57</f>
        <v>0</v>
      </c>
      <c r="J4" s="14">
        <f>+'Model CONSUMPTION'!J57</f>
        <v>0</v>
      </c>
      <c r="K4" s="14">
        <f>+'Model CONSUMPTION'!K57</f>
        <v>0</v>
      </c>
      <c r="L4" s="14">
        <f>+'Model CONSUMPTION'!L57</f>
        <v>39.950000000000003</v>
      </c>
      <c r="M4" s="14">
        <f>+'Model CONSUMPTION'!M57</f>
        <v>585.3119999999999</v>
      </c>
      <c r="N4" s="14">
        <f>+'Model CONSUMPTION'!N57</f>
        <v>805.89599999999996</v>
      </c>
      <c r="O4" s="14">
        <f>+'Model CONSUMPTION'!O57</f>
        <v>908.54399999999998</v>
      </c>
      <c r="P4" s="14">
        <f>+'Model CONSUMPTION'!P57</f>
        <v>834.2879999999999</v>
      </c>
      <c r="Q4" s="14">
        <f>+'Model CONSUMPTION'!Q57</f>
        <v>0</v>
      </c>
      <c r="R4" s="14">
        <f>+'Model CONSUMPTION'!R57</f>
        <v>0</v>
      </c>
      <c r="S4" s="14">
        <f>+'Model CONSUMPTION'!S57</f>
        <v>0</v>
      </c>
    </row>
    <row r="5" spans="1:19" s="13" customFormat="1" ht="15" x14ac:dyDescent="0.25">
      <c r="A5" s="13" t="s">
        <v>22</v>
      </c>
      <c r="D5" s="46"/>
      <c r="E5" s="47"/>
      <c r="G5" s="14">
        <f>+'Model CONSUMPTION'!G58</f>
        <v>2782985.14</v>
      </c>
      <c r="H5" s="14">
        <f>+'Model CONSUMPTION'!H58</f>
        <v>127873.35999999999</v>
      </c>
      <c r="I5" s="14">
        <f>+'Model CONSUMPTION'!I58</f>
        <v>124553.81999999999</v>
      </c>
      <c r="J5" s="14">
        <f>+'Model CONSUMPTION'!J58</f>
        <v>111618.06</v>
      </c>
      <c r="K5" s="14">
        <f>+'Model CONSUMPTION'!K58</f>
        <v>132713.57</v>
      </c>
      <c r="L5" s="14">
        <f>+'Model CONSUMPTION'!L58</f>
        <v>145483.77000000002</v>
      </c>
      <c r="M5" s="14">
        <f>+'Model CONSUMPTION'!M58</f>
        <v>292214.43</v>
      </c>
      <c r="N5" s="14">
        <f>+'Model CONSUMPTION'!N58</f>
        <v>410594.39999999997</v>
      </c>
      <c r="O5" s="14">
        <f>+'Model CONSUMPTION'!O58</f>
        <v>592366.8899999999</v>
      </c>
      <c r="P5" s="14">
        <f>+'Model CONSUMPTION'!P58</f>
        <v>439784.19999999995</v>
      </c>
      <c r="Q5" s="14">
        <f>+'Model CONSUMPTION'!Q58</f>
        <v>140152.18000000005</v>
      </c>
      <c r="R5" s="14">
        <f>+'Model CONSUMPTION'!R58</f>
        <v>136093.31000000003</v>
      </c>
      <c r="S5" s="14">
        <f>+'Model CONSUMPTION'!S58</f>
        <v>129537.14999999998</v>
      </c>
    </row>
    <row r="6" spans="1:19" s="13" customFormat="1" ht="15" x14ac:dyDescent="0.25">
      <c r="A6" s="13" t="s">
        <v>31</v>
      </c>
      <c r="D6" s="46"/>
      <c r="E6" s="47"/>
      <c r="G6" s="14">
        <f>+'Model CONSUMPTION'!G59</f>
        <v>527189.89999999991</v>
      </c>
      <c r="H6" s="14">
        <f>+'Model CONSUMPTION'!H59</f>
        <v>15443.499999999998</v>
      </c>
      <c r="I6" s="14">
        <f>+'Model CONSUMPTION'!I59</f>
        <v>20383.670000000006</v>
      </c>
      <c r="J6" s="14">
        <f>+'Model CONSUMPTION'!J59</f>
        <v>15547.519999999999</v>
      </c>
      <c r="K6" s="14">
        <f>+'Model CONSUMPTION'!K59</f>
        <v>20330.349999999999</v>
      </c>
      <c r="L6" s="14">
        <f>+'Model CONSUMPTION'!L59</f>
        <v>23699.920000000006</v>
      </c>
      <c r="M6" s="14">
        <f>+'Model CONSUMPTION'!M59</f>
        <v>62831.899999999994</v>
      </c>
      <c r="N6" s="14">
        <f>+'Model CONSUMPTION'!N59</f>
        <v>83949.650000000009</v>
      </c>
      <c r="O6" s="14">
        <f>+'Model CONSUMPTION'!O59</f>
        <v>99959.739999999991</v>
      </c>
      <c r="P6" s="14">
        <f>+'Model CONSUMPTION'!P59</f>
        <v>111386.90000000001</v>
      </c>
      <c r="Q6" s="14">
        <f>+'Model CONSUMPTION'!Q59</f>
        <v>33975.64</v>
      </c>
      <c r="R6" s="14">
        <f>+'Model CONSUMPTION'!R59</f>
        <v>21464.55</v>
      </c>
      <c r="S6" s="14">
        <f>+'Model CONSUMPTION'!S59</f>
        <v>18216.560000000001</v>
      </c>
    </row>
    <row r="7" spans="1:19" s="13" customFormat="1" ht="15" x14ac:dyDescent="0.25">
      <c r="A7" s="13" t="s">
        <v>23</v>
      </c>
      <c r="D7" s="46"/>
      <c r="E7" s="47"/>
      <c r="G7" s="14">
        <f>+'Model CONSUMPTION'!G60</f>
        <v>0</v>
      </c>
      <c r="H7" s="14">
        <f>+'Model CONSUMPTION'!H60</f>
        <v>0</v>
      </c>
      <c r="I7" s="14">
        <f>+'Model CONSUMPTION'!I60</f>
        <v>0</v>
      </c>
      <c r="J7" s="14">
        <f>+'Model CONSUMPTION'!J60</f>
        <v>0</v>
      </c>
      <c r="K7" s="14">
        <f>+'Model CONSUMPTION'!K60</f>
        <v>0</v>
      </c>
      <c r="L7" s="14">
        <f>+'Model CONSUMPTION'!L60</f>
        <v>0</v>
      </c>
      <c r="M7" s="14">
        <f>+'Model CONSUMPTION'!M60</f>
        <v>0</v>
      </c>
      <c r="N7" s="14">
        <f>+'Model CONSUMPTION'!N60</f>
        <v>0</v>
      </c>
      <c r="O7" s="14">
        <f>+'Model CONSUMPTION'!O60</f>
        <v>0</v>
      </c>
      <c r="P7" s="14">
        <f>+'Model CONSUMPTION'!P60</f>
        <v>0</v>
      </c>
      <c r="Q7" s="14">
        <f>+'Model CONSUMPTION'!Q60</f>
        <v>0</v>
      </c>
      <c r="R7" s="14">
        <f>+'Model CONSUMPTION'!R60</f>
        <v>0</v>
      </c>
      <c r="S7" s="14">
        <f>+'Model CONSUMPTION'!S60</f>
        <v>0</v>
      </c>
    </row>
    <row r="8" spans="1:19" s="11" customFormat="1" ht="15" x14ac:dyDescent="0.25">
      <c r="A8" s="10" t="s">
        <v>21</v>
      </c>
      <c r="B8" s="10"/>
      <c r="C8" s="10"/>
      <c r="D8" s="46"/>
      <c r="E8" s="47"/>
      <c r="F8" s="23">
        <f>+'Model CONSUMPTION'!F61</f>
        <v>240943600</v>
      </c>
      <c r="G8" s="12">
        <f>+'Model CONSUMPTION'!G61</f>
        <v>3313349.0299999993</v>
      </c>
      <c r="H8" s="12">
        <f>+'Model CONSUMPTION'!H61</f>
        <v>143316.85999999996</v>
      </c>
      <c r="I8" s="12">
        <f>+'Model CONSUMPTION'!I61</f>
        <v>144937.49</v>
      </c>
      <c r="J8" s="12">
        <f>+'Model CONSUMPTION'!J61</f>
        <v>127165.58</v>
      </c>
      <c r="K8" s="12">
        <f>+'Model CONSUMPTION'!K61</f>
        <v>153043.92000000007</v>
      </c>
      <c r="L8" s="12">
        <f>+'Model CONSUMPTION'!L61</f>
        <v>169223.64000000007</v>
      </c>
      <c r="M8" s="12">
        <f>+'Model CONSUMPTION'!M61</f>
        <v>355631.64200000011</v>
      </c>
      <c r="N8" s="12">
        <f>+'Model CONSUMPTION'!N61</f>
        <v>495349.946</v>
      </c>
      <c r="O8" s="12">
        <f>+'Model CONSUMPTION'!O61</f>
        <v>693235.17399999977</v>
      </c>
      <c r="P8" s="12">
        <f>+'Model CONSUMPTION'!P61</f>
        <v>552005.38800000004</v>
      </c>
      <c r="Q8" s="12">
        <f>+'Model CONSUMPTION'!Q61</f>
        <v>174127.82000000009</v>
      </c>
      <c r="R8" s="12">
        <f>+'Model CONSUMPTION'!R61</f>
        <v>157557.86000000002</v>
      </c>
      <c r="S8" s="12">
        <f>+'Model CONSUMPTION'!S61</f>
        <v>147753.70999999996</v>
      </c>
    </row>
    <row r="9" spans="1:19" s="16" customFormat="1" ht="11.25" x14ac:dyDescent="0.2">
      <c r="A9" s="15" t="s">
        <v>25</v>
      </c>
      <c r="D9" s="75"/>
      <c r="E9" s="76"/>
      <c r="G9" s="16">
        <f>SUM(G4:G7)-G8</f>
        <v>0</v>
      </c>
      <c r="H9" s="16">
        <f>SUM(H4:H7)-H8</f>
        <v>0</v>
      </c>
      <c r="I9" s="16">
        <f t="shared" ref="I9:S9" si="0">SUM(I4:I7)-I8</f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  <c r="Q9" s="16">
        <f t="shared" si="0"/>
        <v>0</v>
      </c>
      <c r="R9" s="16">
        <f t="shared" si="0"/>
        <v>0</v>
      </c>
      <c r="S9" s="16">
        <f t="shared" si="0"/>
        <v>0</v>
      </c>
    </row>
    <row r="10" spans="1:19" x14ac:dyDescent="0.2">
      <c r="D10" s="77"/>
      <c r="E10" s="78"/>
    </row>
    <row r="11" spans="1:19" s="8" customFormat="1" ht="15" x14ac:dyDescent="0.2">
      <c r="A11" s="48" t="s">
        <v>41</v>
      </c>
      <c r="D11" s="44"/>
      <c r="E11" s="45"/>
    </row>
    <row r="12" spans="1:19" s="13" customFormat="1" ht="15" x14ac:dyDescent="0.25">
      <c r="A12" s="13" t="s">
        <v>24</v>
      </c>
      <c r="D12" s="46"/>
      <c r="E12" s="47"/>
      <c r="G12" s="14">
        <f>+'Model CONSUMPTION'!G65</f>
        <v>3173.99</v>
      </c>
      <c r="H12" s="14">
        <f>+'Model CONSUMPTION'!H65</f>
        <v>0</v>
      </c>
      <c r="I12" s="14">
        <f>+'Model CONSUMPTION'!I65</f>
        <v>0</v>
      </c>
      <c r="J12" s="14">
        <f>+'Model CONSUMPTION'!J65</f>
        <v>0</v>
      </c>
      <c r="K12" s="14">
        <f>+'Model CONSUMPTION'!K65</f>
        <v>0</v>
      </c>
      <c r="L12" s="14">
        <f>+'Model CONSUMPTION'!L65</f>
        <v>39.950000000000003</v>
      </c>
      <c r="M12" s="14">
        <f>+'Model CONSUMPTION'!M65</f>
        <v>585.3119999999999</v>
      </c>
      <c r="N12" s="14">
        <f>+'Model CONSUMPTION'!N65</f>
        <v>805.89599999999996</v>
      </c>
      <c r="O12" s="14">
        <f>+'Model CONSUMPTION'!O65</f>
        <v>908.54399999999998</v>
      </c>
      <c r="P12" s="14">
        <f>+'Model CONSUMPTION'!P65</f>
        <v>834.2879999999999</v>
      </c>
      <c r="Q12" s="14">
        <f>+'Model CONSUMPTION'!Q65</f>
        <v>0</v>
      </c>
      <c r="R12" s="14">
        <f>+'Model CONSUMPTION'!R65</f>
        <v>0</v>
      </c>
      <c r="S12" s="14">
        <f>+'Model CONSUMPTION'!S65</f>
        <v>0</v>
      </c>
    </row>
    <row r="13" spans="1:19" s="13" customFormat="1" ht="15" x14ac:dyDescent="0.25">
      <c r="A13" s="13" t="s">
        <v>22</v>
      </c>
      <c r="D13" s="46"/>
      <c r="E13" s="47"/>
      <c r="G13" s="14">
        <f>+'Model CONSUMPTION'!G66</f>
        <v>2721206.4400000004</v>
      </c>
      <c r="H13" s="14">
        <f>+'Model CONSUMPTION'!H66</f>
        <v>122990.02</v>
      </c>
      <c r="I13" s="14">
        <f>+'Model CONSUMPTION'!I66</f>
        <v>119754.54</v>
      </c>
      <c r="J13" s="14">
        <f>+'Model CONSUMPTION'!J66</f>
        <v>107035.44</v>
      </c>
      <c r="K13" s="14">
        <f>+'Model CONSUMPTION'!K66</f>
        <v>127735.49</v>
      </c>
      <c r="L13" s="14">
        <f>+'Model CONSUMPTION'!L66</f>
        <v>140500.05000000002</v>
      </c>
      <c r="M13" s="14">
        <f>+'Model CONSUMPTION'!M66</f>
        <v>286647.69</v>
      </c>
      <c r="N13" s="14">
        <f>+'Model CONSUMPTION'!N66</f>
        <v>404909.22</v>
      </c>
      <c r="O13" s="14">
        <f>+'Model CONSUMPTION'!O66</f>
        <v>586571.42999999993</v>
      </c>
      <c r="P13" s="14">
        <f>+'Model CONSUMPTION'!P66</f>
        <v>434047.29999999993</v>
      </c>
      <c r="Q13" s="14">
        <f>+'Model CONSUMPTION'!Q66</f>
        <v>135278.86000000002</v>
      </c>
      <c r="R13" s="14">
        <f>+'Model CONSUMPTION'!R66</f>
        <v>131128.79</v>
      </c>
      <c r="S13" s="14">
        <f>+'Model CONSUMPTION'!S66</f>
        <v>124607.60999999999</v>
      </c>
    </row>
    <row r="14" spans="1:19" s="13" customFormat="1" ht="15" x14ac:dyDescent="0.25">
      <c r="A14" s="13" t="s">
        <v>31</v>
      </c>
      <c r="D14" s="46"/>
      <c r="E14" s="47"/>
      <c r="G14" s="14">
        <f>+'Model CONSUMPTION'!G67</f>
        <v>521759.47999999992</v>
      </c>
      <c r="H14" s="14">
        <f>+'Model CONSUMPTION'!H67</f>
        <v>15113.56</v>
      </c>
      <c r="I14" s="14">
        <f>+'Model CONSUMPTION'!I67</f>
        <v>20018.27</v>
      </c>
      <c r="J14" s="14">
        <f>+'Model CONSUMPTION'!J67</f>
        <v>15221.42</v>
      </c>
      <c r="K14" s="14">
        <f>+'Model CONSUMPTION'!K67</f>
        <v>19952.530000000002</v>
      </c>
      <c r="L14" s="14">
        <f>+'Model CONSUMPTION'!L67</f>
        <v>23274.520000000004</v>
      </c>
      <c r="M14" s="14">
        <f>+'Model CONSUMPTION'!M67</f>
        <v>62272.7</v>
      </c>
      <c r="N14" s="14">
        <f>+'Model CONSUMPTION'!N67</f>
        <v>83372.210000000006</v>
      </c>
      <c r="O14" s="14">
        <f>+'Model CONSUMPTION'!O67</f>
        <v>99386.08</v>
      </c>
      <c r="P14" s="14">
        <f>+'Model CONSUMPTION'!P67</f>
        <v>110793.92</v>
      </c>
      <c r="Q14" s="14">
        <f>+'Model CONSUMPTION'!Q67</f>
        <v>33475.360000000001</v>
      </c>
      <c r="R14" s="14">
        <f>+'Model CONSUMPTION'!R67</f>
        <v>21051.57</v>
      </c>
      <c r="S14" s="14">
        <f>+'Model CONSUMPTION'!S67</f>
        <v>17827.34</v>
      </c>
    </row>
    <row r="15" spans="1:19" s="13" customFormat="1" ht="15" x14ac:dyDescent="0.25">
      <c r="A15" s="13" t="s">
        <v>23</v>
      </c>
      <c r="D15" s="46"/>
      <c r="E15" s="47"/>
      <c r="G15" s="14">
        <f>+'Model CONSUMPTION'!G68</f>
        <v>0</v>
      </c>
      <c r="H15" s="14">
        <f>+'Model CONSUMPTION'!H68</f>
        <v>0</v>
      </c>
      <c r="I15" s="14">
        <f>+'Model CONSUMPTION'!I68</f>
        <v>0</v>
      </c>
      <c r="J15" s="14">
        <f>+'Model CONSUMPTION'!J68</f>
        <v>0</v>
      </c>
      <c r="K15" s="14">
        <f>+'Model CONSUMPTION'!K68</f>
        <v>0</v>
      </c>
      <c r="L15" s="14">
        <f>+'Model CONSUMPTION'!L68</f>
        <v>0</v>
      </c>
      <c r="M15" s="14">
        <f>+'Model CONSUMPTION'!M68</f>
        <v>0</v>
      </c>
      <c r="N15" s="14">
        <f>+'Model CONSUMPTION'!N68</f>
        <v>0</v>
      </c>
      <c r="O15" s="14">
        <f>+'Model CONSUMPTION'!O68</f>
        <v>0</v>
      </c>
      <c r="P15" s="14">
        <f>+'Model CONSUMPTION'!P68</f>
        <v>0</v>
      </c>
      <c r="Q15" s="14">
        <f>+'Model CONSUMPTION'!Q68</f>
        <v>0</v>
      </c>
      <c r="R15" s="14">
        <f>+'Model CONSUMPTION'!R68</f>
        <v>0</v>
      </c>
      <c r="S15" s="14">
        <f>+'Model CONSUMPTION'!S68</f>
        <v>0</v>
      </c>
    </row>
    <row r="16" spans="1:19" s="11" customFormat="1" ht="15" x14ac:dyDescent="0.25">
      <c r="A16" s="10" t="s">
        <v>21</v>
      </c>
      <c r="B16" s="10"/>
      <c r="C16" s="10"/>
      <c r="D16" s="46"/>
      <c r="E16" s="47"/>
      <c r="F16" s="23">
        <f>+'Model CONSUMPTION'!F69</f>
        <v>240943600</v>
      </c>
      <c r="G16" s="12">
        <f>+'Model CONSUMPTION'!G69</f>
        <v>3246139.9099999997</v>
      </c>
      <c r="H16" s="12">
        <f>+'Model CONSUMPTION'!H69</f>
        <v>138103.57999999999</v>
      </c>
      <c r="I16" s="12">
        <f>+'Model CONSUMPTION'!I69</f>
        <v>139772.80999999997</v>
      </c>
      <c r="J16" s="12">
        <f>+'Model CONSUMPTION'!J69</f>
        <v>122256.86</v>
      </c>
      <c r="K16" s="12">
        <f>+'Model CONSUMPTION'!K69</f>
        <v>147688.02000000005</v>
      </c>
      <c r="L16" s="12">
        <f>+'Model CONSUMPTION'!L69</f>
        <v>163814.52000000002</v>
      </c>
      <c r="M16" s="12">
        <f>+'Model CONSUMPTION'!M69</f>
        <v>349505.70200000011</v>
      </c>
      <c r="N16" s="12">
        <f>+'Model CONSUMPTION'!N69</f>
        <v>489087.32600000006</v>
      </c>
      <c r="O16" s="12">
        <f>+'Model CONSUMPTION'!O69</f>
        <v>686866.05399999977</v>
      </c>
      <c r="P16" s="12">
        <f>+'Model CONSUMPTION'!P69</f>
        <v>545675.50800000003</v>
      </c>
      <c r="Q16" s="12">
        <f>+'Model CONSUMPTION'!Q69</f>
        <v>168754.22000000006</v>
      </c>
      <c r="R16" s="12">
        <f>+'Model CONSUMPTION'!R69</f>
        <v>152180.36000000002</v>
      </c>
      <c r="S16" s="12">
        <f>+'Model CONSUMPTION'!S69</f>
        <v>142434.94999999998</v>
      </c>
    </row>
    <row r="17" spans="1:19" s="16" customFormat="1" ht="11.25" x14ac:dyDescent="0.2">
      <c r="A17" s="15" t="s">
        <v>25</v>
      </c>
      <c r="D17" s="75"/>
      <c r="E17" s="76"/>
      <c r="G17" s="16">
        <f t="shared" ref="G17:S17" si="1">SUM(G12:G15)-G16</f>
        <v>0</v>
      </c>
      <c r="H17" s="16">
        <f t="shared" si="1"/>
        <v>0</v>
      </c>
      <c r="I17" s="16">
        <f t="shared" si="1"/>
        <v>0</v>
      </c>
      <c r="J17" s="16">
        <f t="shared" si="1"/>
        <v>0</v>
      </c>
      <c r="K17" s="16">
        <f t="shared" si="1"/>
        <v>0</v>
      </c>
      <c r="L17" s="16">
        <f t="shared" si="1"/>
        <v>0</v>
      </c>
      <c r="M17" s="16">
        <f t="shared" si="1"/>
        <v>0</v>
      </c>
      <c r="N17" s="16">
        <f t="shared" si="1"/>
        <v>0</v>
      </c>
      <c r="O17" s="16">
        <f t="shared" si="1"/>
        <v>0</v>
      </c>
      <c r="P17" s="16">
        <f t="shared" si="1"/>
        <v>0</v>
      </c>
      <c r="Q17" s="16">
        <f t="shared" si="1"/>
        <v>0</v>
      </c>
      <c r="R17" s="16">
        <f t="shared" si="1"/>
        <v>0</v>
      </c>
      <c r="S17" s="16">
        <f t="shared" si="1"/>
        <v>0</v>
      </c>
    </row>
    <row r="18" spans="1:19" s="9" customFormat="1" ht="15" x14ac:dyDescent="0.25">
      <c r="A18" s="49" t="s">
        <v>33</v>
      </c>
      <c r="D18" s="50"/>
      <c r="E18" s="51"/>
      <c r="G18" s="52">
        <f t="shared" ref="G18:S18" si="2">+G8-G16</f>
        <v>67209.119999999646</v>
      </c>
      <c r="H18" s="52">
        <f t="shared" si="2"/>
        <v>5213.2799999999697</v>
      </c>
      <c r="I18" s="52">
        <f t="shared" si="2"/>
        <v>5164.6800000000221</v>
      </c>
      <c r="J18" s="52">
        <f t="shared" si="2"/>
        <v>4908.7200000000012</v>
      </c>
      <c r="K18" s="52">
        <f t="shared" si="2"/>
        <v>5355.9000000000233</v>
      </c>
      <c r="L18" s="52">
        <f t="shared" si="2"/>
        <v>5409.1200000000536</v>
      </c>
      <c r="M18" s="52">
        <f t="shared" si="2"/>
        <v>6125.9400000000023</v>
      </c>
      <c r="N18" s="52">
        <f t="shared" si="2"/>
        <v>6262.6199999999371</v>
      </c>
      <c r="O18" s="52">
        <f t="shared" si="2"/>
        <v>6369.1199999999953</v>
      </c>
      <c r="P18" s="52">
        <f t="shared" si="2"/>
        <v>6329.8800000000047</v>
      </c>
      <c r="Q18" s="52">
        <f t="shared" si="2"/>
        <v>5373.6000000000349</v>
      </c>
      <c r="R18" s="52">
        <f t="shared" si="2"/>
        <v>5377.5</v>
      </c>
      <c r="S18" s="52">
        <f t="shared" si="2"/>
        <v>5318.7599999999802</v>
      </c>
    </row>
    <row r="19" spans="1:19" s="9" customFormat="1" ht="15.75" thickBot="1" x14ac:dyDescent="0.3">
      <c r="A19" s="49" t="s">
        <v>32</v>
      </c>
      <c r="D19" s="50"/>
      <c r="E19" s="51"/>
      <c r="G19" s="53">
        <f>+G18/G16</f>
        <v>2.0704320165916588E-2</v>
      </c>
      <c r="H19" s="53">
        <f t="shared" ref="H19:S19" si="3">+H18/H16</f>
        <v>3.7749057627615233E-2</v>
      </c>
      <c r="I19" s="53">
        <f t="shared" si="3"/>
        <v>3.6950534227651453E-2</v>
      </c>
      <c r="J19" s="53">
        <f t="shared" si="3"/>
        <v>4.0150875787256443E-2</v>
      </c>
      <c r="K19" s="53">
        <f t="shared" si="3"/>
        <v>3.626495906709306E-2</v>
      </c>
      <c r="L19" s="53">
        <f t="shared" si="3"/>
        <v>3.3019783594275119E-2</v>
      </c>
      <c r="M19" s="53">
        <f t="shared" si="3"/>
        <v>1.7527439366354029E-2</v>
      </c>
      <c r="N19" s="53">
        <f t="shared" si="3"/>
        <v>1.2804707190469982E-2</v>
      </c>
      <c r="O19" s="53">
        <f t="shared" si="3"/>
        <v>9.2727249554830932E-3</v>
      </c>
      <c r="P19" s="53">
        <f t="shared" si="3"/>
        <v>1.1600080830455752E-2</v>
      </c>
      <c r="Q19" s="53">
        <f t="shared" si="3"/>
        <v>3.1842759250702193E-2</v>
      </c>
      <c r="R19" s="53">
        <f t="shared" si="3"/>
        <v>3.5336360092721557E-2</v>
      </c>
      <c r="S19" s="53">
        <f t="shared" si="3"/>
        <v>3.7341677727271157E-2</v>
      </c>
    </row>
    <row r="20" spans="1:19" s="4" customFormat="1" ht="48" customHeight="1" x14ac:dyDescent="0.2">
      <c r="A20" s="3" t="s">
        <v>0</v>
      </c>
      <c r="B20" s="3" t="s">
        <v>1</v>
      </c>
      <c r="C20" s="35" t="s">
        <v>35</v>
      </c>
      <c r="D20" s="57" t="s">
        <v>36</v>
      </c>
      <c r="E20" s="58" t="s">
        <v>37</v>
      </c>
      <c r="F20" s="24" t="s">
        <v>27</v>
      </c>
      <c r="G20" s="79" t="s">
        <v>39</v>
      </c>
      <c r="H20" s="56">
        <v>40330</v>
      </c>
      <c r="I20" s="5">
        <v>40360</v>
      </c>
      <c r="J20" s="5">
        <v>40391</v>
      </c>
      <c r="K20" s="5">
        <v>40422</v>
      </c>
      <c r="L20" s="5">
        <v>40452</v>
      </c>
      <c r="M20" s="5">
        <v>40483</v>
      </c>
      <c r="N20" s="5">
        <v>40513</v>
      </c>
      <c r="O20" s="5">
        <v>40544</v>
      </c>
      <c r="P20" s="5">
        <v>40575</v>
      </c>
      <c r="Q20" s="5">
        <v>40603</v>
      </c>
      <c r="R20" s="5">
        <v>40634</v>
      </c>
      <c r="S20" s="5">
        <v>40664</v>
      </c>
    </row>
    <row r="21" spans="1:19" ht="23.25" x14ac:dyDescent="0.35">
      <c r="A21" s="82" t="s">
        <v>46</v>
      </c>
    </row>
    <row r="22" spans="1:19" s="8" customFormat="1" ht="15" x14ac:dyDescent="0.25">
      <c r="A22" s="81" t="s">
        <v>42</v>
      </c>
      <c r="D22" s="62"/>
      <c r="E22" s="63"/>
    </row>
    <row r="23" spans="1:19" s="13" customFormat="1" ht="15" x14ac:dyDescent="0.25">
      <c r="A23" s="13" t="s">
        <v>24</v>
      </c>
      <c r="D23" s="64"/>
      <c r="E23" s="80">
        <v>0</v>
      </c>
      <c r="G23" s="14">
        <f>+'Model BILLABLE BASE'!F57</f>
        <v>4728</v>
      </c>
      <c r="H23" s="14">
        <f>+'Model BILLABLE BASE'!G57</f>
        <v>394</v>
      </c>
      <c r="I23" s="14">
        <f>+'Model BILLABLE BASE'!H57</f>
        <v>394</v>
      </c>
      <c r="J23" s="14">
        <f>+'Model BILLABLE BASE'!I57</f>
        <v>394</v>
      </c>
      <c r="K23" s="14">
        <f>+'Model BILLABLE BASE'!J57</f>
        <v>394</v>
      </c>
      <c r="L23" s="14">
        <f>+'Model BILLABLE BASE'!K57</f>
        <v>394</v>
      </c>
      <c r="M23" s="14">
        <f>+'Model BILLABLE BASE'!L57</f>
        <v>394</v>
      </c>
      <c r="N23" s="14">
        <f>+'Model BILLABLE BASE'!M57</f>
        <v>394</v>
      </c>
      <c r="O23" s="14">
        <f>+'Model BILLABLE BASE'!N57</f>
        <v>394</v>
      </c>
      <c r="P23" s="14">
        <f>+'Model BILLABLE BASE'!O57</f>
        <v>394</v>
      </c>
      <c r="Q23" s="14">
        <f>+'Model BILLABLE BASE'!P57</f>
        <v>394</v>
      </c>
      <c r="R23" s="14">
        <f>+'Model BILLABLE BASE'!Q57</f>
        <v>394</v>
      </c>
      <c r="S23" s="14">
        <f>+'Model BILLABLE BASE'!R57</f>
        <v>394</v>
      </c>
    </row>
    <row r="24" spans="1:19" s="13" customFormat="1" ht="15" x14ac:dyDescent="0.25">
      <c r="A24" s="13" t="s">
        <v>22</v>
      </c>
      <c r="D24" s="64"/>
      <c r="E24" s="80">
        <v>0.12</v>
      </c>
      <c r="G24" s="14">
        <f>+'Model BILLABLE BASE'!F58</f>
        <v>3376895</v>
      </c>
      <c r="H24" s="14">
        <f>+'Model BILLABLE BASE'!G58</f>
        <v>280385.90000000002</v>
      </c>
      <c r="I24" s="14">
        <f>+'Model BILLABLE BASE'!H58</f>
        <v>279956.59999999998</v>
      </c>
      <c r="J24" s="14">
        <f>+'Model BILLABLE BASE'!I58</f>
        <v>281027.20000000001</v>
      </c>
      <c r="K24" s="14">
        <f>+'Model BILLABLE BASE'!J58</f>
        <v>281392.89999999997</v>
      </c>
      <c r="L24" s="14">
        <f>+'Model BILLABLE BASE'!K58</f>
        <v>281801</v>
      </c>
      <c r="M24" s="14">
        <f>+'Model BILLABLE BASE'!L58</f>
        <v>282293.90000000002</v>
      </c>
      <c r="N24" s="14">
        <f>+'Model BILLABLE BASE'!M58</f>
        <v>282611.89999999997</v>
      </c>
      <c r="O24" s="14">
        <f>+'Model BILLABLE BASE'!N58</f>
        <v>282659.59999999998</v>
      </c>
      <c r="P24" s="14">
        <f>+'Model BILLABLE BASE'!O58</f>
        <v>281848.7</v>
      </c>
      <c r="Q24" s="14">
        <f>+'Model BILLABLE BASE'!P58</f>
        <v>282113.7</v>
      </c>
      <c r="R24" s="14">
        <f>+'Model BILLABLE BASE'!Q58</f>
        <v>280915.89999999997</v>
      </c>
      <c r="S24" s="14">
        <f>+'Model BILLABLE BASE'!R58</f>
        <v>279887.7</v>
      </c>
    </row>
    <row r="25" spans="1:19" s="13" customFormat="1" ht="15" x14ac:dyDescent="0.25">
      <c r="A25" s="13" t="s">
        <v>31</v>
      </c>
      <c r="D25" s="64"/>
      <c r="E25" s="80">
        <v>0.22</v>
      </c>
      <c r="G25" s="14">
        <f>+'Model BILLABLE BASE'!F59</f>
        <v>290890.5</v>
      </c>
      <c r="H25" s="14">
        <f>+'Model BILLABLE BASE'!G59</f>
        <v>24077.9</v>
      </c>
      <c r="I25" s="14">
        <f>+'Model BILLABLE BASE'!H59</f>
        <v>24178.6</v>
      </c>
      <c r="J25" s="14">
        <f>+'Model BILLABLE BASE'!I59</f>
        <v>24374.699999999997</v>
      </c>
      <c r="K25" s="14">
        <f>+'Model BILLABLE BASE'!J59</f>
        <v>24088.5</v>
      </c>
      <c r="L25" s="14">
        <f>+'Model BILLABLE BASE'!K59</f>
        <v>24231.599999999999</v>
      </c>
      <c r="M25" s="14">
        <f>+'Model BILLABLE BASE'!L59</f>
        <v>24215.699999999997</v>
      </c>
      <c r="N25" s="14">
        <f>+'Model BILLABLE BASE'!M59</f>
        <v>24268.699999999997</v>
      </c>
      <c r="O25" s="14">
        <f>+'Model BILLABLE BASE'!N59</f>
        <v>24327</v>
      </c>
      <c r="P25" s="14">
        <f>+'Model BILLABLE BASE'!O59</f>
        <v>24358.799999999999</v>
      </c>
      <c r="Q25" s="14">
        <f>+'Model BILLABLE BASE'!P59</f>
        <v>24242.199999999997</v>
      </c>
      <c r="R25" s="14">
        <f>+'Model BILLABLE BASE'!Q59</f>
        <v>24226.3</v>
      </c>
      <c r="S25" s="14">
        <f>+'Model BILLABLE BASE'!R59</f>
        <v>24300.5</v>
      </c>
    </row>
    <row r="26" spans="1:19" s="13" customFormat="1" ht="15" x14ac:dyDescent="0.25">
      <c r="A26" s="13" t="s">
        <v>23</v>
      </c>
      <c r="D26" s="64"/>
      <c r="E26" s="80">
        <v>0</v>
      </c>
      <c r="G26" s="14">
        <f>+'Model BILLABLE BASE'!F60</f>
        <v>1376.64</v>
      </c>
      <c r="H26" s="14">
        <f>+'Model BILLABLE BASE'!G60</f>
        <v>114.72</v>
      </c>
      <c r="I26" s="14">
        <f>+'Model BILLABLE BASE'!H60</f>
        <v>114.72</v>
      </c>
      <c r="J26" s="14">
        <f>+'Model BILLABLE BASE'!I60</f>
        <v>114.72</v>
      </c>
      <c r="K26" s="14">
        <f>+'Model BILLABLE BASE'!J60</f>
        <v>114.72</v>
      </c>
      <c r="L26" s="14">
        <f>+'Model BILLABLE BASE'!K60</f>
        <v>114.72</v>
      </c>
      <c r="M26" s="14">
        <f>+'Model BILLABLE BASE'!L60</f>
        <v>114.72</v>
      </c>
      <c r="N26" s="14">
        <f>+'Model BILLABLE BASE'!M60</f>
        <v>114.72</v>
      </c>
      <c r="O26" s="14">
        <f>+'Model BILLABLE BASE'!N60</f>
        <v>114.72</v>
      </c>
      <c r="P26" s="14">
        <f>+'Model BILLABLE BASE'!O60</f>
        <v>114.72</v>
      </c>
      <c r="Q26" s="14">
        <f>+'Model BILLABLE BASE'!P60</f>
        <v>114.72</v>
      </c>
      <c r="R26" s="14">
        <f>+'Model BILLABLE BASE'!Q60</f>
        <v>114.72</v>
      </c>
      <c r="S26" s="14">
        <f>+'Model BILLABLE BASE'!R60</f>
        <v>114.72</v>
      </c>
    </row>
    <row r="27" spans="1:19" s="11" customFormat="1" ht="15" x14ac:dyDescent="0.25">
      <c r="A27" s="10" t="s">
        <v>21</v>
      </c>
      <c r="B27" s="10"/>
      <c r="C27" s="10"/>
      <c r="D27" s="64"/>
      <c r="E27" s="65"/>
      <c r="F27" s="23" t="e">
        <f>+'Model BILLABLE BASE'!#REF!</f>
        <v>#REF!</v>
      </c>
      <c r="G27" s="12">
        <f>+'Model BILLABLE BASE'!F61</f>
        <v>3673890.14</v>
      </c>
      <c r="H27" s="12">
        <f>+'Model BILLABLE BASE'!G61</f>
        <v>304972.51999999996</v>
      </c>
      <c r="I27" s="12">
        <f>+'Model BILLABLE BASE'!H61</f>
        <v>304643.91999999993</v>
      </c>
      <c r="J27" s="12">
        <f>+'Model BILLABLE BASE'!I61</f>
        <v>305910.62</v>
      </c>
      <c r="K27" s="12">
        <f>+'Model BILLABLE BASE'!J61</f>
        <v>305990.11999999994</v>
      </c>
      <c r="L27" s="12">
        <f>+'Model BILLABLE BASE'!K61</f>
        <v>306541.32</v>
      </c>
      <c r="M27" s="12">
        <f>+'Model BILLABLE BASE'!L61</f>
        <v>307018.32</v>
      </c>
      <c r="N27" s="12">
        <f>+'Model BILLABLE BASE'!M61</f>
        <v>307389.31999999995</v>
      </c>
      <c r="O27" s="12">
        <f>+'Model BILLABLE BASE'!N61</f>
        <v>307495.31999999995</v>
      </c>
      <c r="P27" s="12">
        <f>+'Model BILLABLE BASE'!O61</f>
        <v>306716.21999999997</v>
      </c>
      <c r="Q27" s="12">
        <f>+'Model BILLABLE BASE'!P61</f>
        <v>306864.62</v>
      </c>
      <c r="R27" s="12">
        <f>+'Model BILLABLE BASE'!Q61</f>
        <v>305650.91999999993</v>
      </c>
      <c r="S27" s="12">
        <f>+'Model BILLABLE BASE'!R61</f>
        <v>304696.92</v>
      </c>
    </row>
    <row r="28" spans="1:19" s="16" customFormat="1" ht="11.25" x14ac:dyDescent="0.2">
      <c r="A28" s="15" t="s">
        <v>25</v>
      </c>
      <c r="D28" s="66"/>
      <c r="E28" s="67"/>
      <c r="H28" s="16">
        <f>SUM(H23:H26)-H27</f>
        <v>0</v>
      </c>
      <c r="I28" s="16">
        <f t="shared" ref="I28:S28" si="4">SUM(I23:I26)-I27</f>
        <v>0</v>
      </c>
      <c r="J28" s="16">
        <f t="shared" si="4"/>
        <v>0</v>
      </c>
      <c r="K28" s="16">
        <f t="shared" si="4"/>
        <v>0</v>
      </c>
      <c r="L28" s="16">
        <f t="shared" si="4"/>
        <v>0</v>
      </c>
      <c r="M28" s="16">
        <f t="shared" si="4"/>
        <v>0</v>
      </c>
      <c r="N28" s="16">
        <f t="shared" si="4"/>
        <v>0</v>
      </c>
      <c r="O28" s="16">
        <f t="shared" si="4"/>
        <v>0</v>
      </c>
      <c r="P28" s="16">
        <f t="shared" si="4"/>
        <v>0</v>
      </c>
      <c r="Q28" s="16">
        <f t="shared" si="4"/>
        <v>0</v>
      </c>
      <c r="R28" s="16">
        <f t="shared" si="4"/>
        <v>0</v>
      </c>
      <c r="S28" s="16">
        <f t="shared" si="4"/>
        <v>0</v>
      </c>
    </row>
    <row r="29" spans="1:19" x14ac:dyDescent="0.2">
      <c r="D29" s="73"/>
      <c r="E29" s="74"/>
    </row>
    <row r="30" spans="1:19" s="8" customFormat="1" ht="15" x14ac:dyDescent="0.2">
      <c r="A30" s="48" t="s">
        <v>43</v>
      </c>
      <c r="C30" s="37"/>
      <c r="D30" s="68"/>
      <c r="E30" s="63"/>
    </row>
    <row r="31" spans="1:19" s="13" customFormat="1" ht="15" x14ac:dyDescent="0.25">
      <c r="A31" s="13" t="s">
        <v>24</v>
      </c>
      <c r="D31" s="69"/>
      <c r="E31" s="65"/>
      <c r="F31" s="14"/>
      <c r="G31" s="14">
        <f>+'Model BILLABLE BASE'!F65</f>
        <v>4728</v>
      </c>
      <c r="H31" s="14">
        <f>+'Model BILLABLE BASE'!G65</f>
        <v>394</v>
      </c>
      <c r="I31" s="14">
        <f>+'Model BILLABLE BASE'!H65</f>
        <v>394</v>
      </c>
      <c r="J31" s="14">
        <f>+'Model BILLABLE BASE'!I65</f>
        <v>394</v>
      </c>
      <c r="K31" s="14">
        <f>+'Model BILLABLE BASE'!J65</f>
        <v>394</v>
      </c>
      <c r="L31" s="14">
        <f>+'Model BILLABLE BASE'!K65</f>
        <v>394</v>
      </c>
      <c r="M31" s="14">
        <f>+'Model BILLABLE BASE'!L65</f>
        <v>394</v>
      </c>
      <c r="N31" s="14">
        <f>+'Model BILLABLE BASE'!M65</f>
        <v>394</v>
      </c>
      <c r="O31" s="14">
        <f>+'Model BILLABLE BASE'!N65</f>
        <v>394</v>
      </c>
      <c r="P31" s="14">
        <f>+'Model BILLABLE BASE'!O65</f>
        <v>394</v>
      </c>
      <c r="Q31" s="14">
        <f>+'Model BILLABLE BASE'!P65</f>
        <v>394</v>
      </c>
      <c r="R31" s="14">
        <f>+'Model BILLABLE BASE'!Q65</f>
        <v>394</v>
      </c>
      <c r="S31" s="14">
        <f>+'Model BILLABLE BASE'!R65</f>
        <v>394</v>
      </c>
    </row>
    <row r="32" spans="1:19" s="13" customFormat="1" ht="15" x14ac:dyDescent="0.25">
      <c r="A32" s="13" t="s">
        <v>22</v>
      </c>
      <c r="D32" s="69"/>
      <c r="E32" s="65"/>
      <c r="F32" s="14"/>
      <c r="G32" s="14">
        <f>+'Model BILLABLE BASE'!F66</f>
        <v>3164510.37</v>
      </c>
      <c r="H32" s="14">
        <f>+'Model BILLABLE BASE'!G66</f>
        <v>262751.46000000002</v>
      </c>
      <c r="I32" s="14">
        <f>+'Model BILLABLE BASE'!H66</f>
        <v>262349.16000000003</v>
      </c>
      <c r="J32" s="14">
        <f>+'Model BILLABLE BASE'!I66</f>
        <v>263352.43000000005</v>
      </c>
      <c r="K32" s="14">
        <f>+'Model BILLABLE BASE'!J66</f>
        <v>263695.13</v>
      </c>
      <c r="L32" s="14">
        <f>+'Model BILLABLE BASE'!K66</f>
        <v>264077.56000000006</v>
      </c>
      <c r="M32" s="14">
        <f>+'Model BILLABLE BASE'!L66</f>
        <v>264539.45</v>
      </c>
      <c r="N32" s="14">
        <f>+'Model BILLABLE BASE'!M66</f>
        <v>264837.46000000002</v>
      </c>
      <c r="O32" s="14">
        <f>+'Model BILLABLE BASE'!N66</f>
        <v>264882.16000000003</v>
      </c>
      <c r="P32" s="14">
        <f>+'Model BILLABLE BASE'!O66</f>
        <v>264122.26000000007</v>
      </c>
      <c r="Q32" s="14">
        <f>+'Model BILLABLE BASE'!P66</f>
        <v>264370.59000000003</v>
      </c>
      <c r="R32" s="14">
        <f>+'Model BILLABLE BASE'!Q66</f>
        <v>263248.12000000005</v>
      </c>
      <c r="S32" s="14">
        <f>+'Model BILLABLE BASE'!R66</f>
        <v>262284.59000000003</v>
      </c>
    </row>
    <row r="33" spans="1:19" s="13" customFormat="1" ht="15" x14ac:dyDescent="0.25">
      <c r="A33" s="13" t="s">
        <v>31</v>
      </c>
      <c r="D33" s="69"/>
      <c r="E33" s="65"/>
      <c r="F33" s="14"/>
      <c r="G33" s="14">
        <f>+'Model BILLABLE BASE'!F67</f>
        <v>272595.22000000003</v>
      </c>
      <c r="H33" s="14">
        <f>+'Model BILLABLE BASE'!G67</f>
        <v>22563.54</v>
      </c>
      <c r="I33" s="14">
        <f>+'Model BILLABLE BASE'!H67</f>
        <v>22657.909999999996</v>
      </c>
      <c r="J33" s="14">
        <f>+'Model BILLABLE BASE'!I67</f>
        <v>22841.67</v>
      </c>
      <c r="K33" s="14">
        <f>+'Model BILLABLE BASE'!J67</f>
        <v>22573.48</v>
      </c>
      <c r="L33" s="14">
        <f>+'Model BILLABLE BASE'!K67</f>
        <v>22707.579999999998</v>
      </c>
      <c r="M33" s="14">
        <f>+'Model BILLABLE BASE'!L67</f>
        <v>22692.68</v>
      </c>
      <c r="N33" s="14">
        <f>+'Model BILLABLE BASE'!M67</f>
        <v>22742.339999999997</v>
      </c>
      <c r="O33" s="14">
        <f>+'Model BILLABLE BASE'!N67</f>
        <v>22796.979999999996</v>
      </c>
      <c r="P33" s="14">
        <f>+'Model BILLABLE BASE'!O67</f>
        <v>22826.78</v>
      </c>
      <c r="Q33" s="14">
        <f>+'Model BILLABLE BASE'!P67</f>
        <v>22717.51</v>
      </c>
      <c r="R33" s="14">
        <f>+'Model BILLABLE BASE'!Q67</f>
        <v>22702.61</v>
      </c>
      <c r="S33" s="14">
        <f>+'Model BILLABLE BASE'!R67</f>
        <v>22772.14</v>
      </c>
    </row>
    <row r="34" spans="1:19" s="13" customFormat="1" ht="15" x14ac:dyDescent="0.25">
      <c r="A34" s="13" t="s">
        <v>23</v>
      </c>
      <c r="D34" s="69"/>
      <c r="E34" s="65"/>
      <c r="F34" s="14"/>
      <c r="G34" s="14">
        <f>+'Model BILLABLE BASE'!F68</f>
        <v>-69395.06</v>
      </c>
      <c r="H34" s="14">
        <f>+'Model BILLABLE BASE'!G68</f>
        <v>-7515.86</v>
      </c>
      <c r="I34" s="14">
        <f>+'Model BILLABLE BASE'!H68</f>
        <v>-855.86</v>
      </c>
      <c r="J34" s="14">
        <f>+'Model BILLABLE BASE'!I68</f>
        <v>-1836.91</v>
      </c>
      <c r="K34" s="14">
        <f>+'Model BILLABLE BASE'!J68</f>
        <v>-6121.04</v>
      </c>
      <c r="L34" s="14">
        <f>+'Model BILLABLE BASE'!K68</f>
        <v>-3967.1200000000003</v>
      </c>
      <c r="M34" s="14">
        <f>+'Model BILLABLE BASE'!L68</f>
        <v>-533.22</v>
      </c>
      <c r="N34" s="14">
        <f>+'Model BILLABLE BASE'!M68</f>
        <v>-4769</v>
      </c>
      <c r="O34" s="14">
        <f>+'Model BILLABLE BASE'!N68</f>
        <v>-7865.58</v>
      </c>
      <c r="P34" s="14">
        <f>+'Model BILLABLE BASE'!O68</f>
        <v>-8819.6200000000008</v>
      </c>
      <c r="Q34" s="14">
        <f>+'Model BILLABLE BASE'!P68</f>
        <v>-18879.949999999997</v>
      </c>
      <c r="R34" s="14">
        <f>+'Model BILLABLE BASE'!Q68</f>
        <v>-6804.04</v>
      </c>
      <c r="S34" s="14">
        <f>+'Model BILLABLE BASE'!R68</f>
        <v>-1426.86</v>
      </c>
    </row>
    <row r="35" spans="1:19" s="11" customFormat="1" ht="15" x14ac:dyDescent="0.25">
      <c r="A35" s="10" t="s">
        <v>21</v>
      </c>
      <c r="B35" s="10"/>
      <c r="C35" s="10"/>
      <c r="D35" s="69"/>
      <c r="E35" s="65"/>
      <c r="F35" s="23" t="e">
        <f>+'Model BILLABLE BASE'!#REF!</f>
        <v>#REF!</v>
      </c>
      <c r="G35" s="12">
        <f>+'Model BILLABLE BASE'!F69</f>
        <v>3372438.53</v>
      </c>
      <c r="H35" s="12">
        <f>+'Model BILLABLE BASE'!G69</f>
        <v>278193.1399999999</v>
      </c>
      <c r="I35" s="12">
        <f>+'Model BILLABLE BASE'!H69</f>
        <v>284545.20999999996</v>
      </c>
      <c r="J35" s="12">
        <f>+'Model BILLABLE BASE'!I69</f>
        <v>284751.18999999994</v>
      </c>
      <c r="K35" s="12">
        <f>+'Model BILLABLE BASE'!J69</f>
        <v>280541.56999999989</v>
      </c>
      <c r="L35" s="12">
        <f>+'Model BILLABLE BASE'!K69</f>
        <v>283212.02</v>
      </c>
      <c r="M35" s="12">
        <f>+'Model BILLABLE BASE'!L69</f>
        <v>287092.90999999997</v>
      </c>
      <c r="N35" s="12">
        <f>+'Model BILLABLE BASE'!M69</f>
        <v>283204.8</v>
      </c>
      <c r="O35" s="12">
        <f>+'Model BILLABLE BASE'!N69</f>
        <v>280207.56</v>
      </c>
      <c r="P35" s="12">
        <f>+'Model BILLABLE BASE'!O69</f>
        <v>278523.42</v>
      </c>
      <c r="Q35" s="12">
        <f>+'Model BILLABLE BASE'!P69</f>
        <v>268602.15000000002</v>
      </c>
      <c r="R35" s="12">
        <f>+'Model BILLABLE BASE'!Q69</f>
        <v>279540.69</v>
      </c>
      <c r="S35" s="12">
        <f>+'Model BILLABLE BASE'!R69</f>
        <v>284023.86999999994</v>
      </c>
    </row>
    <row r="36" spans="1:19" s="16" customFormat="1" ht="11.25" x14ac:dyDescent="0.2">
      <c r="A36" s="15" t="s">
        <v>25</v>
      </c>
      <c r="D36" s="70"/>
      <c r="E36" s="67"/>
      <c r="G36" s="16">
        <f>SUM(G31:G34)-G35</f>
        <v>0</v>
      </c>
      <c r="H36" s="16">
        <f>SUM(H31:H34)-H35</f>
        <v>0</v>
      </c>
      <c r="I36" s="16">
        <f>SUM(I31:I34)-I35</f>
        <v>0</v>
      </c>
      <c r="J36" s="16">
        <f t="shared" ref="J36:S36" si="5">SUM(J31:J34)-J35</f>
        <v>0</v>
      </c>
      <c r="K36" s="16">
        <f t="shared" si="5"/>
        <v>0</v>
      </c>
      <c r="L36" s="16">
        <f t="shared" si="5"/>
        <v>0</v>
      </c>
      <c r="M36" s="16">
        <f t="shared" si="5"/>
        <v>0</v>
      </c>
      <c r="N36" s="16">
        <f t="shared" si="5"/>
        <v>0</v>
      </c>
      <c r="O36" s="16">
        <f t="shared" si="5"/>
        <v>0</v>
      </c>
      <c r="P36" s="16">
        <f t="shared" si="5"/>
        <v>0</v>
      </c>
      <c r="Q36" s="16">
        <f t="shared" si="5"/>
        <v>0</v>
      </c>
      <c r="R36" s="16">
        <f t="shared" si="5"/>
        <v>0</v>
      </c>
      <c r="S36" s="16">
        <f t="shared" si="5"/>
        <v>0</v>
      </c>
    </row>
    <row r="37" spans="1:19" s="9" customFormat="1" ht="15" x14ac:dyDescent="0.25">
      <c r="A37" s="49"/>
      <c r="D37" s="71"/>
      <c r="E37" s="72"/>
      <c r="F37" s="52"/>
      <c r="G37" s="52">
        <f>+G27-G35</f>
        <v>301451.61000000034</v>
      </c>
      <c r="H37" s="52">
        <f t="shared" ref="H37:S37" si="6">+H27-H35</f>
        <v>26779.380000000063</v>
      </c>
      <c r="I37" s="52">
        <f t="shared" si="6"/>
        <v>20098.709999999963</v>
      </c>
      <c r="J37" s="52">
        <f t="shared" si="6"/>
        <v>21159.430000000051</v>
      </c>
      <c r="K37" s="52">
        <f t="shared" si="6"/>
        <v>25448.550000000047</v>
      </c>
      <c r="L37" s="52">
        <f t="shared" si="6"/>
        <v>23329.299999999988</v>
      </c>
      <c r="M37" s="52">
        <f t="shared" si="6"/>
        <v>19925.410000000033</v>
      </c>
      <c r="N37" s="52">
        <f t="shared" si="6"/>
        <v>24184.51999999996</v>
      </c>
      <c r="O37" s="52">
        <f t="shared" si="6"/>
        <v>27287.759999999951</v>
      </c>
      <c r="P37" s="52">
        <f t="shared" si="6"/>
        <v>28192.799999999988</v>
      </c>
      <c r="Q37" s="52">
        <f t="shared" si="6"/>
        <v>38262.469999999972</v>
      </c>
      <c r="R37" s="52">
        <f t="shared" si="6"/>
        <v>26110.229999999923</v>
      </c>
      <c r="S37" s="52">
        <f t="shared" si="6"/>
        <v>20673.050000000047</v>
      </c>
    </row>
    <row r="38" spans="1:19" s="9" customFormat="1" ht="15.75" thickBot="1" x14ac:dyDescent="0.3">
      <c r="A38" s="49"/>
      <c r="C38" s="55"/>
      <c r="D38" s="71"/>
      <c r="E38" s="72"/>
      <c r="F38" s="53"/>
      <c r="G38" s="53">
        <f>+G37/G35</f>
        <v>8.9386836058951188E-2</v>
      </c>
      <c r="H38" s="53">
        <f t="shared" ref="H38:S38" si="7">+H37/H35</f>
        <v>9.6261827304584408E-2</v>
      </c>
      <c r="I38" s="53">
        <f t="shared" si="7"/>
        <v>7.0634504794510389E-2</v>
      </c>
      <c r="J38" s="53">
        <f t="shared" si="7"/>
        <v>7.430848664758892E-2</v>
      </c>
      <c r="K38" s="53">
        <f t="shared" si="7"/>
        <v>9.0712224929802937E-2</v>
      </c>
      <c r="L38" s="53">
        <f t="shared" si="7"/>
        <v>8.2373975511350075E-2</v>
      </c>
      <c r="M38" s="53">
        <f t="shared" si="7"/>
        <v>6.9404047630434465E-2</v>
      </c>
      <c r="N38" s="53">
        <f t="shared" si="7"/>
        <v>8.5395868996570548E-2</v>
      </c>
      <c r="O38" s="53">
        <f t="shared" si="7"/>
        <v>9.7384096274918314E-2</v>
      </c>
      <c r="P38" s="53">
        <f t="shared" si="7"/>
        <v>0.10122236758402575</v>
      </c>
      <c r="Q38" s="53">
        <f t="shared" si="7"/>
        <v>0.14245034896407183</v>
      </c>
      <c r="R38" s="53">
        <f t="shared" si="7"/>
        <v>9.3404040749845485E-2</v>
      </c>
      <c r="S38" s="53">
        <f t="shared" si="7"/>
        <v>7.2786311939204443E-2</v>
      </c>
    </row>
    <row r="39" spans="1:19" s="4" customFormat="1" ht="48" customHeight="1" x14ac:dyDescent="0.2">
      <c r="A39" s="3" t="s">
        <v>0</v>
      </c>
      <c r="B39" s="3"/>
      <c r="C39" s="35"/>
      <c r="D39" s="57"/>
      <c r="E39" s="58"/>
      <c r="F39" s="24"/>
      <c r="G39" s="79" t="s">
        <v>48</v>
      </c>
      <c r="H39" s="56">
        <v>40330</v>
      </c>
      <c r="I39" s="5">
        <v>40360</v>
      </c>
      <c r="J39" s="5">
        <v>40391</v>
      </c>
      <c r="K39" s="5">
        <v>40422</v>
      </c>
      <c r="L39" s="5">
        <v>40452</v>
      </c>
      <c r="M39" s="5">
        <v>40483</v>
      </c>
      <c r="N39" s="5">
        <v>40513</v>
      </c>
      <c r="O39" s="5">
        <v>40544</v>
      </c>
      <c r="P39" s="5">
        <v>40575</v>
      </c>
      <c r="Q39" s="5">
        <v>40603</v>
      </c>
      <c r="R39" s="5">
        <v>40634</v>
      </c>
      <c r="S39" s="5">
        <v>40664</v>
      </c>
    </row>
    <row r="40" spans="1:19" ht="23.25" x14ac:dyDescent="0.35">
      <c r="A40" s="82" t="s">
        <v>47</v>
      </c>
    </row>
    <row r="41" spans="1:19" s="8" customFormat="1" ht="15" x14ac:dyDescent="0.25">
      <c r="A41" s="81" t="s">
        <v>44</v>
      </c>
      <c r="D41" s="62"/>
      <c r="E41" s="63"/>
    </row>
    <row r="42" spans="1:19" s="13" customFormat="1" ht="15" x14ac:dyDescent="0.25">
      <c r="A42" s="13" t="s">
        <v>24</v>
      </c>
      <c r="D42" s="62"/>
      <c r="E42" s="63"/>
      <c r="G42" s="14">
        <f t="shared" ref="G42:S42" si="8">+G4+G23</f>
        <v>7901.99</v>
      </c>
      <c r="H42" s="14">
        <f t="shared" si="8"/>
        <v>394</v>
      </c>
      <c r="I42" s="14">
        <f t="shared" si="8"/>
        <v>394</v>
      </c>
      <c r="J42" s="14">
        <f t="shared" si="8"/>
        <v>394</v>
      </c>
      <c r="K42" s="14">
        <f t="shared" si="8"/>
        <v>394</v>
      </c>
      <c r="L42" s="14">
        <f t="shared" si="8"/>
        <v>433.95</v>
      </c>
      <c r="M42" s="14">
        <f t="shared" si="8"/>
        <v>979.3119999999999</v>
      </c>
      <c r="N42" s="14">
        <f t="shared" si="8"/>
        <v>1199.896</v>
      </c>
      <c r="O42" s="14">
        <f t="shared" si="8"/>
        <v>1302.5439999999999</v>
      </c>
      <c r="P42" s="14">
        <f t="shared" si="8"/>
        <v>1228.288</v>
      </c>
      <c r="Q42" s="14">
        <f t="shared" si="8"/>
        <v>394</v>
      </c>
      <c r="R42" s="14">
        <f t="shared" si="8"/>
        <v>394</v>
      </c>
      <c r="S42" s="14">
        <f t="shared" si="8"/>
        <v>394</v>
      </c>
    </row>
    <row r="43" spans="1:19" s="13" customFormat="1" ht="15" x14ac:dyDescent="0.25">
      <c r="A43" s="13" t="s">
        <v>22</v>
      </c>
      <c r="D43" s="62"/>
      <c r="E43" s="63"/>
      <c r="G43" s="14">
        <f t="shared" ref="G43:S43" si="9">+G5+G24</f>
        <v>6159880.1400000006</v>
      </c>
      <c r="H43" s="14">
        <f t="shared" si="9"/>
        <v>408259.26</v>
      </c>
      <c r="I43" s="14">
        <f t="shared" si="9"/>
        <v>404510.42</v>
      </c>
      <c r="J43" s="14">
        <f t="shared" si="9"/>
        <v>392645.26</v>
      </c>
      <c r="K43" s="14">
        <f t="shared" si="9"/>
        <v>414106.47</v>
      </c>
      <c r="L43" s="14">
        <f t="shared" si="9"/>
        <v>427284.77</v>
      </c>
      <c r="M43" s="14">
        <f t="shared" si="9"/>
        <v>574508.33000000007</v>
      </c>
      <c r="N43" s="14">
        <f t="shared" si="9"/>
        <v>693206.29999999993</v>
      </c>
      <c r="O43" s="14">
        <f t="shared" si="9"/>
        <v>875026.48999999987</v>
      </c>
      <c r="P43" s="14">
        <f t="shared" si="9"/>
        <v>721632.89999999991</v>
      </c>
      <c r="Q43" s="14">
        <f t="shared" si="9"/>
        <v>422265.88000000006</v>
      </c>
      <c r="R43" s="14">
        <f t="shared" si="9"/>
        <v>417009.20999999996</v>
      </c>
      <c r="S43" s="14">
        <f t="shared" si="9"/>
        <v>409424.85</v>
      </c>
    </row>
    <row r="44" spans="1:19" s="13" customFormat="1" ht="15" x14ac:dyDescent="0.25">
      <c r="A44" s="13" t="s">
        <v>31</v>
      </c>
      <c r="D44" s="62"/>
      <c r="E44" s="63"/>
      <c r="G44" s="14">
        <f t="shared" ref="G44:S44" si="10">+G6+G25</f>
        <v>818080.39999999991</v>
      </c>
      <c r="H44" s="14">
        <f t="shared" si="10"/>
        <v>39521.4</v>
      </c>
      <c r="I44" s="14">
        <f t="shared" si="10"/>
        <v>44562.270000000004</v>
      </c>
      <c r="J44" s="14">
        <f t="shared" si="10"/>
        <v>39922.219999999994</v>
      </c>
      <c r="K44" s="14">
        <f t="shared" si="10"/>
        <v>44418.85</v>
      </c>
      <c r="L44" s="14">
        <f t="shared" si="10"/>
        <v>47931.520000000004</v>
      </c>
      <c r="M44" s="14">
        <f t="shared" si="10"/>
        <v>87047.599999999991</v>
      </c>
      <c r="N44" s="14">
        <f t="shared" si="10"/>
        <v>108218.35</v>
      </c>
      <c r="O44" s="14">
        <f t="shared" si="10"/>
        <v>124286.73999999999</v>
      </c>
      <c r="P44" s="14">
        <f t="shared" si="10"/>
        <v>135745.70000000001</v>
      </c>
      <c r="Q44" s="14">
        <f t="shared" si="10"/>
        <v>58217.84</v>
      </c>
      <c r="R44" s="14">
        <f t="shared" si="10"/>
        <v>45690.85</v>
      </c>
      <c r="S44" s="14">
        <f t="shared" si="10"/>
        <v>42517.06</v>
      </c>
    </row>
    <row r="45" spans="1:19" s="13" customFormat="1" ht="15" x14ac:dyDescent="0.25">
      <c r="A45" s="13" t="s">
        <v>23</v>
      </c>
      <c r="D45" s="62"/>
      <c r="E45" s="63"/>
      <c r="G45" s="14">
        <f t="shared" ref="G45:S45" si="11">+G7+G26</f>
        <v>1376.64</v>
      </c>
      <c r="H45" s="14">
        <f t="shared" si="11"/>
        <v>114.72</v>
      </c>
      <c r="I45" s="14">
        <f t="shared" si="11"/>
        <v>114.72</v>
      </c>
      <c r="J45" s="14">
        <f t="shared" si="11"/>
        <v>114.72</v>
      </c>
      <c r="K45" s="14">
        <f t="shared" si="11"/>
        <v>114.72</v>
      </c>
      <c r="L45" s="14">
        <f t="shared" si="11"/>
        <v>114.72</v>
      </c>
      <c r="M45" s="14">
        <f t="shared" si="11"/>
        <v>114.72</v>
      </c>
      <c r="N45" s="14">
        <f t="shared" si="11"/>
        <v>114.72</v>
      </c>
      <c r="O45" s="14">
        <f t="shared" si="11"/>
        <v>114.72</v>
      </c>
      <c r="P45" s="14">
        <f t="shared" si="11"/>
        <v>114.72</v>
      </c>
      <c r="Q45" s="14">
        <f t="shared" si="11"/>
        <v>114.72</v>
      </c>
      <c r="R45" s="14">
        <f t="shared" si="11"/>
        <v>114.72</v>
      </c>
      <c r="S45" s="14">
        <f t="shared" si="11"/>
        <v>114.72</v>
      </c>
    </row>
    <row r="46" spans="1:19" s="11" customFormat="1" ht="15" x14ac:dyDescent="0.25">
      <c r="A46" s="10" t="s">
        <v>21</v>
      </c>
      <c r="B46" s="10"/>
      <c r="C46" s="10"/>
      <c r="D46" s="64"/>
      <c r="E46" s="65"/>
      <c r="F46" s="23"/>
      <c r="G46" s="12">
        <f t="shared" ref="G46:S46" si="12">+G8+G27</f>
        <v>6987239.1699999999</v>
      </c>
      <c r="H46" s="12">
        <f t="shared" si="12"/>
        <v>448289.37999999989</v>
      </c>
      <c r="I46" s="12">
        <f t="shared" si="12"/>
        <v>449581.40999999992</v>
      </c>
      <c r="J46" s="12">
        <f t="shared" si="12"/>
        <v>433076.2</v>
      </c>
      <c r="K46" s="12">
        <f t="shared" si="12"/>
        <v>459034.04000000004</v>
      </c>
      <c r="L46" s="12">
        <f t="shared" si="12"/>
        <v>475764.96000000008</v>
      </c>
      <c r="M46" s="12">
        <f t="shared" si="12"/>
        <v>662649.96200000006</v>
      </c>
      <c r="N46" s="12">
        <f t="shared" si="12"/>
        <v>802739.26599999995</v>
      </c>
      <c r="O46" s="12">
        <f t="shared" si="12"/>
        <v>1000730.4939999997</v>
      </c>
      <c r="P46" s="12">
        <f t="shared" si="12"/>
        <v>858721.60800000001</v>
      </c>
      <c r="Q46" s="12">
        <f t="shared" si="12"/>
        <v>480992.44000000006</v>
      </c>
      <c r="R46" s="12">
        <f t="shared" si="12"/>
        <v>463208.77999999991</v>
      </c>
      <c r="S46" s="12">
        <f t="shared" si="12"/>
        <v>452450.62999999995</v>
      </c>
    </row>
    <row r="47" spans="1:19" s="16" customFormat="1" ht="11.25" x14ac:dyDescent="0.2">
      <c r="A47" s="15" t="s">
        <v>25</v>
      </c>
      <c r="D47" s="66"/>
      <c r="E47" s="67"/>
    </row>
    <row r="48" spans="1:19" x14ac:dyDescent="0.2">
      <c r="D48" s="73"/>
      <c r="E48" s="74"/>
    </row>
    <row r="49" spans="1:19" s="8" customFormat="1" ht="15" x14ac:dyDescent="0.2">
      <c r="A49" s="48" t="s">
        <v>49</v>
      </c>
      <c r="C49" s="37"/>
      <c r="D49" s="68"/>
      <c r="E49" s="63"/>
    </row>
    <row r="50" spans="1:19" s="13" customFormat="1" ht="15" x14ac:dyDescent="0.25">
      <c r="A50" s="13" t="s">
        <v>24</v>
      </c>
      <c r="D50" s="69"/>
      <c r="E50" s="65"/>
      <c r="F50" s="14"/>
      <c r="G50" s="14">
        <f t="shared" ref="G50:S50" si="13">+G12+G31</f>
        <v>7901.99</v>
      </c>
      <c r="H50" s="14">
        <f t="shared" si="13"/>
        <v>394</v>
      </c>
      <c r="I50" s="14">
        <f t="shared" si="13"/>
        <v>394</v>
      </c>
      <c r="J50" s="14">
        <f t="shared" si="13"/>
        <v>394</v>
      </c>
      <c r="K50" s="14">
        <f t="shared" si="13"/>
        <v>394</v>
      </c>
      <c r="L50" s="14">
        <f t="shared" si="13"/>
        <v>433.95</v>
      </c>
      <c r="M50" s="14">
        <f t="shared" si="13"/>
        <v>979.3119999999999</v>
      </c>
      <c r="N50" s="14">
        <f t="shared" si="13"/>
        <v>1199.896</v>
      </c>
      <c r="O50" s="14">
        <f t="shared" si="13"/>
        <v>1302.5439999999999</v>
      </c>
      <c r="P50" s="14">
        <f t="shared" si="13"/>
        <v>1228.288</v>
      </c>
      <c r="Q50" s="14">
        <f t="shared" si="13"/>
        <v>394</v>
      </c>
      <c r="R50" s="14">
        <f t="shared" si="13"/>
        <v>394</v>
      </c>
      <c r="S50" s="14">
        <f t="shared" si="13"/>
        <v>394</v>
      </c>
    </row>
    <row r="51" spans="1:19" s="13" customFormat="1" ht="15" x14ac:dyDescent="0.25">
      <c r="A51" s="13" t="s">
        <v>22</v>
      </c>
      <c r="D51" s="69"/>
      <c r="E51" s="65"/>
      <c r="F51" s="14"/>
      <c r="G51" s="14">
        <f t="shared" ref="G51:S51" si="14">+G13+G32</f>
        <v>5885716.8100000005</v>
      </c>
      <c r="H51" s="14">
        <f t="shared" si="14"/>
        <v>385741.48000000004</v>
      </c>
      <c r="I51" s="14">
        <f t="shared" si="14"/>
        <v>382103.7</v>
      </c>
      <c r="J51" s="14">
        <f t="shared" si="14"/>
        <v>370387.87000000005</v>
      </c>
      <c r="K51" s="14">
        <f t="shared" si="14"/>
        <v>391430.62</v>
      </c>
      <c r="L51" s="14">
        <f t="shared" si="14"/>
        <v>404577.6100000001</v>
      </c>
      <c r="M51" s="14">
        <f t="shared" si="14"/>
        <v>551187.14</v>
      </c>
      <c r="N51" s="14">
        <f t="shared" si="14"/>
        <v>669746.67999999993</v>
      </c>
      <c r="O51" s="14">
        <f t="shared" si="14"/>
        <v>851453.59</v>
      </c>
      <c r="P51" s="14">
        <f t="shared" si="14"/>
        <v>698169.56</v>
      </c>
      <c r="Q51" s="14">
        <f t="shared" si="14"/>
        <v>399649.45000000007</v>
      </c>
      <c r="R51" s="14">
        <f t="shared" si="14"/>
        <v>394376.91000000003</v>
      </c>
      <c r="S51" s="14">
        <f t="shared" si="14"/>
        <v>386892.2</v>
      </c>
    </row>
    <row r="52" spans="1:19" s="13" customFormat="1" ht="15" x14ac:dyDescent="0.25">
      <c r="A52" s="13" t="s">
        <v>31</v>
      </c>
      <c r="D52" s="69"/>
      <c r="E52" s="65"/>
      <c r="F52" s="14"/>
      <c r="G52" s="14">
        <f t="shared" ref="G52:S52" si="15">+G14+G33</f>
        <v>794354.7</v>
      </c>
      <c r="H52" s="14">
        <f t="shared" si="15"/>
        <v>37677.1</v>
      </c>
      <c r="I52" s="14">
        <f t="shared" si="15"/>
        <v>42676.179999999993</v>
      </c>
      <c r="J52" s="14">
        <f t="shared" si="15"/>
        <v>38063.089999999997</v>
      </c>
      <c r="K52" s="14">
        <f t="shared" si="15"/>
        <v>42526.01</v>
      </c>
      <c r="L52" s="14">
        <f t="shared" si="15"/>
        <v>45982.100000000006</v>
      </c>
      <c r="M52" s="14">
        <f t="shared" si="15"/>
        <v>84965.38</v>
      </c>
      <c r="N52" s="14">
        <f t="shared" si="15"/>
        <v>106114.55</v>
      </c>
      <c r="O52" s="14">
        <f t="shared" si="15"/>
        <v>122183.06</v>
      </c>
      <c r="P52" s="14">
        <f t="shared" si="15"/>
        <v>133620.70000000001</v>
      </c>
      <c r="Q52" s="14">
        <f t="shared" si="15"/>
        <v>56192.869999999995</v>
      </c>
      <c r="R52" s="14">
        <f t="shared" si="15"/>
        <v>43754.18</v>
      </c>
      <c r="S52" s="14">
        <f t="shared" si="15"/>
        <v>40599.479999999996</v>
      </c>
    </row>
    <row r="53" spans="1:19" s="13" customFormat="1" ht="15" x14ac:dyDescent="0.25">
      <c r="A53" s="13" t="s">
        <v>23</v>
      </c>
      <c r="D53" s="69"/>
      <c r="E53" s="65"/>
      <c r="F53" s="14"/>
      <c r="G53" s="14">
        <f t="shared" ref="G53:S53" si="16">+G15+G34</f>
        <v>-69395.06</v>
      </c>
      <c r="H53" s="14">
        <f t="shared" si="16"/>
        <v>-7515.86</v>
      </c>
      <c r="I53" s="14">
        <f t="shared" si="16"/>
        <v>-855.86</v>
      </c>
      <c r="J53" s="14">
        <f t="shared" si="16"/>
        <v>-1836.91</v>
      </c>
      <c r="K53" s="14">
        <f t="shared" si="16"/>
        <v>-6121.04</v>
      </c>
      <c r="L53" s="14">
        <f t="shared" si="16"/>
        <v>-3967.1200000000003</v>
      </c>
      <c r="M53" s="14">
        <f t="shared" si="16"/>
        <v>-533.22</v>
      </c>
      <c r="N53" s="14">
        <f t="shared" si="16"/>
        <v>-4769</v>
      </c>
      <c r="O53" s="14">
        <f t="shared" si="16"/>
        <v>-7865.58</v>
      </c>
      <c r="P53" s="14">
        <f t="shared" si="16"/>
        <v>-8819.6200000000008</v>
      </c>
      <c r="Q53" s="14">
        <f t="shared" si="16"/>
        <v>-18879.949999999997</v>
      </c>
      <c r="R53" s="14">
        <f t="shared" si="16"/>
        <v>-6804.04</v>
      </c>
      <c r="S53" s="14">
        <f t="shared" si="16"/>
        <v>-1426.86</v>
      </c>
    </row>
    <row r="54" spans="1:19" s="11" customFormat="1" ht="15" x14ac:dyDescent="0.25">
      <c r="A54" s="10" t="s">
        <v>21</v>
      </c>
      <c r="B54" s="10"/>
      <c r="C54" s="10"/>
      <c r="D54" s="69"/>
      <c r="E54" s="65"/>
      <c r="F54" s="23"/>
      <c r="G54" s="12">
        <f t="shared" ref="G54:S54" si="17">+G16+G35</f>
        <v>6618578.4399999995</v>
      </c>
      <c r="H54" s="12">
        <f t="shared" si="17"/>
        <v>416296.71999999986</v>
      </c>
      <c r="I54" s="12">
        <f t="shared" si="17"/>
        <v>424318.0199999999</v>
      </c>
      <c r="J54" s="12">
        <f t="shared" si="17"/>
        <v>407008.04999999993</v>
      </c>
      <c r="K54" s="12">
        <f t="shared" si="17"/>
        <v>428229.58999999997</v>
      </c>
      <c r="L54" s="12">
        <f t="shared" si="17"/>
        <v>447026.54000000004</v>
      </c>
      <c r="M54" s="12">
        <f t="shared" si="17"/>
        <v>636598.61200000008</v>
      </c>
      <c r="N54" s="12">
        <f t="shared" si="17"/>
        <v>772292.12600000005</v>
      </c>
      <c r="O54" s="12">
        <f t="shared" si="17"/>
        <v>967073.61399999983</v>
      </c>
      <c r="P54" s="12">
        <f t="shared" si="17"/>
        <v>824198.92800000007</v>
      </c>
      <c r="Q54" s="12">
        <f t="shared" si="17"/>
        <v>437356.37000000011</v>
      </c>
      <c r="R54" s="12">
        <f t="shared" si="17"/>
        <v>431721.05000000005</v>
      </c>
      <c r="S54" s="12">
        <f t="shared" si="17"/>
        <v>426458.81999999995</v>
      </c>
    </row>
    <row r="55" spans="1:19" s="16" customFormat="1" ht="11.25" x14ac:dyDescent="0.2">
      <c r="A55" s="15" t="s">
        <v>25</v>
      </c>
      <c r="D55" s="70"/>
      <c r="E55" s="67"/>
      <c r="G55" s="16">
        <f>SUM(G50:G53)-G54</f>
        <v>0</v>
      </c>
      <c r="H55" s="16">
        <f>SUM(H50:H53)-H54</f>
        <v>0</v>
      </c>
      <c r="I55" s="16">
        <f>SUM(I50:I53)-I54</f>
        <v>0</v>
      </c>
      <c r="J55" s="16">
        <f t="shared" ref="J55" si="18">SUM(J50:J53)-J54</f>
        <v>0</v>
      </c>
      <c r="K55" s="16">
        <f t="shared" ref="K55" si="19">SUM(K50:K53)-K54</f>
        <v>0</v>
      </c>
      <c r="L55" s="16">
        <f t="shared" ref="L55" si="20">SUM(L50:L53)-L54</f>
        <v>0</v>
      </c>
      <c r="M55" s="16">
        <f t="shared" ref="M55" si="21">SUM(M50:M53)-M54</f>
        <v>0</v>
      </c>
      <c r="N55" s="16">
        <f t="shared" ref="N55" si="22">SUM(N50:N53)-N54</f>
        <v>0</v>
      </c>
      <c r="O55" s="16">
        <f t="shared" ref="O55" si="23">SUM(O50:O53)-O54</f>
        <v>0</v>
      </c>
      <c r="P55" s="16">
        <f t="shared" ref="P55" si="24">SUM(P50:P53)-P54</f>
        <v>0</v>
      </c>
      <c r="Q55" s="16">
        <f t="shared" ref="Q55" si="25">SUM(Q50:Q53)-Q54</f>
        <v>0</v>
      </c>
      <c r="R55" s="16">
        <f t="shared" ref="R55" si="26">SUM(R50:R53)-R54</f>
        <v>0</v>
      </c>
      <c r="S55" s="16">
        <f t="shared" ref="S55" si="27">SUM(S50:S53)-S54</f>
        <v>0</v>
      </c>
    </row>
    <row r="56" spans="1:19" s="9" customFormat="1" ht="15" x14ac:dyDescent="0.25">
      <c r="A56" s="49"/>
      <c r="D56" s="71"/>
      <c r="E56" s="72"/>
      <c r="F56" s="52"/>
      <c r="G56" s="52">
        <f>+G46-G54</f>
        <v>368660.73000000045</v>
      </c>
      <c r="H56" s="52">
        <f t="shared" ref="H56:S56" si="28">+H46-H54</f>
        <v>31992.660000000033</v>
      </c>
      <c r="I56" s="52">
        <f t="shared" si="28"/>
        <v>25263.390000000014</v>
      </c>
      <c r="J56" s="52">
        <f t="shared" si="28"/>
        <v>26068.150000000081</v>
      </c>
      <c r="K56" s="52">
        <f t="shared" si="28"/>
        <v>30804.45000000007</v>
      </c>
      <c r="L56" s="52">
        <f t="shared" si="28"/>
        <v>28738.420000000042</v>
      </c>
      <c r="M56" s="52">
        <f t="shared" si="28"/>
        <v>26051.349999999977</v>
      </c>
      <c r="N56" s="52">
        <f t="shared" si="28"/>
        <v>30447.139999999898</v>
      </c>
      <c r="O56" s="52">
        <f t="shared" si="28"/>
        <v>33656.879999999888</v>
      </c>
      <c r="P56" s="52">
        <f t="shared" si="28"/>
        <v>34522.679999999935</v>
      </c>
      <c r="Q56" s="52">
        <f t="shared" si="28"/>
        <v>43636.069999999949</v>
      </c>
      <c r="R56" s="52">
        <f t="shared" si="28"/>
        <v>31487.729999999865</v>
      </c>
      <c r="S56" s="52">
        <f t="shared" si="28"/>
        <v>25991.809999999998</v>
      </c>
    </row>
    <row r="57" spans="1:19" s="9" customFormat="1" ht="15" x14ac:dyDescent="0.25">
      <c r="A57" s="49"/>
      <c r="C57" s="55"/>
      <c r="D57" s="71"/>
      <c r="E57" s="72"/>
      <c r="F57" s="53"/>
      <c r="G57" s="53">
        <f>+G56/G54</f>
        <v>5.5700893075764542E-2</v>
      </c>
      <c r="H57" s="53">
        <f t="shared" ref="H57" si="29">+H56/H54</f>
        <v>7.685061751147125E-2</v>
      </c>
      <c r="I57" s="53">
        <f t="shared" ref="I57" si="30">+I56/I54</f>
        <v>5.9538810065148821E-2</v>
      </c>
      <c r="J57" s="53">
        <f t="shared" ref="J57" si="31">+J56/J54</f>
        <v>6.4048241797674724E-2</v>
      </c>
      <c r="K57" s="53">
        <f t="shared" ref="K57" si="32">+K56/K54</f>
        <v>7.1934426577108024E-2</v>
      </c>
      <c r="L57" s="53">
        <f t="shared" ref="L57" si="33">+L56/L54</f>
        <v>6.4287950330644883E-2</v>
      </c>
      <c r="M57" s="53">
        <f t="shared" ref="M57" si="34">+M56/M54</f>
        <v>4.0922725103271156E-2</v>
      </c>
      <c r="N57" s="53">
        <f t="shared" ref="N57" si="35">+N56/N54</f>
        <v>3.9424382270601958E-2</v>
      </c>
      <c r="O57" s="53">
        <f t="shared" ref="O57" si="36">+O56/O54</f>
        <v>3.4802810781682535E-2</v>
      </c>
      <c r="P57" s="53">
        <f t="shared" ref="P57" si="37">+P56/P54</f>
        <v>4.1886344215191613E-2</v>
      </c>
      <c r="Q57" s="53">
        <f t="shared" ref="Q57" si="38">+Q56/Q54</f>
        <v>9.9772343546750991E-2</v>
      </c>
      <c r="R57" s="53">
        <f t="shared" ref="R57" si="39">+R56/R54</f>
        <v>7.2935359533661523E-2</v>
      </c>
      <c r="S57" s="53">
        <f t="shared" ref="S57" si="40">+S56/S54</f>
        <v>6.0947994931843594E-2</v>
      </c>
    </row>
    <row r="60" spans="1:19" x14ac:dyDescent="0.2">
      <c r="G60" s="124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</row>
    <row r="61" spans="1:19" x14ac:dyDescent="0.2">
      <c r="G61" s="124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</row>
    <row r="62" spans="1:19" x14ac:dyDescent="0.2"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</row>
    <row r="63" spans="1:19" x14ac:dyDescent="0.2"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</row>
    <row r="65" spans="7:19" x14ac:dyDescent="0.2">
      <c r="G65" s="124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8" tint="-0.249977111117893"/>
  </sheetPr>
  <dimension ref="A1:V72"/>
  <sheetViews>
    <sheetView zoomScaleNormal="100" workbookViewId="0">
      <pane xSplit="1" ySplit="2" topLeftCell="B45" activePane="bottomRight" state="frozen"/>
      <selection activeCell="F26" sqref="F26"/>
      <selection pane="topRight" activeCell="F26" sqref="F26"/>
      <selection pane="bottomLeft" activeCell="F26" sqref="F26"/>
      <selection pane="bottomRight" activeCell="B65" sqref="B65"/>
    </sheetView>
  </sheetViews>
  <sheetFormatPr defaultColWidth="9.140625" defaultRowHeight="15" x14ac:dyDescent="0.25"/>
  <cols>
    <col min="1" max="1" width="32.28515625" style="111" customWidth="1"/>
    <col min="2" max="3" width="11.85546875" style="6" customWidth="1"/>
    <col min="4" max="4" width="9" style="86" customWidth="1"/>
    <col min="5" max="6" width="11.85546875" style="86" customWidth="1"/>
    <col min="7" max="7" width="9.28515625" style="86" customWidth="1"/>
    <col min="8" max="9" width="11.85546875" style="86" customWidth="1"/>
    <col min="10" max="10" width="9.42578125" style="86" customWidth="1"/>
    <col min="11" max="12" width="11.85546875" style="86" customWidth="1"/>
    <col min="13" max="13" width="9" style="86" customWidth="1"/>
    <col min="14" max="15" width="11.85546875" style="86" customWidth="1"/>
    <col min="16" max="16" width="15" style="86" customWidth="1"/>
    <col min="17" max="17" width="15.7109375" style="86" bestFit="1" customWidth="1"/>
    <col min="18" max="18" width="11.85546875" style="86" customWidth="1"/>
    <col min="19" max="19" width="8.7109375" style="86" customWidth="1"/>
    <col min="20" max="16384" width="9.140625" style="86"/>
  </cols>
  <sheetData>
    <row r="1" spans="1:19" s="87" customFormat="1" x14ac:dyDescent="0.25">
      <c r="A1" s="119"/>
      <c r="B1" s="90" t="s">
        <v>50</v>
      </c>
      <c r="C1" s="91"/>
      <c r="D1" s="92"/>
      <c r="E1" s="90" t="s">
        <v>54</v>
      </c>
      <c r="F1" s="91"/>
      <c r="G1" s="92"/>
      <c r="H1" s="90"/>
      <c r="I1" s="91"/>
      <c r="J1" s="92"/>
      <c r="K1" s="90" t="s">
        <v>55</v>
      </c>
      <c r="L1" s="91"/>
      <c r="M1" s="92"/>
      <c r="N1" s="90" t="s">
        <v>65</v>
      </c>
      <c r="O1" s="91"/>
      <c r="P1" s="92"/>
      <c r="Q1" s="90" t="s">
        <v>63</v>
      </c>
      <c r="R1" s="91"/>
      <c r="S1" s="92"/>
    </row>
    <row r="2" spans="1:19" s="87" customFormat="1" ht="15.75" thickBot="1" x14ac:dyDescent="0.3">
      <c r="A2" s="119"/>
      <c r="B2" s="93" t="s">
        <v>52</v>
      </c>
      <c r="C2" s="94" t="s">
        <v>53</v>
      </c>
      <c r="D2" s="95" t="s">
        <v>51</v>
      </c>
      <c r="E2" s="93" t="s">
        <v>52</v>
      </c>
      <c r="F2" s="94" t="s">
        <v>53</v>
      </c>
      <c r="G2" s="95" t="s">
        <v>51</v>
      </c>
      <c r="H2" s="93" t="s">
        <v>52</v>
      </c>
      <c r="I2" s="94" t="s">
        <v>53</v>
      </c>
      <c r="J2" s="95" t="s">
        <v>51</v>
      </c>
      <c r="K2" s="93" t="s">
        <v>52</v>
      </c>
      <c r="L2" s="94" t="s">
        <v>53</v>
      </c>
      <c r="M2" s="95" t="s">
        <v>51</v>
      </c>
      <c r="N2" s="93" t="s">
        <v>52</v>
      </c>
      <c r="O2" s="94" t="s">
        <v>53</v>
      </c>
      <c r="P2" s="95" t="s">
        <v>51</v>
      </c>
      <c r="Q2" s="93" t="s">
        <v>52</v>
      </c>
      <c r="R2" s="94" t="s">
        <v>53</v>
      </c>
      <c r="S2" s="95" t="s">
        <v>51</v>
      </c>
    </row>
    <row r="3" spans="1:19" s="97" customFormat="1" x14ac:dyDescent="0.25">
      <c r="A3" s="120" t="s">
        <v>58</v>
      </c>
      <c r="B3" s="211"/>
      <c r="C3" s="211"/>
      <c r="D3" s="212"/>
      <c r="E3" s="98"/>
      <c r="F3" s="98"/>
      <c r="G3" s="99"/>
      <c r="H3" s="98"/>
      <c r="I3" s="98"/>
      <c r="J3" s="99"/>
      <c r="K3" s="98"/>
      <c r="L3" s="98"/>
      <c r="M3" s="99"/>
      <c r="N3" s="98"/>
      <c r="O3" s="98"/>
      <c r="P3" s="99"/>
      <c r="Q3" s="98"/>
      <c r="R3" s="98"/>
      <c r="S3" s="99"/>
    </row>
    <row r="4" spans="1:19" s="97" customFormat="1" x14ac:dyDescent="0.25">
      <c r="A4" s="121" t="s">
        <v>56</v>
      </c>
      <c r="B4" s="98"/>
      <c r="C4" s="98"/>
      <c r="D4" s="99"/>
      <c r="E4" s="98"/>
      <c r="F4" s="98"/>
      <c r="G4" s="99"/>
      <c r="H4" s="98"/>
      <c r="I4" s="98"/>
      <c r="J4" s="99"/>
      <c r="K4" s="98"/>
      <c r="L4" s="98"/>
      <c r="M4" s="99"/>
      <c r="N4" s="98"/>
      <c r="O4" s="98"/>
      <c r="P4" s="99"/>
      <c r="Q4" s="98"/>
      <c r="R4" s="98"/>
      <c r="S4" s="99"/>
    </row>
    <row r="5" spans="1:19" s="97" customFormat="1" x14ac:dyDescent="0.25">
      <c r="A5" s="121"/>
      <c r="B5" s="98"/>
      <c r="C5" s="98"/>
      <c r="D5" s="99"/>
      <c r="E5" s="98"/>
      <c r="F5" s="98"/>
      <c r="G5" s="99"/>
      <c r="H5" s="98"/>
      <c r="I5" s="98"/>
      <c r="J5" s="99"/>
      <c r="K5" s="98"/>
      <c r="L5" s="98"/>
      <c r="M5" s="99"/>
      <c r="N5" s="98"/>
      <c r="O5" s="98"/>
      <c r="P5" s="99"/>
      <c r="Q5" s="98"/>
      <c r="R5" s="98"/>
      <c r="S5" s="99"/>
    </row>
    <row r="6" spans="1:19" x14ac:dyDescent="0.25">
      <c r="A6" s="111" t="str">
        <f>+'Model CONSUMPTION'!A7</f>
        <v>Rate 1100 : Water - EASTWOOD PARK</v>
      </c>
      <c r="B6" s="6">
        <v>31</v>
      </c>
      <c r="C6" s="89">
        <f>B6+(B6*0)</f>
        <v>31</v>
      </c>
      <c r="D6" s="88">
        <f t="shared" ref="D6" si="0">IF(B6&gt;0,(+C6-B6)/B6,0)</f>
        <v>0</v>
      </c>
      <c r="E6" s="195">
        <v>0.01</v>
      </c>
      <c r="F6" s="197">
        <f>E6+(E6*0.06)</f>
        <v>1.06E-2</v>
      </c>
      <c r="G6" s="88">
        <f t="shared" ref="G6" si="1">IF(E6&gt;0,(+F6-E6)/E6,0)</f>
        <v>5.9999999999999984E-2</v>
      </c>
      <c r="H6" s="86">
        <v>1.2500000000000001E-2</v>
      </c>
      <c r="I6" s="197">
        <f>H6+(H6*0)</f>
        <v>1.2500000000000001E-2</v>
      </c>
      <c r="J6" s="88">
        <f t="shared" ref="J6" si="2">IF(H6&gt;0,(+I6-H6)/H6,0)</f>
        <v>0</v>
      </c>
      <c r="K6" s="196">
        <v>1.6E-2</v>
      </c>
      <c r="L6" s="197">
        <f>K6+(K6*0)</f>
        <v>1.6E-2</v>
      </c>
      <c r="M6" s="88">
        <f t="shared" ref="M6" si="3">IF(K6&gt;0,(+L6-K6)/K6,0)</f>
        <v>0</v>
      </c>
      <c r="O6" s="96"/>
      <c r="P6" s="88"/>
      <c r="R6" s="96"/>
      <c r="S6" s="88"/>
    </row>
    <row r="7" spans="1:19" x14ac:dyDescent="0.25">
      <c r="A7" s="201" t="s">
        <v>108</v>
      </c>
      <c r="B7" s="202">
        <v>14.9</v>
      </c>
      <c r="C7" s="203">
        <v>15.9</v>
      </c>
      <c r="D7" s="204">
        <f t="shared" ref="D7" si="4">IF(B7&gt;0,(+C7-B7)/B7,0)</f>
        <v>6.7114093959731544E-2</v>
      </c>
      <c r="E7" s="205">
        <v>0.01</v>
      </c>
      <c r="F7" s="206">
        <f t="shared" ref="F7:F13" si="5">E7+(E7*0.06)</f>
        <v>1.06E-2</v>
      </c>
      <c r="G7" s="204">
        <f t="shared" ref="G7" si="6">IF(E7&gt;0,(+F7-E7)/E7,0)</f>
        <v>5.9999999999999984E-2</v>
      </c>
      <c r="H7" s="207">
        <v>1.15E-2</v>
      </c>
      <c r="I7" s="206">
        <f>H7+(H7*0)</f>
        <v>1.15E-2</v>
      </c>
      <c r="J7" s="204">
        <f t="shared" ref="J7" si="7">IF(H7&gt;0,(+I7-H7)/H7,0)</f>
        <v>0</v>
      </c>
      <c r="K7" s="208">
        <v>0.05</v>
      </c>
      <c r="L7" s="206">
        <f>K7+(K7*0)</f>
        <v>0.05</v>
      </c>
      <c r="M7" s="204">
        <f t="shared" ref="M7" si="8">IF(K7&gt;0,(+L7-K7)/K7,0)</f>
        <v>0</v>
      </c>
      <c r="O7" s="96"/>
      <c r="P7" s="88"/>
      <c r="R7" s="96"/>
      <c r="S7" s="88"/>
    </row>
    <row r="8" spans="1:19" x14ac:dyDescent="0.25">
      <c r="A8" s="111" t="str">
        <f>+'Model CONSUMPTION'!A13</f>
        <v>Rate 1105 : Water - RES METER 3/4 IN</v>
      </c>
      <c r="B8" s="6">
        <v>14.9</v>
      </c>
      <c r="C8" s="89">
        <v>15.9</v>
      </c>
      <c r="D8" s="88">
        <f t="shared" ref="D8:D12" si="9">IF(B8&gt;0,(+C8-B8)/B8,0)</f>
        <v>6.7114093959731544E-2</v>
      </c>
      <c r="E8" s="195">
        <v>0.01</v>
      </c>
      <c r="F8" s="197">
        <f t="shared" si="5"/>
        <v>1.06E-2</v>
      </c>
      <c r="G8" s="88">
        <f t="shared" ref="G8:G12" si="10">IF(E8&gt;0,(+F8-E8)/E8,0)</f>
        <v>5.9999999999999984E-2</v>
      </c>
      <c r="H8" s="86">
        <v>1.15E-2</v>
      </c>
      <c r="I8" s="197">
        <f t="shared" ref="I8:I13" si="11">H8+(H8*0)</f>
        <v>1.15E-2</v>
      </c>
      <c r="J8" s="88">
        <f t="shared" ref="J8:J12" si="12">IF(H8&gt;0,(+I8-H8)/H8,0)</f>
        <v>0</v>
      </c>
      <c r="K8" s="86">
        <v>2.4199999999999999E-2</v>
      </c>
      <c r="L8" s="197">
        <f t="shared" ref="L8:L13" si="13">K8+(K8*0)</f>
        <v>2.4199999999999999E-2</v>
      </c>
      <c r="M8" s="88">
        <f t="shared" ref="M8:M12" si="14">IF(K8&gt;0,(+L8-K8)/K8,0)</f>
        <v>0</v>
      </c>
      <c r="O8" s="96"/>
      <c r="P8" s="88"/>
      <c r="R8" s="96"/>
      <c r="S8" s="88"/>
    </row>
    <row r="9" spans="1:19" x14ac:dyDescent="0.25">
      <c r="A9" s="111" t="str">
        <f>+'Model CONSUMPTION'!A16</f>
        <v>Rate 1110 : Water - RES MTER 1 IN</v>
      </c>
      <c r="B9" s="6">
        <v>24.83</v>
      </c>
      <c r="C9" s="89">
        <v>26.5</v>
      </c>
      <c r="D9" s="88">
        <f t="shared" si="9"/>
        <v>6.7257349979863143E-2</v>
      </c>
      <c r="E9" s="195">
        <v>0.01</v>
      </c>
      <c r="F9" s="197">
        <f t="shared" si="5"/>
        <v>1.06E-2</v>
      </c>
      <c r="G9" s="88">
        <f t="shared" si="10"/>
        <v>5.9999999999999984E-2</v>
      </c>
      <c r="H9" s="86">
        <v>1.15E-2</v>
      </c>
      <c r="I9" s="197">
        <f t="shared" si="11"/>
        <v>1.15E-2</v>
      </c>
      <c r="J9" s="88">
        <f t="shared" si="12"/>
        <v>0</v>
      </c>
      <c r="K9" s="86">
        <v>2.4199999999999999E-2</v>
      </c>
      <c r="L9" s="197">
        <f t="shared" si="13"/>
        <v>2.4199999999999999E-2</v>
      </c>
      <c r="M9" s="88">
        <f t="shared" si="14"/>
        <v>0</v>
      </c>
      <c r="O9" s="96"/>
      <c r="P9" s="88"/>
      <c r="R9" s="96"/>
      <c r="S9" s="88"/>
    </row>
    <row r="10" spans="1:19" x14ac:dyDescent="0.25">
      <c r="A10" s="201" t="s">
        <v>106</v>
      </c>
      <c r="B10" s="202">
        <v>24.83</v>
      </c>
      <c r="C10" s="203">
        <v>26.5</v>
      </c>
      <c r="D10" s="204">
        <f t="shared" si="9"/>
        <v>6.7257349979863143E-2</v>
      </c>
      <c r="E10" s="205">
        <v>0.01</v>
      </c>
      <c r="F10" s="206">
        <f t="shared" si="5"/>
        <v>1.06E-2</v>
      </c>
      <c r="G10" s="204">
        <f t="shared" si="10"/>
        <v>5.9999999999999984E-2</v>
      </c>
      <c r="H10" s="207">
        <v>1.15E-2</v>
      </c>
      <c r="I10" s="206">
        <f>H10+(H10*0)</f>
        <v>1.15E-2</v>
      </c>
      <c r="J10" s="204">
        <f t="shared" si="12"/>
        <v>0</v>
      </c>
      <c r="K10" s="208">
        <v>0.05</v>
      </c>
      <c r="L10" s="206">
        <f>K10+(K10*0)</f>
        <v>0.05</v>
      </c>
      <c r="M10" s="204">
        <f t="shared" si="14"/>
        <v>0</v>
      </c>
      <c r="O10" s="96"/>
      <c r="P10" s="88"/>
      <c r="R10" s="96"/>
      <c r="S10" s="88"/>
    </row>
    <row r="11" spans="1:19" x14ac:dyDescent="0.25">
      <c r="A11" s="111" t="str">
        <f>+'Model CONSUMPTION'!A22</f>
        <v>Rate 1115 : Water - RES METER 1-1/2 IN</v>
      </c>
      <c r="B11" s="6">
        <v>49.67</v>
      </c>
      <c r="C11" s="89">
        <v>53</v>
      </c>
      <c r="D11" s="88">
        <f t="shared" si="9"/>
        <v>6.7042480370444898E-2</v>
      </c>
      <c r="E11" s="195">
        <v>0.01</v>
      </c>
      <c r="F11" s="197">
        <f t="shared" si="5"/>
        <v>1.06E-2</v>
      </c>
      <c r="G11" s="88">
        <f t="shared" si="10"/>
        <v>5.9999999999999984E-2</v>
      </c>
      <c r="H11" s="86">
        <v>1.15E-2</v>
      </c>
      <c r="I11" s="197">
        <f t="shared" si="11"/>
        <v>1.15E-2</v>
      </c>
      <c r="J11" s="88">
        <f t="shared" si="12"/>
        <v>0</v>
      </c>
      <c r="K11" s="86">
        <v>2.4199999999999999E-2</v>
      </c>
      <c r="L11" s="197">
        <f t="shared" si="13"/>
        <v>2.4199999999999999E-2</v>
      </c>
      <c r="M11" s="88">
        <f t="shared" si="14"/>
        <v>0</v>
      </c>
      <c r="O11" s="96"/>
      <c r="P11" s="88"/>
      <c r="R11" s="96"/>
      <c r="S11" s="88"/>
    </row>
    <row r="12" spans="1:19" x14ac:dyDescent="0.25">
      <c r="A12" s="111" t="str">
        <f>+'Model CONSUMPTION'!A25</f>
        <v>Rate 1120 : Water - RES METER 2 IN</v>
      </c>
      <c r="B12" s="6">
        <v>79.47</v>
      </c>
      <c r="C12" s="89">
        <v>84.8</v>
      </c>
      <c r="D12" s="88">
        <f t="shared" si="9"/>
        <v>6.7069334340002493E-2</v>
      </c>
      <c r="E12" s="195">
        <v>0.01</v>
      </c>
      <c r="F12" s="197">
        <f t="shared" si="5"/>
        <v>1.06E-2</v>
      </c>
      <c r="G12" s="88">
        <f t="shared" si="10"/>
        <v>5.9999999999999984E-2</v>
      </c>
      <c r="H12" s="86">
        <v>1.15E-2</v>
      </c>
      <c r="I12" s="197">
        <f t="shared" si="11"/>
        <v>1.15E-2</v>
      </c>
      <c r="J12" s="88">
        <f t="shared" si="12"/>
        <v>0</v>
      </c>
      <c r="K12" s="86">
        <v>2.4199999999999999E-2</v>
      </c>
      <c r="L12" s="197">
        <f t="shared" si="13"/>
        <v>2.4199999999999999E-2</v>
      </c>
      <c r="M12" s="88">
        <f t="shared" si="14"/>
        <v>0</v>
      </c>
      <c r="O12" s="96"/>
      <c r="P12" s="88"/>
      <c r="R12" s="96"/>
      <c r="S12" s="88"/>
    </row>
    <row r="13" spans="1:19" x14ac:dyDescent="0.25">
      <c r="A13" s="111" t="str">
        <f>+'Model CONSUMPTION'!A28</f>
        <v>Rate 1140 : Water - RES METER 4 IN</v>
      </c>
      <c r="B13" s="6">
        <v>248.33</v>
      </c>
      <c r="C13" s="89">
        <v>265</v>
      </c>
      <c r="D13" s="88">
        <f t="shared" ref="D13" si="15">IF(B13&gt;0,(+C13-B13)/B13,0)</f>
        <v>6.7128417831111772E-2</v>
      </c>
      <c r="E13" s="195">
        <v>0.01</v>
      </c>
      <c r="F13" s="197">
        <f t="shared" si="5"/>
        <v>1.06E-2</v>
      </c>
      <c r="G13" s="88">
        <f t="shared" ref="G13" si="16">IF(E13&gt;0,(+F13-E13)/E13,0)</f>
        <v>5.9999999999999984E-2</v>
      </c>
      <c r="H13" s="86">
        <v>1.15E-2</v>
      </c>
      <c r="I13" s="197">
        <f t="shared" si="11"/>
        <v>1.15E-2</v>
      </c>
      <c r="J13" s="88">
        <f t="shared" ref="J13" si="17">IF(H13&gt;0,(+I13-H13)/H13,0)</f>
        <v>0</v>
      </c>
      <c r="K13" s="86">
        <v>2.4199999999999999E-2</v>
      </c>
      <c r="L13" s="197">
        <f t="shared" si="13"/>
        <v>2.4199999999999999E-2</v>
      </c>
      <c r="M13" s="88">
        <f t="shared" ref="M13" si="18">IF(K13&gt;0,(+L13-K13)/K13,0)</f>
        <v>0</v>
      </c>
      <c r="O13" s="96"/>
      <c r="P13" s="88"/>
      <c r="R13" s="96"/>
      <c r="S13" s="88"/>
    </row>
    <row r="14" spans="1:19" x14ac:dyDescent="0.25">
      <c r="C14" s="100"/>
      <c r="D14" s="101"/>
      <c r="E14" s="102"/>
      <c r="F14" s="102"/>
      <c r="G14" s="101"/>
      <c r="H14" s="102"/>
      <c r="I14" s="198"/>
      <c r="J14" s="101"/>
      <c r="K14" s="102"/>
      <c r="L14" s="198"/>
      <c r="M14" s="101"/>
      <c r="N14" s="102"/>
      <c r="O14" s="102"/>
      <c r="P14" s="101"/>
      <c r="Q14" s="102"/>
      <c r="R14" s="102"/>
      <c r="S14" s="101"/>
    </row>
    <row r="15" spans="1:19" s="97" customFormat="1" x14ac:dyDescent="0.25">
      <c r="A15" s="120" t="s">
        <v>59</v>
      </c>
      <c r="B15" s="98"/>
      <c r="C15" s="98"/>
      <c r="D15" s="99"/>
      <c r="E15" s="98"/>
      <c r="F15" s="98"/>
      <c r="G15" s="99"/>
      <c r="H15" s="98"/>
      <c r="I15" s="199"/>
      <c r="J15" s="99"/>
      <c r="K15" s="98"/>
      <c r="L15" s="199"/>
      <c r="M15" s="99"/>
      <c r="N15" s="98"/>
      <c r="O15" s="98"/>
      <c r="P15" s="99"/>
      <c r="Q15" s="98"/>
      <c r="R15" s="98"/>
      <c r="S15" s="99"/>
    </row>
    <row r="16" spans="1:19" s="97" customFormat="1" x14ac:dyDescent="0.25">
      <c r="A16" s="121" t="s">
        <v>56</v>
      </c>
      <c r="B16" s="98"/>
      <c r="C16" s="98"/>
      <c r="D16" s="99"/>
      <c r="E16" s="98"/>
      <c r="F16" s="98"/>
      <c r="G16" s="99"/>
      <c r="H16" s="98"/>
      <c r="I16" s="199"/>
      <c r="J16" s="99"/>
      <c r="K16" s="98"/>
      <c r="L16" s="199"/>
      <c r="M16" s="99"/>
      <c r="N16" s="98"/>
      <c r="O16" s="98"/>
      <c r="P16" s="99"/>
      <c r="Q16" s="98"/>
      <c r="R16" s="98"/>
      <c r="S16" s="99"/>
    </row>
    <row r="17" spans="1:19" x14ac:dyDescent="0.25">
      <c r="A17" s="111" t="str">
        <f>+'Model CONSUMPTION'!A31</f>
        <v>Rate 1205 : Water - NON RES METER 3/4 IN</v>
      </c>
      <c r="B17" s="6">
        <v>14.9</v>
      </c>
      <c r="C17" s="89">
        <v>15.9</v>
      </c>
      <c r="D17" s="88">
        <f t="shared" ref="D17:D23" si="19">IF(B17&gt;0,(+C17-B17)/B17,0)</f>
        <v>6.7114093959731544E-2</v>
      </c>
      <c r="E17" s="195">
        <v>0.01</v>
      </c>
      <c r="F17" s="197">
        <f t="shared" ref="F17:F23" si="20">E17+(E17*0.06)</f>
        <v>1.06E-2</v>
      </c>
      <c r="G17" s="88">
        <f t="shared" ref="G17:G23" si="21">IF(E17&gt;0,(+F17-E17)/E17,0)</f>
        <v>5.9999999999999984E-2</v>
      </c>
      <c r="H17" s="86">
        <v>1.15E-2</v>
      </c>
      <c r="I17" s="197">
        <f t="shared" ref="I17:I23" si="22">H17+(H17*0)</f>
        <v>1.15E-2</v>
      </c>
      <c r="J17" s="88">
        <f t="shared" ref="J17:J23" si="23">IF(H17&gt;0,(+I17-H17)/H17,0)</f>
        <v>0</v>
      </c>
      <c r="K17" s="86">
        <v>2.4199999999999999E-2</v>
      </c>
      <c r="L17" s="197">
        <f t="shared" ref="L17:L23" si="24">K17+(K17*0)</f>
        <v>2.4199999999999999E-2</v>
      </c>
      <c r="M17" s="88">
        <f t="shared" ref="M17:M23" si="25">IF(K17&gt;0,(+L17-K17)/K17,0)</f>
        <v>0</v>
      </c>
      <c r="O17" s="96"/>
      <c r="P17" s="88"/>
      <c r="R17" s="96"/>
      <c r="S17" s="88"/>
    </row>
    <row r="18" spans="1:19" x14ac:dyDescent="0.25">
      <c r="A18" s="111" t="str">
        <f>+'Model CONSUMPTION'!A34</f>
        <v>Rate 1210 : Water - NON RES METER 1 IN</v>
      </c>
      <c r="B18" s="6">
        <v>24.83</v>
      </c>
      <c r="C18" s="89">
        <v>26.5</v>
      </c>
      <c r="D18" s="88">
        <f t="shared" si="19"/>
        <v>6.7257349979863143E-2</v>
      </c>
      <c r="E18" s="195">
        <v>0.01</v>
      </c>
      <c r="F18" s="197">
        <f t="shared" si="20"/>
        <v>1.06E-2</v>
      </c>
      <c r="G18" s="88">
        <f t="shared" si="21"/>
        <v>5.9999999999999984E-2</v>
      </c>
      <c r="H18" s="86">
        <v>1.15E-2</v>
      </c>
      <c r="I18" s="197">
        <f t="shared" si="22"/>
        <v>1.15E-2</v>
      </c>
      <c r="J18" s="88">
        <f t="shared" si="23"/>
        <v>0</v>
      </c>
      <c r="K18" s="86">
        <v>2.4199999999999999E-2</v>
      </c>
      <c r="L18" s="197">
        <f t="shared" si="24"/>
        <v>2.4199999999999999E-2</v>
      </c>
      <c r="M18" s="88">
        <f t="shared" si="25"/>
        <v>0</v>
      </c>
      <c r="O18" s="96"/>
      <c r="P18" s="88"/>
      <c r="R18" s="96"/>
      <c r="S18" s="88"/>
    </row>
    <row r="19" spans="1:19" x14ac:dyDescent="0.25">
      <c r="A19" s="111" t="str">
        <f>+'Model CONSUMPTION'!A37</f>
        <v>Rate 1215 : Water - NON RES METER 1-1/2 IN</v>
      </c>
      <c r="B19" s="6">
        <v>49.67</v>
      </c>
      <c r="C19" s="89">
        <v>53</v>
      </c>
      <c r="D19" s="88">
        <f t="shared" si="19"/>
        <v>6.7042480370444898E-2</v>
      </c>
      <c r="E19" s="195">
        <v>0.01</v>
      </c>
      <c r="F19" s="197">
        <f t="shared" si="20"/>
        <v>1.06E-2</v>
      </c>
      <c r="G19" s="88">
        <f t="shared" si="21"/>
        <v>5.9999999999999984E-2</v>
      </c>
      <c r="H19" s="86">
        <v>1.15E-2</v>
      </c>
      <c r="I19" s="197">
        <f t="shared" si="22"/>
        <v>1.15E-2</v>
      </c>
      <c r="J19" s="88">
        <f t="shared" si="23"/>
        <v>0</v>
      </c>
      <c r="K19" s="86">
        <v>2.4199999999999999E-2</v>
      </c>
      <c r="L19" s="197">
        <f t="shared" si="24"/>
        <v>2.4199999999999999E-2</v>
      </c>
      <c r="M19" s="88">
        <f t="shared" si="25"/>
        <v>0</v>
      </c>
      <c r="O19" s="96"/>
      <c r="P19" s="88"/>
      <c r="R19" s="96"/>
      <c r="S19" s="88"/>
    </row>
    <row r="20" spans="1:19" x14ac:dyDescent="0.25">
      <c r="A20" s="111" t="str">
        <f>+'Model CONSUMPTION'!A40</f>
        <v>Rate 1220 : Water - NON RES METER 2 IN</v>
      </c>
      <c r="B20" s="6">
        <v>79.47</v>
      </c>
      <c r="C20" s="89">
        <v>84.8</v>
      </c>
      <c r="D20" s="88">
        <f t="shared" si="19"/>
        <v>6.7069334340002493E-2</v>
      </c>
      <c r="E20" s="195">
        <v>0.01</v>
      </c>
      <c r="F20" s="197">
        <f t="shared" si="20"/>
        <v>1.06E-2</v>
      </c>
      <c r="G20" s="88">
        <f t="shared" si="21"/>
        <v>5.9999999999999984E-2</v>
      </c>
      <c r="H20" s="86">
        <v>1.15E-2</v>
      </c>
      <c r="I20" s="197">
        <f t="shared" si="22"/>
        <v>1.15E-2</v>
      </c>
      <c r="J20" s="88">
        <f t="shared" si="23"/>
        <v>0</v>
      </c>
      <c r="K20" s="86">
        <v>2.4199999999999999E-2</v>
      </c>
      <c r="L20" s="197">
        <f t="shared" si="24"/>
        <v>2.4199999999999999E-2</v>
      </c>
      <c r="M20" s="88">
        <f t="shared" si="25"/>
        <v>0</v>
      </c>
      <c r="O20" s="96"/>
      <c r="P20" s="88"/>
      <c r="R20" s="96"/>
      <c r="S20" s="88"/>
    </row>
    <row r="21" spans="1:19" x14ac:dyDescent="0.25">
      <c r="A21" s="111" t="str">
        <f>+'Model CONSUMPTION'!A43</f>
        <v>Rate 1230 : Water - NON RES METER 3 IN</v>
      </c>
      <c r="B21" s="6">
        <v>149</v>
      </c>
      <c r="C21" s="89">
        <v>159</v>
      </c>
      <c r="D21" s="88">
        <f t="shared" si="19"/>
        <v>6.7114093959731544E-2</v>
      </c>
      <c r="E21" s="195">
        <v>0.01</v>
      </c>
      <c r="F21" s="197">
        <f t="shared" si="20"/>
        <v>1.06E-2</v>
      </c>
      <c r="G21" s="88">
        <f t="shared" si="21"/>
        <v>5.9999999999999984E-2</v>
      </c>
      <c r="H21" s="86">
        <v>1.15E-2</v>
      </c>
      <c r="I21" s="197">
        <f t="shared" si="22"/>
        <v>1.15E-2</v>
      </c>
      <c r="J21" s="88">
        <f t="shared" si="23"/>
        <v>0</v>
      </c>
      <c r="K21" s="86">
        <v>2.4199999999999999E-2</v>
      </c>
      <c r="L21" s="197">
        <f t="shared" si="24"/>
        <v>2.4199999999999999E-2</v>
      </c>
      <c r="M21" s="88">
        <f t="shared" si="25"/>
        <v>0</v>
      </c>
      <c r="O21" s="96"/>
      <c r="P21" s="88"/>
      <c r="R21" s="96"/>
      <c r="S21" s="88"/>
    </row>
    <row r="22" spans="1:19" x14ac:dyDescent="0.25">
      <c r="A22" s="111" t="str">
        <f>+'Model CONSUMPTION'!A46</f>
        <v>Rate 1240 : Water - NON RES METER 4 IN</v>
      </c>
      <c r="B22" s="6">
        <v>248.33</v>
      </c>
      <c r="C22" s="89">
        <v>265</v>
      </c>
      <c r="D22" s="88">
        <f t="shared" si="19"/>
        <v>6.7128417831111772E-2</v>
      </c>
      <c r="E22" s="195">
        <v>0.01</v>
      </c>
      <c r="F22" s="197">
        <f t="shared" si="20"/>
        <v>1.06E-2</v>
      </c>
      <c r="G22" s="88">
        <f t="shared" si="21"/>
        <v>5.9999999999999984E-2</v>
      </c>
      <c r="H22" s="86">
        <v>1.15E-2</v>
      </c>
      <c r="I22" s="197">
        <f t="shared" si="22"/>
        <v>1.15E-2</v>
      </c>
      <c r="J22" s="88">
        <f t="shared" si="23"/>
        <v>0</v>
      </c>
      <c r="K22" s="86">
        <v>2.4199999999999999E-2</v>
      </c>
      <c r="L22" s="197">
        <f t="shared" si="24"/>
        <v>2.4199999999999999E-2</v>
      </c>
      <c r="M22" s="88">
        <f t="shared" si="25"/>
        <v>0</v>
      </c>
      <c r="O22" s="96"/>
      <c r="P22" s="88"/>
      <c r="R22" s="96"/>
      <c r="S22" s="88"/>
    </row>
    <row r="23" spans="1:19" x14ac:dyDescent="0.25">
      <c r="A23" s="111" t="str">
        <f>+'Model CONSUMPTION'!A49</f>
        <v>Rate 1260 : Water - NON RES METER 6 IN</v>
      </c>
      <c r="B23" s="6">
        <v>496.67</v>
      </c>
      <c r="C23" s="89">
        <v>530</v>
      </c>
      <c r="D23" s="88">
        <f t="shared" si="19"/>
        <v>6.7106932168240443E-2</v>
      </c>
      <c r="E23" s="195">
        <v>0.01</v>
      </c>
      <c r="F23" s="197">
        <f t="shared" si="20"/>
        <v>1.06E-2</v>
      </c>
      <c r="G23" s="88">
        <f t="shared" si="21"/>
        <v>5.9999999999999984E-2</v>
      </c>
      <c r="H23" s="86">
        <v>1.15E-2</v>
      </c>
      <c r="I23" s="197">
        <f t="shared" si="22"/>
        <v>1.15E-2</v>
      </c>
      <c r="J23" s="88">
        <f t="shared" si="23"/>
        <v>0</v>
      </c>
      <c r="K23" s="86">
        <v>2.4199999999999999E-2</v>
      </c>
      <c r="L23" s="197">
        <f t="shared" si="24"/>
        <v>2.4199999999999999E-2</v>
      </c>
      <c r="M23" s="88">
        <f t="shared" si="25"/>
        <v>0</v>
      </c>
      <c r="O23" s="96"/>
      <c r="P23" s="88"/>
      <c r="R23" s="96"/>
      <c r="S23" s="88"/>
    </row>
    <row r="24" spans="1:19" x14ac:dyDescent="0.25">
      <c r="C24" s="89"/>
      <c r="D24" s="88"/>
      <c r="F24" s="96"/>
      <c r="G24" s="88"/>
      <c r="I24" s="96"/>
      <c r="J24" s="88"/>
      <c r="L24" s="96"/>
      <c r="M24" s="88"/>
      <c r="O24" s="96"/>
      <c r="P24" s="88"/>
      <c r="R24" s="96"/>
      <c r="S24" s="88"/>
    </row>
    <row r="25" spans="1:19" s="97" customFormat="1" x14ac:dyDescent="0.25">
      <c r="A25" s="120" t="s">
        <v>60</v>
      </c>
      <c r="B25" s="98"/>
      <c r="C25" s="98"/>
      <c r="D25" s="99"/>
      <c r="E25" s="98"/>
      <c r="F25" s="98"/>
      <c r="G25" s="99"/>
      <c r="H25" s="98"/>
      <c r="I25" s="98"/>
      <c r="J25" s="99"/>
      <c r="K25" s="98"/>
      <c r="L25" s="98"/>
      <c r="M25" s="99"/>
      <c r="N25" s="98"/>
      <c r="O25" s="98"/>
      <c r="P25" s="99"/>
      <c r="Q25" s="98"/>
      <c r="R25" s="98"/>
      <c r="S25" s="99"/>
    </row>
    <row r="26" spans="1:19" s="97" customFormat="1" x14ac:dyDescent="0.25">
      <c r="A26" s="121" t="s">
        <v>56</v>
      </c>
      <c r="B26" s="98"/>
      <c r="C26" s="98"/>
      <c r="D26" s="99"/>
      <c r="E26" s="98"/>
      <c r="F26" s="98"/>
      <c r="G26" s="99"/>
      <c r="H26" s="98"/>
      <c r="I26" s="98"/>
      <c r="J26" s="99"/>
      <c r="K26" s="98"/>
      <c r="L26" s="98"/>
      <c r="M26" s="99"/>
      <c r="N26" s="98"/>
      <c r="O26" s="98"/>
      <c r="P26" s="99"/>
      <c r="Q26" s="98"/>
      <c r="R26" s="98"/>
      <c r="S26" s="99"/>
    </row>
    <row r="27" spans="1:19" x14ac:dyDescent="0.25">
      <c r="A27" s="111" t="str">
        <f>+'Model CONSUMPTION'!A5</f>
        <v>Rate 0275 : Water METERED - FIRGROVE FALL</v>
      </c>
      <c r="B27" s="6">
        <v>394</v>
      </c>
      <c r="C27" s="89">
        <f>B27+(B27*0)</f>
        <v>394</v>
      </c>
      <c r="D27" s="88">
        <f t="shared" ref="D27" si="26">IF(B27&gt;0,(+C27-B27)/B27,0)</f>
        <v>0</v>
      </c>
      <c r="E27" s="86">
        <v>0</v>
      </c>
      <c r="F27" s="197">
        <f t="shared" ref="F27:F30" si="27">E27+(E27*0)</f>
        <v>0</v>
      </c>
      <c r="G27" s="88">
        <f t="shared" ref="G27" si="28">IF(E27&gt;0,(+F27-E27)/E27,0)</f>
        <v>0</v>
      </c>
      <c r="H27" s="213">
        <v>8.5000000000000006E-3</v>
      </c>
      <c r="I27" s="197">
        <f t="shared" ref="I27:I30" si="29">H27+(H27*0)</f>
        <v>8.5000000000000006E-3</v>
      </c>
      <c r="J27" s="88">
        <f t="shared" ref="J27:J28" si="30">IF(H27&gt;0,(+I27-H27)/H27,0)</f>
        <v>0</v>
      </c>
      <c r="K27" s="213">
        <v>0.05</v>
      </c>
      <c r="L27" s="197">
        <f t="shared" ref="L27:L30" si="31">K27+(K27*0)</f>
        <v>0.05</v>
      </c>
      <c r="M27" s="88">
        <f t="shared" ref="M27" si="32">IF(K27&gt;0,(+L27-K27)/K27,0)</f>
        <v>0</v>
      </c>
      <c r="O27" s="96"/>
      <c r="P27" s="88"/>
      <c r="R27" s="96"/>
      <c r="S27" s="88"/>
    </row>
    <row r="28" spans="1:19" x14ac:dyDescent="0.25">
      <c r="A28" s="111" t="str">
        <f>+'Model CONSUMPTION'!A6</f>
        <v>Rate 0276 : Water METERED - FIRGROVE SPRING</v>
      </c>
      <c r="B28" s="6">
        <v>394</v>
      </c>
      <c r="C28" s="89">
        <f t="shared" ref="C28:C29" si="33">B28+(B28*0)</f>
        <v>394</v>
      </c>
      <c r="D28" s="88">
        <f t="shared" ref="D28:D29" si="34">IF(B28&gt;0,(+C28-B28)/B28,0)</f>
        <v>0</v>
      </c>
      <c r="E28" s="86">
        <v>2.1839999999999998E-2</v>
      </c>
      <c r="F28" s="197">
        <f t="shared" si="27"/>
        <v>2.1839999999999998E-2</v>
      </c>
      <c r="G28" s="88">
        <f t="shared" ref="G28:G29" si="35">IF(E28&gt;0,(+F28-E28)/E28,0)</f>
        <v>0</v>
      </c>
      <c r="H28" s="198">
        <v>2.1839999999999998E-2</v>
      </c>
      <c r="I28" s="197">
        <f t="shared" si="29"/>
        <v>2.1839999999999998E-2</v>
      </c>
      <c r="J28" s="101">
        <f t="shared" si="30"/>
        <v>0</v>
      </c>
      <c r="K28" s="198">
        <v>2.1839999999999998E-2</v>
      </c>
      <c r="L28" s="197">
        <f t="shared" si="31"/>
        <v>2.1839999999999998E-2</v>
      </c>
      <c r="M28" s="101">
        <f t="shared" ref="M28:M29" si="36">IF(K28&gt;0,(+L28-K28)/K28,0)</f>
        <v>0</v>
      </c>
      <c r="O28" s="96"/>
      <c r="P28" s="88"/>
      <c r="R28" s="96"/>
      <c r="S28" s="88"/>
    </row>
    <row r="29" spans="1:19" x14ac:dyDescent="0.25">
      <c r="A29" s="111" t="str">
        <f>+'Model CONSUMPTION'!A52</f>
        <v>Rate 1300 : Water FLAT RATE</v>
      </c>
      <c r="B29" s="6">
        <v>28.68</v>
      </c>
      <c r="C29" s="89">
        <f t="shared" si="33"/>
        <v>28.68</v>
      </c>
      <c r="D29" s="88">
        <f t="shared" si="34"/>
        <v>0</v>
      </c>
      <c r="E29" s="86">
        <v>0</v>
      </c>
      <c r="F29" s="197">
        <f t="shared" si="27"/>
        <v>0</v>
      </c>
      <c r="G29" s="88">
        <f t="shared" si="35"/>
        <v>0</v>
      </c>
      <c r="H29" s="213">
        <v>0</v>
      </c>
      <c r="I29" s="197">
        <f t="shared" si="29"/>
        <v>0</v>
      </c>
      <c r="J29" s="88">
        <f t="shared" ref="J29" si="37">IF(H29&gt;0,(+I29-H29)/H29,0)</f>
        <v>0</v>
      </c>
      <c r="K29" s="213">
        <v>0</v>
      </c>
      <c r="L29" s="197">
        <f t="shared" si="31"/>
        <v>0</v>
      </c>
      <c r="M29" s="88">
        <f t="shared" si="36"/>
        <v>0</v>
      </c>
      <c r="O29" s="96"/>
      <c r="P29" s="88"/>
      <c r="R29" s="96"/>
      <c r="S29" s="88"/>
    </row>
    <row r="30" spans="1:19" x14ac:dyDescent="0.25">
      <c r="A30" s="111" t="str">
        <f>+'Model CONSUMPTION'!A53</f>
        <v>Rate 1400 : METER NO BILL</v>
      </c>
      <c r="B30" s="6">
        <v>0</v>
      </c>
      <c r="C30" s="89">
        <v>0</v>
      </c>
      <c r="D30" s="88">
        <f>IF(B30&gt;0,(+C30-B30)/B30,0)</f>
        <v>0</v>
      </c>
      <c r="E30" s="86">
        <v>0</v>
      </c>
      <c r="F30" s="197">
        <f t="shared" si="27"/>
        <v>0</v>
      </c>
      <c r="G30" s="88">
        <f>IF(E30&gt;0,(+F30-E30)/E30,0)</f>
        <v>0</v>
      </c>
      <c r="H30" s="213">
        <v>0</v>
      </c>
      <c r="I30" s="197">
        <f t="shared" si="29"/>
        <v>0</v>
      </c>
      <c r="J30" s="88">
        <f>IF(H30&gt;0,(+I30-H30)/H30,0)</f>
        <v>0</v>
      </c>
      <c r="K30" s="213">
        <v>0</v>
      </c>
      <c r="L30" s="197">
        <f t="shared" si="31"/>
        <v>0</v>
      </c>
      <c r="M30" s="88">
        <f>IF(K30&gt;0,(+L30-K30)/K30,0)</f>
        <v>0</v>
      </c>
      <c r="O30" s="96"/>
      <c r="P30" s="88"/>
      <c r="R30" s="96"/>
      <c r="S30" s="88"/>
    </row>
    <row r="32" spans="1:19" s="97" customFormat="1" x14ac:dyDescent="0.25">
      <c r="A32" s="120" t="s">
        <v>58</v>
      </c>
      <c r="B32" s="98"/>
      <c r="C32" s="98"/>
      <c r="D32" s="99"/>
      <c r="E32" s="98"/>
      <c r="F32" s="98"/>
      <c r="G32" s="99"/>
      <c r="H32" s="98"/>
      <c r="I32" s="98"/>
      <c r="J32" s="99"/>
      <c r="K32" s="98"/>
      <c r="L32" s="98"/>
      <c r="M32" s="99"/>
      <c r="N32" s="98"/>
      <c r="O32" s="98"/>
      <c r="P32" s="99"/>
      <c r="Q32" s="98"/>
      <c r="R32" s="98"/>
      <c r="S32" s="99"/>
    </row>
    <row r="33" spans="1:22" s="97" customFormat="1" x14ac:dyDescent="0.25">
      <c r="A33" s="121" t="s">
        <v>57</v>
      </c>
      <c r="B33" s="98"/>
      <c r="C33" s="98"/>
      <c r="D33" s="99"/>
      <c r="E33" s="98"/>
      <c r="F33" s="98"/>
      <c r="G33" s="99"/>
      <c r="H33" s="98"/>
      <c r="I33" s="98"/>
      <c r="J33" s="99"/>
      <c r="K33" s="98"/>
      <c r="L33" s="98"/>
      <c r="M33" s="99"/>
      <c r="N33" s="98"/>
      <c r="O33" s="98"/>
      <c r="P33" s="99"/>
      <c r="Q33" s="98"/>
      <c r="R33" s="98"/>
      <c r="S33" s="99"/>
    </row>
    <row r="34" spans="1:22" s="97" customFormat="1" ht="15" customHeight="1" x14ac:dyDescent="0.25">
      <c r="A34" s="111" t="str">
        <f>+'Model CONSUMPTION'!A9</f>
        <v>Rate 1100 : Water - EASTWOOD PARK</v>
      </c>
      <c r="B34" s="112">
        <f>+'BILLED BASE'!D7+'BILLED BASE'!D8+'BILLED BASE'!D9</f>
        <v>0</v>
      </c>
      <c r="C34" s="113">
        <f>+'Model BILLABLE BASE'!F7+'Model BILLABLE BASE'!F8+'Model BILLABLE BASE'!F9</f>
        <v>0</v>
      </c>
      <c r="D34" s="114">
        <f t="shared" ref="D34:D35" si="38">IF(B34&gt;0,(+C34-B34)/B34,0)</f>
        <v>0</v>
      </c>
      <c r="E34" s="115">
        <f>+'BILLED CONSUMPTION'!E7</f>
        <v>0</v>
      </c>
      <c r="F34" s="115">
        <f>+'Model CONSUMPTION'!G7</f>
        <v>0</v>
      </c>
      <c r="G34" s="114">
        <f t="shared" ref="G34:G35" si="39">IF(E34&gt;0,(+F34-E34)/E34,0)</f>
        <v>0</v>
      </c>
      <c r="H34" s="115">
        <f>+'BILLED CONSUMPTION'!E8</f>
        <v>0</v>
      </c>
      <c r="I34" s="115">
        <f>+'Model CONSUMPTION'!G8</f>
        <v>0</v>
      </c>
      <c r="J34" s="114">
        <f t="shared" ref="J34" si="40">IF(H34&gt;0,(+I34-H34)/H34,0)</f>
        <v>0</v>
      </c>
      <c r="K34" s="115">
        <f>+'BILLED CONSUMPTION'!E9</f>
        <v>0</v>
      </c>
      <c r="L34" s="115">
        <f>+'Model CONSUMPTION'!G9</f>
        <v>0</v>
      </c>
      <c r="M34" s="114">
        <f t="shared" ref="M34" si="41">IF(K34&gt;0,(+L34-K34)/K34,0)</f>
        <v>0</v>
      </c>
      <c r="N34" s="115">
        <f t="shared" ref="N34" si="42">E34+H34+K34</f>
        <v>0</v>
      </c>
      <c r="O34" s="115">
        <f t="shared" ref="O34" si="43">F34+I34+L34</f>
        <v>0</v>
      </c>
      <c r="P34" s="114">
        <f t="shared" ref="P34" si="44">IF(N34&gt;0,(+O34-N34)/N34,0)</f>
        <v>0</v>
      </c>
      <c r="Q34" s="115">
        <f t="shared" ref="Q34:R36" si="45">+B34+N34</f>
        <v>0</v>
      </c>
      <c r="R34" s="115">
        <f t="shared" si="45"/>
        <v>0</v>
      </c>
      <c r="S34" s="114">
        <f t="shared" ref="S34" si="46">IF(Q34&gt;0,(+R34-Q34)/Q34,0)</f>
        <v>0</v>
      </c>
      <c r="U34" s="6"/>
      <c r="V34" s="6"/>
    </row>
    <row r="35" spans="1:22" s="97" customFormat="1" ht="15" customHeight="1" x14ac:dyDescent="0.25">
      <c r="A35" s="201" t="s">
        <v>100</v>
      </c>
      <c r="B35" s="112">
        <f>+'BILLED BASE'!D10+'BILLED BASE'!D11+'BILLED BASE'!D12</f>
        <v>1316355.4000000001</v>
      </c>
      <c r="C35" s="113">
        <f>+'Model BILLABLE BASE'!F10+'Model BILLABLE BASE'!F11+'Model BILLABLE BASE'!F12</f>
        <v>1404701.4000000001</v>
      </c>
      <c r="D35" s="114">
        <f t="shared" si="38"/>
        <v>6.711409395973153E-2</v>
      </c>
      <c r="E35" s="115">
        <f>+'BILLED CONSUMPTION'!E10</f>
        <v>459450</v>
      </c>
      <c r="F35" s="115">
        <f>+'Model CONSUMPTION'!G10</f>
        <v>487016.99999999994</v>
      </c>
      <c r="G35" s="114">
        <f t="shared" si="39"/>
        <v>5.9999999999999873E-2</v>
      </c>
      <c r="H35" s="115">
        <f>+'BILLED CONSUMPTION'!E11</f>
        <v>696973.6</v>
      </c>
      <c r="I35" s="115">
        <f>+'Model CONSUMPTION'!G11</f>
        <v>696973.6</v>
      </c>
      <c r="J35" s="114">
        <f t="shared" ref="J35" si="47">IF(H35&gt;0,(+I35-H35)/H35,0)</f>
        <v>0</v>
      </c>
      <c r="K35" s="115">
        <f>+'BILLED CONSUMPTION'!E12</f>
        <v>663130</v>
      </c>
      <c r="L35" s="115">
        <f>+'Model CONSUMPTION'!G12</f>
        <v>663130</v>
      </c>
      <c r="M35" s="114">
        <f t="shared" ref="M35" si="48">IF(K35&gt;0,(+L35-K35)/K35,0)</f>
        <v>0</v>
      </c>
      <c r="N35" s="115">
        <f t="shared" ref="N35" si="49">E35+H35+K35</f>
        <v>1819553.6</v>
      </c>
      <c r="O35" s="115">
        <f t="shared" ref="O35" si="50">F35+I35+L35</f>
        <v>1847120.5999999999</v>
      </c>
      <c r="P35" s="114">
        <f t="shared" ref="P35" si="51">IF(N35&gt;0,(+O35-N35)/N35,0)</f>
        <v>1.5150419311637627E-2</v>
      </c>
      <c r="Q35" s="115">
        <f t="shared" si="45"/>
        <v>3135909</v>
      </c>
      <c r="R35" s="115">
        <f t="shared" si="45"/>
        <v>3251822</v>
      </c>
      <c r="S35" s="114">
        <f t="shared" ref="S35" si="52">IF(Q35&gt;0,(+R35-Q35)/Q35,0)</f>
        <v>3.6963126162143096E-2</v>
      </c>
      <c r="U35" s="6"/>
      <c r="V35" s="6"/>
    </row>
    <row r="36" spans="1:22" s="97" customFormat="1" ht="15" customHeight="1" x14ac:dyDescent="0.25">
      <c r="A36" s="111" t="str">
        <f>+'Model CONSUMPTION'!A13</f>
        <v>Rate 1105 : Water - RES METER 3/4 IN</v>
      </c>
      <c r="B36" s="112">
        <f>+'BILLED BASE'!D13+'BILLED BASE'!D14+'BILLED BASE'!D15</f>
        <v>1833623.8000000003</v>
      </c>
      <c r="C36" s="113">
        <f>+'Model BILLABLE BASE'!F13+'Model BILLABLE BASE'!F14+'Model BILLABLE BASE'!F15</f>
        <v>1956685.8000000003</v>
      </c>
      <c r="D36" s="114">
        <f t="shared" ref="D36" si="53">IF(B36&gt;0,(+C36-B36)/B36,0)</f>
        <v>6.711409395973153E-2</v>
      </c>
      <c r="E36" s="115">
        <f>+'BILLED CONSUMPTION'!E13</f>
        <v>563282</v>
      </c>
      <c r="F36" s="115">
        <f>+'Model CONSUMPTION'!G13</f>
        <v>597078.92000000004</v>
      </c>
      <c r="G36" s="114">
        <f t="shared" ref="G36" si="54">IF(E36&gt;0,(+F36-E36)/E36,0)</f>
        <v>6.0000000000000074E-2</v>
      </c>
      <c r="H36" s="115">
        <f>+'BILLED CONSUMPTION'!E14</f>
        <v>245890.7</v>
      </c>
      <c r="I36" s="115">
        <f>+'Model CONSUMPTION'!G14</f>
        <v>245890.7</v>
      </c>
      <c r="J36" s="114">
        <f t="shared" ref="J36" si="55">IF(H36&gt;0,(+I36-H36)/H36,0)</f>
        <v>0</v>
      </c>
      <c r="K36" s="115">
        <f>+'BILLED CONSUMPTION'!E15</f>
        <v>40472.079999999994</v>
      </c>
      <c r="L36" s="115">
        <f>+'Model CONSUMPTION'!G15</f>
        <v>40472.079999999994</v>
      </c>
      <c r="M36" s="114">
        <f t="shared" ref="M36" si="56">IF(K36&gt;0,(+L36-K36)/K36,0)</f>
        <v>0</v>
      </c>
      <c r="N36" s="115">
        <f t="shared" ref="N36:N39" si="57">E36+H36+K36</f>
        <v>849644.77999999991</v>
      </c>
      <c r="O36" s="115">
        <f t="shared" ref="O36:O39" si="58">F36+I36+L36</f>
        <v>883441.70000000007</v>
      </c>
      <c r="P36" s="114">
        <f t="shared" ref="P36:P40" si="59">IF(N36&gt;0,(+O36-N36)/N36,0)</f>
        <v>3.9777705690135778E-2</v>
      </c>
      <c r="Q36" s="115">
        <f t="shared" si="45"/>
        <v>2683268.58</v>
      </c>
      <c r="R36" s="115">
        <f t="shared" si="45"/>
        <v>2840127.5000000005</v>
      </c>
      <c r="S36" s="114">
        <f t="shared" ref="S36:S40" si="60">IF(Q36&gt;0,(+R36-Q36)/Q36,0)</f>
        <v>5.8458151065891577E-2</v>
      </c>
      <c r="U36" s="6"/>
      <c r="V36" s="6"/>
    </row>
    <row r="37" spans="1:22" ht="14.25" customHeight="1" x14ac:dyDescent="0.25">
      <c r="A37" s="111" t="str">
        <f>+'Model CONSUMPTION'!A16</f>
        <v>Rate 1110 : Water - RES MTER 1 IN</v>
      </c>
      <c r="B37" s="112">
        <f>+'BILLED BASE'!D16+'BILLED BASE'!D17+'BILLED BASE'!D18</f>
        <v>5735.73</v>
      </c>
      <c r="C37" s="113">
        <f>+'Model BILLABLE BASE'!F14+'Model BILLABLE BASE'!F15+'Model BILLABLE BASE'!F16</f>
        <v>6121.5</v>
      </c>
      <c r="D37" s="114">
        <f>IF(B37&gt;0,(+C37-B37)/B37,0)</f>
        <v>6.7257349979863157E-2</v>
      </c>
      <c r="E37" s="115">
        <f>+'BILLED CONSUMPTION'!E16</f>
        <v>1601</v>
      </c>
      <c r="F37" s="115">
        <f>+'Model CONSUMPTION'!G16</f>
        <v>1697.06</v>
      </c>
      <c r="G37" s="114">
        <f t="shared" ref="G37:G40" si="61">IF(E37&gt;0,(+F37-E37)/E37,0)</f>
        <v>5.9999999999999963E-2</v>
      </c>
      <c r="H37" s="115">
        <f>+'BILLED CONSUMPTION'!E17</f>
        <v>709.55</v>
      </c>
      <c r="I37" s="115">
        <f>+'Model CONSUMPTION'!G17</f>
        <v>709.55</v>
      </c>
      <c r="J37" s="114">
        <f t="shared" ref="J37:J40" si="62">IF(H37&gt;0,(+I37-H37)/H37,0)</f>
        <v>0</v>
      </c>
      <c r="K37" s="115">
        <f>+'BILLED CONSUMPTION'!E18</f>
        <v>60.5</v>
      </c>
      <c r="L37" s="115">
        <f>+'Model CONSUMPTION'!G18</f>
        <v>60.5</v>
      </c>
      <c r="M37" s="114">
        <f t="shared" ref="M37:M40" si="63">IF(K37&gt;0,(+L37-K37)/K37,0)</f>
        <v>0</v>
      </c>
      <c r="N37" s="115">
        <f t="shared" si="57"/>
        <v>2371.0500000000002</v>
      </c>
      <c r="O37" s="115">
        <f t="shared" si="58"/>
        <v>2467.1099999999997</v>
      </c>
      <c r="P37" s="114">
        <f t="shared" si="59"/>
        <v>4.0513696463591861E-2</v>
      </c>
      <c r="Q37" s="115">
        <f>+B37+N37</f>
        <v>8106.78</v>
      </c>
      <c r="R37" s="115">
        <f t="shared" ref="R37:R40" si="64">+C37+O37</f>
        <v>8588.61</v>
      </c>
      <c r="S37" s="114">
        <f t="shared" si="60"/>
        <v>5.9435435524338991E-2</v>
      </c>
      <c r="U37" s="6"/>
      <c r="V37" s="6"/>
    </row>
    <row r="38" spans="1:22" ht="14.25" customHeight="1" x14ac:dyDescent="0.25">
      <c r="A38" s="201" t="s">
        <v>99</v>
      </c>
      <c r="B38" s="112">
        <f>+'BILLED BASE'!D19+'BILLED BASE'!D20+'BILLED BASE'!D21</f>
        <v>4146.6099999999997</v>
      </c>
      <c r="C38" s="113">
        <f>+'Model BILLABLE BASE'!F19+'Model BILLABLE BASE'!F20+'Model BILLABLE BASE'!F21</f>
        <v>4425.5</v>
      </c>
      <c r="D38" s="114">
        <f>IF(B38&gt;0,(+C38-B38)/B38,0)</f>
        <v>6.7257349979863157E-2</v>
      </c>
      <c r="E38" s="115">
        <f>+'BILLED CONSUMPTION'!E19</f>
        <v>1880</v>
      </c>
      <c r="F38" s="115">
        <f>+'Model CONSUMPTION'!G19</f>
        <v>1992.8</v>
      </c>
      <c r="G38" s="114">
        <f t="shared" si="61"/>
        <v>5.9999999999999977E-2</v>
      </c>
      <c r="H38" s="115">
        <f>+'BILLED CONSUMPTION'!E20</f>
        <v>3625.95</v>
      </c>
      <c r="I38" s="115">
        <f>+'Model CONSUMPTION'!G20</f>
        <v>3625.95</v>
      </c>
      <c r="J38" s="114">
        <f t="shared" ref="J38" si="65">IF(H38&gt;0,(+I38-H38)/H38,0)</f>
        <v>0</v>
      </c>
      <c r="K38" s="115">
        <f>+'BILLED CONSUMPTION'!E21</f>
        <v>4625</v>
      </c>
      <c r="L38" s="115">
        <f>+'Model CONSUMPTION'!G21</f>
        <v>4625</v>
      </c>
      <c r="M38" s="114">
        <f t="shared" ref="M38" si="66">IF(K38&gt;0,(+L38-K38)/K38,0)</f>
        <v>0</v>
      </c>
      <c r="N38" s="115">
        <f t="shared" ref="N38" si="67">E38+H38+K38</f>
        <v>10130.950000000001</v>
      </c>
      <c r="O38" s="115">
        <f t="shared" ref="O38" si="68">F38+I38+L38</f>
        <v>10243.75</v>
      </c>
      <c r="P38" s="114">
        <f t="shared" ref="P38" si="69">IF(N38&gt;0,(+O38-N38)/N38,0)</f>
        <v>1.1134197681362484E-2</v>
      </c>
      <c r="Q38" s="115">
        <f>+B38+N38</f>
        <v>14277.560000000001</v>
      </c>
      <c r="R38" s="115">
        <f t="shared" ref="R38" si="70">+C38+O38</f>
        <v>14669.25</v>
      </c>
      <c r="S38" s="114">
        <f t="shared" ref="S38" si="71">IF(Q38&gt;0,(+R38-Q38)/Q38,0)</f>
        <v>2.7433959303970613E-2</v>
      </c>
      <c r="U38" s="6"/>
      <c r="V38" s="6"/>
    </row>
    <row r="39" spans="1:22" ht="14.25" customHeight="1" x14ac:dyDescent="0.25">
      <c r="A39" s="111" t="str">
        <f>+'Model CONSUMPTION'!A22</f>
        <v>Rate 1115 : Water - RES METER 1-1/2 IN</v>
      </c>
      <c r="B39" s="112">
        <f>+'BILLED BASE'!D22+'BILLED BASE'!D23+'BILLED BASE'!D24</f>
        <v>0</v>
      </c>
      <c r="C39" s="113">
        <f>+'Model BILLABLE BASE'!F22+'Model BILLABLE BASE'!F23+'Model BILLABLE BASE'!F24</f>
        <v>0</v>
      </c>
      <c r="D39" s="114">
        <f t="shared" ref="D39:D40" si="72">IF(B39&gt;0,(+C39-B39)/B39,0)</f>
        <v>0</v>
      </c>
      <c r="E39" s="115">
        <f>+'BILLED CONSUMPTION'!E22</f>
        <v>0</v>
      </c>
      <c r="F39" s="115">
        <f>+'Model CONSUMPTION'!G22</f>
        <v>0</v>
      </c>
      <c r="G39" s="114">
        <f t="shared" si="61"/>
        <v>0</v>
      </c>
      <c r="H39" s="115">
        <f>+'BILLED CONSUMPTION'!E23</f>
        <v>0</v>
      </c>
      <c r="I39" s="115">
        <f>+'Model CONSUMPTION'!G23</f>
        <v>0</v>
      </c>
      <c r="J39" s="114">
        <f t="shared" si="62"/>
        <v>0</v>
      </c>
      <c r="K39" s="115">
        <f>+'BILLED CONSUMPTION'!E24</f>
        <v>0</v>
      </c>
      <c r="L39" s="115">
        <f>+'Model CONSUMPTION'!G24</f>
        <v>0</v>
      </c>
      <c r="M39" s="114">
        <f t="shared" si="63"/>
        <v>0</v>
      </c>
      <c r="N39" s="115">
        <f t="shared" si="57"/>
        <v>0</v>
      </c>
      <c r="O39" s="115">
        <f t="shared" si="58"/>
        <v>0</v>
      </c>
      <c r="P39" s="114">
        <f t="shared" si="59"/>
        <v>0</v>
      </c>
      <c r="Q39" s="115">
        <f t="shared" ref="Q39:Q40" si="73">+B39+N39</f>
        <v>0</v>
      </c>
      <c r="R39" s="115">
        <f t="shared" si="64"/>
        <v>0</v>
      </c>
      <c r="S39" s="114">
        <f t="shared" si="60"/>
        <v>0</v>
      </c>
      <c r="U39" s="6"/>
      <c r="V39" s="6"/>
    </row>
    <row r="40" spans="1:22" x14ac:dyDescent="0.25">
      <c r="A40" s="111" t="str">
        <f>+'Model BILLABLE BASE'!A25</f>
        <v>Rate 1120 : Water - RES METER 2 IN</v>
      </c>
      <c r="B40" s="112">
        <f>+'BILLED BASE'!D25+'BILLED BASE'!D26+'BILLED BASE'!D27</f>
        <v>1668.8700000000003</v>
      </c>
      <c r="C40" s="113">
        <f>+'Model BILLABLE BASE'!F25+'Model BILLABLE BASE'!F26+'Model BILLABLE BASE'!F27</f>
        <v>1780.7999999999995</v>
      </c>
      <c r="D40" s="114">
        <f t="shared" si="72"/>
        <v>6.7069334340001993E-2</v>
      </c>
      <c r="E40" s="115">
        <f>+'BILLED CONSUMPTION'!E25</f>
        <v>1632</v>
      </c>
      <c r="F40" s="115">
        <f>+'Model CONSUMPTION'!G25</f>
        <v>1729.9200000000005</v>
      </c>
      <c r="G40" s="114">
        <f t="shared" si="61"/>
        <v>6.0000000000000324E-2</v>
      </c>
      <c r="H40" s="115">
        <f>+'BILLED CONSUMPTION'!E26</f>
        <v>5766.0999999999995</v>
      </c>
      <c r="I40" s="115">
        <f>+'Model CONSUMPTION'!G26</f>
        <v>5766.0999999999995</v>
      </c>
      <c r="J40" s="114">
        <f t="shared" si="62"/>
        <v>0</v>
      </c>
      <c r="K40" s="115">
        <f>+'BILLED CONSUMPTION'!E27</f>
        <v>20233.62</v>
      </c>
      <c r="L40" s="115">
        <f>+'Model CONSUMPTION'!G27</f>
        <v>20233.62</v>
      </c>
      <c r="M40" s="114">
        <f t="shared" si="63"/>
        <v>0</v>
      </c>
      <c r="N40" s="115">
        <f>E40+H40+K40</f>
        <v>27631.719999999998</v>
      </c>
      <c r="O40" s="115">
        <f>F40+I40+L40</f>
        <v>27729.64</v>
      </c>
      <c r="P40" s="114">
        <f t="shared" si="59"/>
        <v>3.5437533385544546E-3</v>
      </c>
      <c r="Q40" s="115">
        <f t="shared" si="73"/>
        <v>29300.589999999997</v>
      </c>
      <c r="R40" s="115">
        <f t="shared" si="64"/>
        <v>29510.44</v>
      </c>
      <c r="S40" s="114">
        <f t="shared" si="60"/>
        <v>7.1619718237756376E-3</v>
      </c>
      <c r="U40" s="6"/>
      <c r="V40" s="6"/>
    </row>
    <row r="41" spans="1:22" x14ac:dyDescent="0.25">
      <c r="A41" s="111" t="str">
        <f>+'Model BILLABLE BASE'!A28</f>
        <v>Rate 1140 : Water - RES METER 4 IN</v>
      </c>
      <c r="B41" s="112">
        <f>+'BILLED BASE'!D28+'BILLED BASE'!D29+'BILLED BASE'!D30</f>
        <v>2979.9599999999996</v>
      </c>
      <c r="C41" s="113">
        <f>+'Model BILLABLE BASE'!F28+'Model BILLABLE BASE'!F29+'Model BILLABLE BASE'!F30</f>
        <v>3180</v>
      </c>
      <c r="D41" s="114">
        <f t="shared" ref="D41" si="74">IF(B41&gt;0,(+C41-B41)/B41,0)</f>
        <v>6.7128417831111981E-2</v>
      </c>
      <c r="E41" s="115">
        <f>+'BILLED CONSUMPTION'!E28</f>
        <v>1800</v>
      </c>
      <c r="F41" s="115">
        <f>+'Model CONSUMPTION'!G28</f>
        <v>1908</v>
      </c>
      <c r="G41" s="114">
        <f t="shared" ref="G41" si="75">IF(E41&gt;0,(+F41-E41)/E41,0)</f>
        <v>0.06</v>
      </c>
      <c r="H41" s="115">
        <f>+'BILLED CONSUMPTION'!E29</f>
        <v>3898.5</v>
      </c>
      <c r="I41" s="115">
        <f>+'Model CONSUMPTION'!G29</f>
        <v>3898.5</v>
      </c>
      <c r="J41" s="114">
        <f t="shared" ref="J41" si="76">IF(H41&gt;0,(+I41-H41)/H41,0)</f>
        <v>0</v>
      </c>
      <c r="K41" s="115">
        <f>+'BILLED CONSUMPTION'!E30</f>
        <v>6175.8399999999992</v>
      </c>
      <c r="L41" s="115">
        <f>+'Model CONSUMPTION'!G30</f>
        <v>6175.8399999999992</v>
      </c>
      <c r="M41" s="114">
        <f t="shared" ref="M41" si="77">IF(K41&gt;0,(+L41-K41)/K41,0)</f>
        <v>0</v>
      </c>
      <c r="N41" s="115">
        <f>E41+H41+K41</f>
        <v>11874.34</v>
      </c>
      <c r="O41" s="115">
        <f>F41+I41+L41</f>
        <v>11982.34</v>
      </c>
      <c r="P41" s="114">
        <f t="shared" ref="P41" si="78">IF(N41&gt;0,(+O41-N41)/N41,0)</f>
        <v>9.0952423461009204E-3</v>
      </c>
      <c r="Q41" s="115">
        <f t="shared" ref="Q41" si="79">+B41+N41</f>
        <v>14854.3</v>
      </c>
      <c r="R41" s="115">
        <f t="shared" ref="R41" si="80">+C41+O41</f>
        <v>15162.34</v>
      </c>
      <c r="S41" s="114">
        <f t="shared" ref="S41" si="81">IF(Q41&gt;0,(+R41-Q41)/Q41,0)</f>
        <v>2.0737429565849678E-2</v>
      </c>
      <c r="U41" s="6"/>
      <c r="V41" s="6"/>
    </row>
    <row r="42" spans="1:22" s="97" customFormat="1" x14ac:dyDescent="0.25">
      <c r="A42" s="120" t="s">
        <v>59</v>
      </c>
      <c r="B42" s="122"/>
      <c r="C42" s="122"/>
      <c r="D42" s="123"/>
      <c r="E42" s="122"/>
      <c r="F42" s="122"/>
      <c r="G42" s="123"/>
      <c r="H42" s="122"/>
      <c r="I42" s="122"/>
      <c r="J42" s="123"/>
      <c r="K42" s="122"/>
      <c r="L42" s="122"/>
      <c r="M42" s="123"/>
      <c r="N42" s="122"/>
      <c r="O42" s="122"/>
      <c r="P42" s="123"/>
      <c r="Q42" s="122"/>
      <c r="R42" s="122"/>
      <c r="S42" s="123"/>
      <c r="U42" s="6"/>
      <c r="V42" s="6"/>
    </row>
    <row r="43" spans="1:22" s="97" customFormat="1" x14ac:dyDescent="0.25">
      <c r="A43" s="121" t="s">
        <v>57</v>
      </c>
      <c r="B43" s="122"/>
      <c r="C43" s="122"/>
      <c r="D43" s="123"/>
      <c r="E43" s="122"/>
      <c r="F43" s="122"/>
      <c r="G43" s="123"/>
      <c r="H43" s="122"/>
      <c r="I43" s="122"/>
      <c r="J43" s="123"/>
      <c r="K43" s="122"/>
      <c r="L43" s="122"/>
      <c r="M43" s="123"/>
      <c r="N43" s="122"/>
      <c r="O43" s="122"/>
      <c r="P43" s="123"/>
      <c r="Q43" s="122"/>
      <c r="R43" s="122"/>
      <c r="S43" s="123"/>
      <c r="U43" s="6"/>
      <c r="V43" s="6"/>
    </row>
    <row r="44" spans="1:22" x14ac:dyDescent="0.25">
      <c r="A44" s="111" t="str">
        <f>+'Model BILLABLE BASE'!A31</f>
        <v>Rate 1205 : Water - NON RES METER 3/4 IN</v>
      </c>
      <c r="B44" s="112">
        <f>+'BILLED BASE'!D31+'BILLED BASE'!D32+'BILLED BASE'!D33</f>
        <v>47441.600000000006</v>
      </c>
      <c r="C44" s="113">
        <f>+'Model BILLABLE BASE'!F31+'Model BILLABLE BASE'!F32+'Model BILLABLE BASE'!F33</f>
        <v>50625.600000000006</v>
      </c>
      <c r="D44" s="114">
        <f t="shared" ref="D44:D47" si="82">IF(B44&gt;0,(+C44-B44)/B44,0)</f>
        <v>6.711409395973153E-2</v>
      </c>
      <c r="E44" s="115">
        <f>+'BILLED CONSUMPTION'!E31</f>
        <v>9816</v>
      </c>
      <c r="F44" s="115">
        <f>+'Model CONSUMPTION'!G31</f>
        <v>10404.959999999999</v>
      </c>
      <c r="G44" s="114">
        <f t="shared" ref="G44:G47" si="83">IF(E44&gt;0,(+F44-E44)/E44,0)</f>
        <v>5.9999999999999915E-2</v>
      </c>
      <c r="H44" s="115">
        <f>+'BILLED CONSUMPTION'!E32</f>
        <v>19759.299999999996</v>
      </c>
      <c r="I44" s="115">
        <f>+'Model CONSUMPTION'!G32</f>
        <v>19759.299999999996</v>
      </c>
      <c r="J44" s="114">
        <f t="shared" ref="J44:J47" si="84">IF(H44&gt;0,(+I44-H44)/H44,0)</f>
        <v>0</v>
      </c>
      <c r="K44" s="115">
        <f>+'BILLED CONSUMPTION'!E33</f>
        <v>46819.74</v>
      </c>
      <c r="L44" s="115">
        <f>+'Model CONSUMPTION'!G33</f>
        <v>46819.74</v>
      </c>
      <c r="M44" s="114">
        <f t="shared" ref="M44:M47" si="85">IF(K44&gt;0,(+L44-K44)/K44,0)</f>
        <v>0</v>
      </c>
      <c r="N44" s="115">
        <f t="shared" ref="N44:N48" si="86">E44+H44+K44</f>
        <v>76395.039999999994</v>
      </c>
      <c r="O44" s="115">
        <f t="shared" ref="O44:O48" si="87">F44+I44+L44</f>
        <v>76984</v>
      </c>
      <c r="P44" s="114">
        <f t="shared" ref="P44:P50" si="88">IF(N44&gt;0,(+O44-N44)/N44,0)</f>
        <v>7.7094010291768478E-3</v>
      </c>
      <c r="Q44" s="115">
        <f t="shared" ref="Q44:Q50" si="89">+B44+N44</f>
        <v>123836.64</v>
      </c>
      <c r="R44" s="115">
        <f t="shared" ref="R44:R50" si="90">+C44+O44</f>
        <v>127609.60000000001</v>
      </c>
      <c r="S44" s="114">
        <f t="shared" ref="S44:S50" si="91">IF(Q44&gt;0,(+R44-Q44)/Q44,0)</f>
        <v>3.0467234899138142E-2</v>
      </c>
      <c r="U44" s="6"/>
      <c r="V44" s="6"/>
    </row>
    <row r="45" spans="1:22" x14ac:dyDescent="0.25">
      <c r="A45" s="111" t="str">
        <f>+'Model BILLABLE BASE'!A34</f>
        <v>Rate 1210 : Water - NON RES METER 1 IN</v>
      </c>
      <c r="B45" s="112">
        <f>+'BILLED BASE'!D34+'BILLED BASE'!D35+'BILLED BASE'!D36</f>
        <v>46059.649999999994</v>
      </c>
      <c r="C45" s="113">
        <f>+'Model BILLABLE BASE'!F34+'Model BILLABLE BASE'!F35+'Model BILLABLE BASE'!F36</f>
        <v>49157.5</v>
      </c>
      <c r="D45" s="114">
        <f t="shared" si="82"/>
        <v>6.7257349979863199E-2</v>
      </c>
      <c r="E45" s="115">
        <f>+'BILLED CONSUMPTION'!E34</f>
        <v>14769</v>
      </c>
      <c r="F45" s="115">
        <f>+'Model CONSUMPTION'!G34</f>
        <v>15655.140000000001</v>
      </c>
      <c r="G45" s="114">
        <f t="shared" si="83"/>
        <v>6.0000000000000081E-2</v>
      </c>
      <c r="H45" s="115">
        <f>+'BILLED CONSUMPTION'!E35</f>
        <v>28413.05</v>
      </c>
      <c r="I45" s="115">
        <f>+'Model CONSUMPTION'!G35</f>
        <v>28413.05</v>
      </c>
      <c r="J45" s="114">
        <f t="shared" si="84"/>
        <v>0</v>
      </c>
      <c r="K45" s="115">
        <f>+'BILLED CONSUMPTION'!E36</f>
        <v>56402.939999999995</v>
      </c>
      <c r="L45" s="115">
        <f>+'Model CONSUMPTION'!G36</f>
        <v>56402.939999999995</v>
      </c>
      <c r="M45" s="114">
        <f t="shared" si="85"/>
        <v>0</v>
      </c>
      <c r="N45" s="115">
        <f t="shared" si="86"/>
        <v>99584.989999999991</v>
      </c>
      <c r="O45" s="115">
        <f t="shared" si="87"/>
        <v>100471.13</v>
      </c>
      <c r="P45" s="114">
        <f t="shared" si="88"/>
        <v>8.8983289549962701E-3</v>
      </c>
      <c r="Q45" s="115">
        <f t="shared" si="89"/>
        <v>145644.63999999998</v>
      </c>
      <c r="R45" s="115">
        <f t="shared" si="90"/>
        <v>149628.63</v>
      </c>
      <c r="S45" s="114">
        <f t="shared" si="91"/>
        <v>2.7354182069453569E-2</v>
      </c>
      <c r="U45" s="6"/>
      <c r="V45" s="6"/>
    </row>
    <row r="46" spans="1:22" x14ac:dyDescent="0.25">
      <c r="A46" s="111" t="str">
        <f>+'Model BILLABLE BASE'!A37</f>
        <v>Rate 1215 : Water - NON RES METER 1-1/2 IN</v>
      </c>
      <c r="B46" s="112">
        <f>+'BILLED BASE'!D37+'BILLED BASE'!D38+'BILLED BASE'!D39</f>
        <v>19669.320000000003</v>
      </c>
      <c r="C46" s="113">
        <f>+'Model BILLABLE BASE'!F37+'Model BILLABLE BASE'!F38+'Model BILLABLE BASE'!F39</f>
        <v>20988</v>
      </c>
      <c r="D46" s="114">
        <f t="shared" si="82"/>
        <v>6.704248037044476E-2</v>
      </c>
      <c r="E46" s="115">
        <f>+'BILLED CONSUMPTION'!E37</f>
        <v>5427</v>
      </c>
      <c r="F46" s="115">
        <f>+'Model CONSUMPTION'!G37</f>
        <v>5752.62</v>
      </c>
      <c r="G46" s="114">
        <f t="shared" si="83"/>
        <v>5.9999999999999977E-2</v>
      </c>
      <c r="H46" s="115">
        <f>+'BILLED CONSUMPTION'!E38</f>
        <v>11019.3</v>
      </c>
      <c r="I46" s="115">
        <f>+'Model CONSUMPTION'!G38</f>
        <v>11019.3</v>
      </c>
      <c r="J46" s="114">
        <f t="shared" si="84"/>
        <v>0</v>
      </c>
      <c r="K46" s="115">
        <f>+'BILLED CONSUMPTION'!E39</f>
        <v>34739.099999999991</v>
      </c>
      <c r="L46" s="115">
        <f>+'Model CONSUMPTION'!G39</f>
        <v>34739.099999999991</v>
      </c>
      <c r="M46" s="114">
        <f t="shared" si="85"/>
        <v>0</v>
      </c>
      <c r="N46" s="115">
        <f t="shared" si="86"/>
        <v>51185.399999999994</v>
      </c>
      <c r="O46" s="115">
        <f t="shared" si="87"/>
        <v>51511.01999999999</v>
      </c>
      <c r="P46" s="114">
        <f t="shared" si="88"/>
        <v>6.3615796692024556E-3</v>
      </c>
      <c r="Q46" s="115">
        <f t="shared" si="89"/>
        <v>70854.720000000001</v>
      </c>
      <c r="R46" s="115">
        <f t="shared" si="90"/>
        <v>72499.01999999999</v>
      </c>
      <c r="S46" s="114">
        <f t="shared" si="91"/>
        <v>2.3206640291571094E-2</v>
      </c>
      <c r="U46" s="6"/>
      <c r="V46" s="6"/>
    </row>
    <row r="47" spans="1:22" x14ac:dyDescent="0.25">
      <c r="A47" s="111" t="str">
        <f>+'Model BILLABLE BASE'!A40</f>
        <v>Rate 1220 : Water - NON RES METER 2 IN</v>
      </c>
      <c r="B47" s="112">
        <f>+'BILLED BASE'!D40+'BILLED BASE'!D41+'BILLED BASE'!D42</f>
        <v>108317.61000000002</v>
      </c>
      <c r="C47" s="113">
        <f>+'Model BILLABLE BASE'!F40+'Model BILLABLE BASE'!F41+'Model BILLABLE BASE'!F42</f>
        <v>115582.39999999999</v>
      </c>
      <c r="D47" s="114">
        <f t="shared" si="82"/>
        <v>6.7069334340002312E-2</v>
      </c>
      <c r="E47" s="115">
        <f>+'BILLED CONSUMPTION'!E40</f>
        <v>40723</v>
      </c>
      <c r="F47" s="115">
        <f>+'Model CONSUMPTION'!G40</f>
        <v>43166.380000000005</v>
      </c>
      <c r="G47" s="114">
        <f t="shared" si="83"/>
        <v>6.0000000000000116E-2</v>
      </c>
      <c r="H47" s="115">
        <f>+'BILLED CONSUMPTION'!E41</f>
        <v>58863.899999999994</v>
      </c>
      <c r="I47" s="115">
        <f>+'Model CONSUMPTION'!G41</f>
        <v>58863.899999999994</v>
      </c>
      <c r="J47" s="114">
        <f t="shared" si="84"/>
        <v>0</v>
      </c>
      <c r="K47" s="115">
        <f>+'BILLED CONSUMPTION'!E42</f>
        <v>105865.32</v>
      </c>
      <c r="L47" s="115">
        <f>+'Model CONSUMPTION'!G42</f>
        <v>105865.32</v>
      </c>
      <c r="M47" s="114">
        <f t="shared" si="85"/>
        <v>0</v>
      </c>
      <c r="N47" s="115">
        <f t="shared" si="86"/>
        <v>205452.22</v>
      </c>
      <c r="O47" s="115">
        <f t="shared" si="87"/>
        <v>207895.6</v>
      </c>
      <c r="P47" s="114">
        <f t="shared" si="88"/>
        <v>1.1892692130559624E-2</v>
      </c>
      <c r="Q47" s="115">
        <f t="shared" si="89"/>
        <v>313769.83</v>
      </c>
      <c r="R47" s="115">
        <f t="shared" si="90"/>
        <v>323478</v>
      </c>
      <c r="S47" s="114">
        <f t="shared" si="91"/>
        <v>3.0940418968898264E-2</v>
      </c>
      <c r="U47" s="6"/>
      <c r="V47" s="6"/>
    </row>
    <row r="48" spans="1:22" x14ac:dyDescent="0.25">
      <c r="A48" s="111" t="str">
        <f>+'Model BILLABLE BASE'!A43</f>
        <v>Rate 1230 : Water - NON RES METER 3 IN</v>
      </c>
      <c r="B48" s="112">
        <f>+'BILLED BASE'!D43+'BILLED BASE'!D44+'BILLED BASE'!D45</f>
        <v>27267</v>
      </c>
      <c r="C48" s="113">
        <f>+'Model BILLABLE BASE'!F43+'Model BILLABLE BASE'!F44+'Model BILLABLE BASE'!F45</f>
        <v>29097</v>
      </c>
      <c r="D48" s="114">
        <f t="shared" ref="D48:D66" si="92">IF(B48&gt;0,(+C48-B48)/B48,0)</f>
        <v>6.7114093959731544E-2</v>
      </c>
      <c r="E48" s="115">
        <f>+'BILLED CONSUMPTION'!E43</f>
        <v>13456</v>
      </c>
      <c r="F48" s="115">
        <f>+'Model CONSUMPTION'!G43</f>
        <v>14263.359999999999</v>
      </c>
      <c r="G48" s="114">
        <f t="shared" ref="G48:G66" si="93">IF(E48&gt;0,(+F48-E48)/E48,0)</f>
        <v>5.9999999999999908E-2</v>
      </c>
      <c r="H48" s="115">
        <f>+'BILLED CONSUMPTION'!E44</f>
        <v>20970.25</v>
      </c>
      <c r="I48" s="115">
        <f>+'Model CONSUMPTION'!G44</f>
        <v>20970.25</v>
      </c>
      <c r="J48" s="114">
        <f t="shared" ref="J48:J66" si="94">IF(H48&gt;0,(+I48-H48)/H48,0)</f>
        <v>0</v>
      </c>
      <c r="K48" s="115">
        <f>+'BILLED CONSUMPTION'!E45</f>
        <v>17697.46</v>
      </c>
      <c r="L48" s="115">
        <f>+'Model CONSUMPTION'!G45</f>
        <v>17697.46</v>
      </c>
      <c r="M48" s="114">
        <f t="shared" ref="M48:M66" si="95">IF(K48&gt;0,(+L48-K48)/K48,0)</f>
        <v>0</v>
      </c>
      <c r="N48" s="115">
        <f t="shared" si="86"/>
        <v>52123.71</v>
      </c>
      <c r="O48" s="115">
        <f t="shared" si="87"/>
        <v>52931.07</v>
      </c>
      <c r="P48" s="114">
        <f t="shared" si="88"/>
        <v>1.5489304195729747E-2</v>
      </c>
      <c r="Q48" s="115">
        <f t="shared" si="89"/>
        <v>79390.709999999992</v>
      </c>
      <c r="R48" s="115">
        <f t="shared" si="90"/>
        <v>82028.070000000007</v>
      </c>
      <c r="S48" s="114">
        <f t="shared" si="91"/>
        <v>3.3220007731383373E-2</v>
      </c>
      <c r="U48" s="6"/>
      <c r="V48" s="6"/>
    </row>
    <row r="49" spans="1:22" x14ac:dyDescent="0.25">
      <c r="A49" s="111" t="str">
        <f>+'Model BILLABLE BASE'!A46</f>
        <v>Rate 1240 : Water - NON RES METER 4 IN</v>
      </c>
      <c r="B49" s="112">
        <f>+'BILLED BASE'!D46+'BILLED BASE'!D47+'BILLED BASE'!D48</f>
        <v>5959.9199999999992</v>
      </c>
      <c r="C49" s="113">
        <f>+'Model BILLABLE BASE'!F46+'Model BILLABLE BASE'!F47+'Model BILLABLE BASE'!F48</f>
        <v>6360</v>
      </c>
      <c r="D49" s="114">
        <f t="shared" si="92"/>
        <v>6.7128417831111981E-2</v>
      </c>
      <c r="E49" s="115">
        <f>+'BILLED CONSUMPTION'!E46</f>
        <v>1811</v>
      </c>
      <c r="F49" s="115">
        <f>+'Model CONSUMPTION'!G46</f>
        <v>1919.6599999999999</v>
      </c>
      <c r="G49" s="114">
        <f t="shared" si="93"/>
        <v>5.9999999999999921E-2</v>
      </c>
      <c r="H49" s="115">
        <f>+'BILLED CONSUMPTION'!E47</f>
        <v>4226.25</v>
      </c>
      <c r="I49" s="115">
        <f>+'Model CONSUMPTION'!G47</f>
        <v>4226.25</v>
      </c>
      <c r="J49" s="114">
        <f t="shared" si="94"/>
        <v>0</v>
      </c>
      <c r="K49" s="115">
        <f>+'BILLED CONSUMPTION'!E48</f>
        <v>17123.919999999998</v>
      </c>
      <c r="L49" s="115">
        <f>+'Model CONSUMPTION'!G48</f>
        <v>17123.919999999998</v>
      </c>
      <c r="M49" s="114">
        <f t="shared" si="95"/>
        <v>0</v>
      </c>
      <c r="N49" s="115">
        <f>E49+H49+K49</f>
        <v>23161.17</v>
      </c>
      <c r="O49" s="115">
        <f>F49+I49+L49</f>
        <v>23269.829999999998</v>
      </c>
      <c r="P49" s="114">
        <f t="shared" si="88"/>
        <v>4.691472840102631E-3</v>
      </c>
      <c r="Q49" s="115">
        <f t="shared" si="89"/>
        <v>29121.089999999997</v>
      </c>
      <c r="R49" s="115">
        <f t="shared" si="90"/>
        <v>29629.829999999998</v>
      </c>
      <c r="S49" s="114">
        <f t="shared" si="91"/>
        <v>1.7469813114825088E-2</v>
      </c>
      <c r="U49" s="6"/>
      <c r="V49" s="6"/>
    </row>
    <row r="50" spans="1:22" x14ac:dyDescent="0.25">
      <c r="A50" s="111" t="str">
        <f>+'Model BILLABLE BASE'!A49</f>
        <v>Rate 1260 : Water - NON RES METER 6 IN</v>
      </c>
      <c r="B50" s="112">
        <f>+'BILLED BASE'!D49+'BILLED BASE'!D50+'BILLED BASE'!D51</f>
        <v>17880.12</v>
      </c>
      <c r="C50" s="113">
        <f>+'Model BILLABLE BASE'!F49+'Model BILLABLE BASE'!F50+'Model BILLABLE BASE'!F51</f>
        <v>19080</v>
      </c>
      <c r="D50" s="114">
        <f t="shared" si="92"/>
        <v>6.7106932168240541E-2</v>
      </c>
      <c r="E50" s="115">
        <f>+'BILLED CONSUMPTION'!E49</f>
        <v>4505</v>
      </c>
      <c r="F50" s="115">
        <f>+'Model CONSUMPTION'!G49</f>
        <v>4775.2999999999993</v>
      </c>
      <c r="G50" s="114">
        <f t="shared" si="93"/>
        <v>5.9999999999999838E-2</v>
      </c>
      <c r="H50" s="115">
        <f>+'BILLED CONSUMPTION'!E50</f>
        <v>9279.35</v>
      </c>
      <c r="I50" s="115">
        <f>+'Model CONSUMPTION'!G50</f>
        <v>9279.35</v>
      </c>
      <c r="J50" s="114">
        <f t="shared" si="94"/>
        <v>0</v>
      </c>
      <c r="K50" s="115">
        <f>+'BILLED CONSUMPTION'!E51</f>
        <v>72.599999999999994</v>
      </c>
      <c r="L50" s="115">
        <f>+'Model CONSUMPTION'!G51</f>
        <v>72.599999999999994</v>
      </c>
      <c r="M50" s="114">
        <f t="shared" si="95"/>
        <v>0</v>
      </c>
      <c r="N50" s="115">
        <f>E50+H50+K50</f>
        <v>13856.95</v>
      </c>
      <c r="O50" s="115">
        <f>F50+I50+L50</f>
        <v>14127.25</v>
      </c>
      <c r="P50" s="114">
        <f t="shared" si="88"/>
        <v>1.9506457048628974E-2</v>
      </c>
      <c r="Q50" s="115">
        <f t="shared" si="89"/>
        <v>31737.07</v>
      </c>
      <c r="R50" s="115">
        <f t="shared" si="90"/>
        <v>33207.25</v>
      </c>
      <c r="S50" s="114">
        <f t="shared" si="91"/>
        <v>4.6323746962148686E-2</v>
      </c>
      <c r="U50" s="6"/>
      <c r="V50" s="6"/>
    </row>
    <row r="51" spans="1:22" x14ac:dyDescent="0.25">
      <c r="B51" s="112"/>
      <c r="C51" s="113"/>
      <c r="D51" s="114"/>
      <c r="E51" s="115"/>
      <c r="F51" s="115"/>
      <c r="G51" s="114"/>
      <c r="H51" s="115"/>
      <c r="I51" s="115"/>
      <c r="J51" s="114"/>
      <c r="K51" s="115"/>
      <c r="L51" s="115"/>
      <c r="M51" s="114"/>
      <c r="N51" s="115"/>
      <c r="O51" s="115"/>
      <c r="P51" s="114"/>
      <c r="Q51" s="115"/>
      <c r="R51" s="115"/>
      <c r="S51" s="114"/>
      <c r="U51" s="6"/>
      <c r="V51" s="6"/>
    </row>
    <row r="52" spans="1:22" s="97" customFormat="1" x14ac:dyDescent="0.25">
      <c r="A52" s="120" t="s">
        <v>60</v>
      </c>
      <c r="B52" s="122"/>
      <c r="C52" s="122"/>
      <c r="D52" s="123"/>
      <c r="E52" s="122"/>
      <c r="F52" s="122"/>
      <c r="G52" s="123"/>
      <c r="H52" s="122"/>
      <c r="I52" s="122"/>
      <c r="J52" s="123"/>
      <c r="K52" s="122"/>
      <c r="L52" s="122"/>
      <c r="M52" s="123"/>
      <c r="N52" s="122"/>
      <c r="O52" s="122"/>
      <c r="P52" s="123"/>
      <c r="Q52" s="122"/>
      <c r="R52" s="122"/>
      <c r="S52" s="123"/>
      <c r="U52" s="6"/>
      <c r="V52" s="6"/>
    </row>
    <row r="53" spans="1:22" s="97" customFormat="1" x14ac:dyDescent="0.25">
      <c r="A53" s="121" t="s">
        <v>57</v>
      </c>
      <c r="B53" s="122"/>
      <c r="C53" s="122"/>
      <c r="D53" s="123"/>
      <c r="E53" s="122"/>
      <c r="F53" s="122"/>
      <c r="G53" s="123"/>
      <c r="H53" s="122"/>
      <c r="I53" s="122"/>
      <c r="J53" s="123"/>
      <c r="K53" s="122"/>
      <c r="L53" s="122"/>
      <c r="M53" s="123"/>
      <c r="N53" s="122"/>
      <c r="O53" s="122"/>
      <c r="P53" s="123"/>
      <c r="Q53" s="122"/>
      <c r="R53" s="122"/>
      <c r="S53" s="123"/>
      <c r="U53" s="6"/>
      <c r="V53" s="6"/>
    </row>
    <row r="54" spans="1:22" s="97" customFormat="1" x14ac:dyDescent="0.25">
      <c r="A54" s="111" t="str">
        <f>+'Model CONSUMPTION'!A3</f>
        <v>Rate 0275 : Water METERED - FIRGROVE FALL</v>
      </c>
      <c r="B54" s="112">
        <f>+'BILLED BASE'!S3+'BILLED BASE'!D4+'BILLED BASE'!D5</f>
        <v>3152</v>
      </c>
      <c r="C54" s="113">
        <f>+'Model BILLABLE BASE'!F4</f>
        <v>3152</v>
      </c>
      <c r="D54" s="114">
        <f t="shared" ref="D54:D55" si="96">IF(B54&gt;0,(+C54-B54)/B54,0)</f>
        <v>0</v>
      </c>
      <c r="E54" s="115">
        <f>+'BILLED CONSUMPTION'!E3</f>
        <v>0</v>
      </c>
      <c r="F54" s="115">
        <f>+'Model CONSUMPTION'!G3</f>
        <v>0</v>
      </c>
      <c r="G54" s="114">
        <f t="shared" ref="G54:G55" si="97">IF(E54&gt;0,(+F54-E54)/E54,0)</f>
        <v>0</v>
      </c>
      <c r="H54" s="115">
        <f>+'BILLED CONSUMPTION'!E4</f>
        <v>39.950000000000003</v>
      </c>
      <c r="I54" s="115">
        <f>+'Model CONSUMPTION'!G4</f>
        <v>39.950000000000003</v>
      </c>
      <c r="J54" s="114">
        <f t="shared" ref="J54" si="98">IF(H54&gt;0,(+I54-H54)/H54,0)</f>
        <v>0</v>
      </c>
      <c r="K54" s="115">
        <f>+'BILLED CONSUMPTION'!E5</f>
        <v>0</v>
      </c>
      <c r="L54" s="115">
        <f>+'Model CONSUMPTION'!G5</f>
        <v>0</v>
      </c>
      <c r="M54" s="114">
        <f t="shared" ref="M54" si="99">IF(K54&gt;0,(+L54-K54)/K54,0)</f>
        <v>0</v>
      </c>
      <c r="N54" s="115">
        <f>E54+H54+K54</f>
        <v>39.950000000000003</v>
      </c>
      <c r="O54" s="115">
        <f>F54+I54+L54</f>
        <v>39.950000000000003</v>
      </c>
      <c r="P54" s="114">
        <f t="shared" ref="P54:P57" si="100">IF(N54&gt;0,(+O54-N54)/N54,0)</f>
        <v>0</v>
      </c>
      <c r="Q54" s="115">
        <f t="shared" ref="Q54:Q57" si="101">+B54+N54</f>
        <v>3191.95</v>
      </c>
      <c r="R54" s="115">
        <f t="shared" ref="R54:R57" si="102">+C54+O54</f>
        <v>3191.95</v>
      </c>
      <c r="S54" s="114">
        <f t="shared" ref="S54:S57" si="103">IF(Q54&gt;0,(+R54-Q54)/Q54,0)</f>
        <v>0</v>
      </c>
      <c r="U54" s="6"/>
      <c r="V54" s="6"/>
    </row>
    <row r="55" spans="1:22" s="97" customFormat="1" x14ac:dyDescent="0.25">
      <c r="A55" s="111" t="str">
        <f>+'Model CONSUMPTION'!A6</f>
        <v>Rate 0276 : Water METERED - FIRGROVE SPRING</v>
      </c>
      <c r="B55" s="112">
        <f>+'BILLED BASE'!D6</f>
        <v>1576</v>
      </c>
      <c r="C55" s="113">
        <f>+'Model BILLABLE BASE'!F6</f>
        <v>1576</v>
      </c>
      <c r="D55" s="114">
        <f t="shared" si="96"/>
        <v>0</v>
      </c>
      <c r="E55" s="115">
        <f>+'BILLED CONSUMPTION'!E6</f>
        <v>3134.04</v>
      </c>
      <c r="F55" s="115">
        <f>+'Model CONSUMPTION'!G6</f>
        <v>3134.04</v>
      </c>
      <c r="G55" s="114">
        <f t="shared" si="97"/>
        <v>0</v>
      </c>
      <c r="H55" s="115"/>
      <c r="I55" s="115"/>
      <c r="J55" s="114"/>
      <c r="K55" s="115"/>
      <c r="L55" s="115"/>
      <c r="M55" s="114"/>
      <c r="N55" s="115">
        <f t="shared" ref="N55:N57" si="104">E55+H55+K55</f>
        <v>3134.04</v>
      </c>
      <c r="O55" s="115">
        <f t="shared" ref="O55:O57" si="105">F55+I55+L55</f>
        <v>3134.04</v>
      </c>
      <c r="P55" s="114">
        <f t="shared" si="100"/>
        <v>0</v>
      </c>
      <c r="Q55" s="115">
        <f t="shared" si="101"/>
        <v>4710.04</v>
      </c>
      <c r="R55" s="115">
        <f t="shared" si="102"/>
        <v>4710.04</v>
      </c>
      <c r="S55" s="114">
        <f t="shared" si="103"/>
        <v>0</v>
      </c>
      <c r="U55" s="6"/>
      <c r="V55" s="6"/>
    </row>
    <row r="56" spans="1:22" x14ac:dyDescent="0.25">
      <c r="A56" s="111" t="str">
        <f>+'Model BILLABLE BASE'!A52</f>
        <v>Rate 1300 : Water FLAT RATE</v>
      </c>
      <c r="B56" s="112">
        <f>+'BILLED BASE'!D52</f>
        <v>1376.64</v>
      </c>
      <c r="C56" s="113">
        <f>+'Model BILLABLE BASE'!F52</f>
        <v>1376.64</v>
      </c>
      <c r="D56" s="114">
        <f t="shared" si="92"/>
        <v>0</v>
      </c>
      <c r="E56" s="115">
        <f>+'BILLED CONSUMPTION'!E52</f>
        <v>0</v>
      </c>
      <c r="F56" s="115">
        <f>+'Model CONSUMPTION'!G52</f>
        <v>0</v>
      </c>
      <c r="G56" s="114">
        <f t="shared" si="93"/>
        <v>0</v>
      </c>
      <c r="H56" s="115">
        <f>+'BILLED CONSUMPTION'!E53</f>
        <v>0</v>
      </c>
      <c r="I56" s="115">
        <f>+'Model CONSUMPTION'!G53</f>
        <v>0</v>
      </c>
      <c r="J56" s="114">
        <f t="shared" si="94"/>
        <v>0</v>
      </c>
      <c r="K56" s="115">
        <f>+'BILLED CONSUMPTION'!E54</f>
        <v>0</v>
      </c>
      <c r="L56" s="115">
        <f>+'Model CONSUMPTION'!G54</f>
        <v>0</v>
      </c>
      <c r="M56" s="114">
        <f t="shared" si="95"/>
        <v>0</v>
      </c>
      <c r="N56" s="115">
        <f t="shared" si="104"/>
        <v>0</v>
      </c>
      <c r="O56" s="115">
        <f t="shared" si="105"/>
        <v>0</v>
      </c>
      <c r="P56" s="114">
        <f t="shared" si="100"/>
        <v>0</v>
      </c>
      <c r="Q56" s="115">
        <f t="shared" si="101"/>
        <v>1376.64</v>
      </c>
      <c r="R56" s="115">
        <f t="shared" si="102"/>
        <v>1376.64</v>
      </c>
      <c r="S56" s="114">
        <f t="shared" si="103"/>
        <v>0</v>
      </c>
      <c r="U56" s="6"/>
      <c r="V56" s="6"/>
    </row>
    <row r="57" spans="1:22" x14ac:dyDescent="0.25">
      <c r="A57" s="111" t="s">
        <v>77</v>
      </c>
      <c r="B57" s="112">
        <f>+'BILLED BASE'!D53+'BILLED BASE'!D54+'BILLED BASE'!D55</f>
        <v>-70771.7</v>
      </c>
      <c r="C57" s="113">
        <f>+'Model BILLABLE BASE'!F53+'Model BILLABLE BASE'!F54+'Model BILLABLE BASE'!F55</f>
        <v>0</v>
      </c>
      <c r="D57" s="114">
        <f t="shared" si="92"/>
        <v>0</v>
      </c>
      <c r="E57" s="115">
        <f>+'BILLED CONSUMPTION'!E53</f>
        <v>0</v>
      </c>
      <c r="F57" s="115">
        <f>+'Model CONSUMPTION'!G53</f>
        <v>0</v>
      </c>
      <c r="G57" s="114">
        <f t="shared" si="93"/>
        <v>0</v>
      </c>
      <c r="H57" s="115">
        <f>+'BILLED CONSUMPTION'!E54</f>
        <v>0</v>
      </c>
      <c r="I57" s="115">
        <f>+'Model CONSUMPTION'!G54</f>
        <v>0</v>
      </c>
      <c r="J57" s="114">
        <f t="shared" si="94"/>
        <v>0</v>
      </c>
      <c r="K57" s="115">
        <f>+'BILLED CONSUMPTION'!E55</f>
        <v>0</v>
      </c>
      <c r="L57" s="115">
        <f>+'Model CONSUMPTION'!G55</f>
        <v>0</v>
      </c>
      <c r="M57" s="114">
        <f t="shared" si="95"/>
        <v>0</v>
      </c>
      <c r="N57" s="115">
        <f t="shared" si="104"/>
        <v>0</v>
      </c>
      <c r="O57" s="115">
        <f t="shared" si="105"/>
        <v>0</v>
      </c>
      <c r="P57" s="114">
        <f t="shared" si="100"/>
        <v>0</v>
      </c>
      <c r="Q57" s="115">
        <f t="shared" si="101"/>
        <v>-70771.7</v>
      </c>
      <c r="R57" s="115">
        <f t="shared" si="102"/>
        <v>0</v>
      </c>
      <c r="S57" s="114">
        <f t="shared" si="103"/>
        <v>0</v>
      </c>
      <c r="U57" s="6"/>
      <c r="V57" s="6"/>
    </row>
    <row r="58" spans="1:22" x14ac:dyDescent="0.25">
      <c r="B58" s="112"/>
      <c r="C58" s="113"/>
      <c r="D58" s="114"/>
      <c r="E58" s="115"/>
      <c r="F58" s="115"/>
      <c r="G58" s="114"/>
      <c r="H58" s="115"/>
      <c r="I58" s="115"/>
      <c r="J58" s="114"/>
      <c r="K58" s="115"/>
      <c r="L58" s="115"/>
      <c r="M58" s="114"/>
      <c r="N58" s="115"/>
      <c r="O58" s="115"/>
      <c r="P58" s="114"/>
      <c r="Q58" s="115"/>
      <c r="R58" s="115"/>
      <c r="S58" s="114"/>
    </row>
    <row r="59" spans="1:22" s="97" customFormat="1" x14ac:dyDescent="0.25">
      <c r="A59" s="120" t="s">
        <v>62</v>
      </c>
      <c r="B59" s="122"/>
      <c r="C59" s="122"/>
      <c r="D59" s="123"/>
      <c r="E59" s="122"/>
      <c r="F59" s="122"/>
      <c r="G59" s="123"/>
      <c r="H59" s="122"/>
      <c r="I59" s="122"/>
      <c r="J59" s="123"/>
      <c r="K59" s="122"/>
      <c r="L59" s="122"/>
      <c r="M59" s="123"/>
      <c r="N59" s="122"/>
      <c r="O59" s="122"/>
      <c r="P59" s="123"/>
      <c r="Q59" s="122"/>
      <c r="R59" s="122"/>
      <c r="S59" s="123"/>
    </row>
    <row r="60" spans="1:22" s="97" customFormat="1" x14ac:dyDescent="0.25">
      <c r="A60" s="121" t="s">
        <v>57</v>
      </c>
      <c r="B60" s="122"/>
      <c r="C60" s="122"/>
      <c r="D60" s="123"/>
      <c r="E60" s="122"/>
      <c r="F60" s="122"/>
      <c r="G60" s="123"/>
      <c r="H60" s="122"/>
      <c r="I60" s="122"/>
      <c r="J60" s="123"/>
      <c r="K60" s="122"/>
      <c r="L60" s="122"/>
      <c r="M60" s="123"/>
      <c r="N60" s="122"/>
      <c r="O60" s="122"/>
      <c r="P60" s="123"/>
      <c r="Q60" s="122"/>
      <c r="R60" s="122"/>
      <c r="S60" s="123"/>
    </row>
    <row r="61" spans="1:22" x14ac:dyDescent="0.25">
      <c r="A61" s="111" t="str">
        <f>+'Model BILLABLE BASE'!A58</f>
        <v>Residential Total</v>
      </c>
      <c r="B61" s="112">
        <f>SUM(B34:B41)</f>
        <v>3164510.37</v>
      </c>
      <c r="C61" s="112">
        <f>SUM(C34:C41)</f>
        <v>3376895</v>
      </c>
      <c r="D61" s="114">
        <f t="shared" si="92"/>
        <v>6.7114531212612169E-2</v>
      </c>
      <c r="E61" s="112">
        <f t="shared" ref="E61:F61" si="106">SUM(E34:E41)</f>
        <v>1029645</v>
      </c>
      <c r="F61" s="112">
        <f t="shared" si="106"/>
        <v>1091423.7</v>
      </c>
      <c r="G61" s="114">
        <f t="shared" si="93"/>
        <v>5.9999999999999956E-2</v>
      </c>
      <c r="H61" s="112">
        <f t="shared" ref="H61:I61" si="107">SUM(H34:H41)</f>
        <v>956864.4</v>
      </c>
      <c r="I61" s="112">
        <f t="shared" si="107"/>
        <v>956864.4</v>
      </c>
      <c r="J61" s="114">
        <f t="shared" si="94"/>
        <v>0</v>
      </c>
      <c r="K61" s="112">
        <f t="shared" ref="K61:L61" si="108">SUM(K34:K41)</f>
        <v>734697.03999999992</v>
      </c>
      <c r="L61" s="112">
        <f t="shared" si="108"/>
        <v>734697.03999999992</v>
      </c>
      <c r="M61" s="114">
        <f t="shared" si="95"/>
        <v>0</v>
      </c>
      <c r="N61" s="112">
        <f t="shared" ref="N61:O61" si="109">SUM(N34:N41)</f>
        <v>2721206.44</v>
      </c>
      <c r="O61" s="112">
        <f t="shared" si="109"/>
        <v>2782985.1399999997</v>
      </c>
      <c r="P61" s="114">
        <f t="shared" ref="P61:P62" si="110">IF(N61&gt;0,(+O61-N61)/N61,0)</f>
        <v>2.2702687709352812E-2</v>
      </c>
      <c r="Q61" s="112">
        <f t="shared" ref="Q61:R61" si="111">SUM(Q34:Q41)</f>
        <v>5885716.8099999996</v>
      </c>
      <c r="R61" s="112">
        <f t="shared" si="111"/>
        <v>6159880.1400000006</v>
      </c>
      <c r="S61" s="114">
        <f t="shared" ref="S61:S62" si="112">IF(Q61&gt;0,(+R61-Q61)/Q61,0)</f>
        <v>4.6581128323093926E-2</v>
      </c>
      <c r="U61" s="6"/>
      <c r="V61" s="6"/>
    </row>
    <row r="62" spans="1:22" x14ac:dyDescent="0.25">
      <c r="A62" s="111" t="str">
        <f>+'Model BILLABLE BASE'!A59</f>
        <v>Non Residential Total</v>
      </c>
      <c r="B62" s="112">
        <f>SUM(B44:B50)</f>
        <v>272595.22000000003</v>
      </c>
      <c r="C62" s="112">
        <f>SUM(C44:C50)</f>
        <v>290890.5</v>
      </c>
      <c r="D62" s="114">
        <f t="shared" si="92"/>
        <v>6.7115190060926116E-2</v>
      </c>
      <c r="E62" s="112">
        <f>SUM(E44:E50)</f>
        <v>90507</v>
      </c>
      <c r="F62" s="112">
        <f>SUM(F44:F50)</f>
        <v>95937.420000000013</v>
      </c>
      <c r="G62" s="114">
        <f t="shared" si="93"/>
        <v>6.0000000000000143E-2</v>
      </c>
      <c r="H62" s="112">
        <f>SUM(H44:H50)</f>
        <v>152531.4</v>
      </c>
      <c r="I62" s="112">
        <f>SUM(I44:I50)</f>
        <v>152531.4</v>
      </c>
      <c r="J62" s="114">
        <f t="shared" si="94"/>
        <v>0</v>
      </c>
      <c r="K62" s="112">
        <f>SUM(K44:K50)</f>
        <v>278721.07999999996</v>
      </c>
      <c r="L62" s="112">
        <f>SUM(L44:L50)</f>
        <v>278721.07999999996</v>
      </c>
      <c r="M62" s="114">
        <f t="shared" si="95"/>
        <v>0</v>
      </c>
      <c r="N62" s="112">
        <f>SUM(N44:N50)</f>
        <v>521759.48</v>
      </c>
      <c r="O62" s="112">
        <f>SUM(O44:O50)</f>
        <v>527189.9</v>
      </c>
      <c r="P62" s="114">
        <f t="shared" si="110"/>
        <v>1.0407899057243852E-2</v>
      </c>
      <c r="Q62" s="112">
        <f>SUM(Q44:Q50)</f>
        <v>794354.7</v>
      </c>
      <c r="R62" s="112">
        <f>SUM(R44:R50)</f>
        <v>818080.4</v>
      </c>
      <c r="S62" s="114">
        <f t="shared" si="112"/>
        <v>2.9867891509926324E-2</v>
      </c>
      <c r="U62" s="6"/>
      <c r="V62" s="6"/>
    </row>
    <row r="63" spans="1:22" x14ac:dyDescent="0.25">
      <c r="A63" s="111" t="str">
        <f>+'Model BILLABLE BASE'!A57</f>
        <v>Wholesale Total</v>
      </c>
      <c r="B63" s="112">
        <f>SUM(B54:B55)</f>
        <v>4728</v>
      </c>
      <c r="C63" s="112">
        <f>SUM(C54:C55)</f>
        <v>4728</v>
      </c>
      <c r="D63" s="114">
        <f>IF(B63&gt;0,(+C63-B63)/B63,0)</f>
        <v>0</v>
      </c>
      <c r="E63" s="112">
        <f>SUM(E54:E55)</f>
        <v>3134.04</v>
      </c>
      <c r="F63" s="112">
        <f>SUM(F54:F55)</f>
        <v>3134.04</v>
      </c>
      <c r="G63" s="114">
        <f>IF(E63&gt;0,(+F63-E63)/E63,0)</f>
        <v>0</v>
      </c>
      <c r="H63" s="112">
        <f>SUM(H54:H55)</f>
        <v>39.950000000000003</v>
      </c>
      <c r="I63" s="112">
        <f>SUM(I54:I55)</f>
        <v>39.950000000000003</v>
      </c>
      <c r="J63" s="114">
        <f>IF(H63&gt;0,(+I63-H63)/H63,0)</f>
        <v>0</v>
      </c>
      <c r="K63" s="112">
        <f>SUM(K54:K55)</f>
        <v>0</v>
      </c>
      <c r="L63" s="112">
        <f>SUM(L54:L55)</f>
        <v>0</v>
      </c>
      <c r="M63" s="114">
        <f>IF(K63&gt;0,(+L63-K63)/K63,0)</f>
        <v>0</v>
      </c>
      <c r="N63" s="112">
        <f>SUM(N54:N55)</f>
        <v>3173.99</v>
      </c>
      <c r="O63" s="112">
        <f>SUM(O54:O55)</f>
        <v>3173.99</v>
      </c>
      <c r="P63" s="114">
        <f>IF(N63&gt;0,(+O63-N63)/N63,0)</f>
        <v>0</v>
      </c>
      <c r="Q63" s="112">
        <f>SUM(Q54:Q55)</f>
        <v>7901.99</v>
      </c>
      <c r="R63" s="112">
        <f>SUM(R54:R55)</f>
        <v>7901.99</v>
      </c>
      <c r="S63" s="114">
        <f>IF(Q63&gt;0,(+R63-Q63)/Q63,0)</f>
        <v>0</v>
      </c>
      <c r="U63" s="6"/>
      <c r="V63" s="6"/>
    </row>
    <row r="64" spans="1:22" x14ac:dyDescent="0.25">
      <c r="A64" s="111" t="s">
        <v>84</v>
      </c>
      <c r="B64" s="112">
        <f>SUM(B56)</f>
        <v>1376.64</v>
      </c>
      <c r="C64" s="112">
        <f>SUM(C56)</f>
        <v>1376.64</v>
      </c>
      <c r="D64" s="114">
        <f>IF(B64&gt;0,(+C64-B64)/B64,0)</f>
        <v>0</v>
      </c>
      <c r="E64" s="112">
        <f>SUM(E56)</f>
        <v>0</v>
      </c>
      <c r="F64" s="112">
        <f>SUM(F56)</f>
        <v>0</v>
      </c>
      <c r="G64" s="114">
        <f>IF(E64&gt;0,(+F64-E64)/E64,0)</f>
        <v>0</v>
      </c>
      <c r="H64" s="112">
        <f>SUM(H56)</f>
        <v>0</v>
      </c>
      <c r="I64" s="112">
        <f>SUM(I56)</f>
        <v>0</v>
      </c>
      <c r="J64" s="114">
        <f>IF(H64&gt;0,(+I64-H64)/H64,0)</f>
        <v>0</v>
      </c>
      <c r="K64" s="112">
        <f>SUM(K56)</f>
        <v>0</v>
      </c>
      <c r="L64" s="112">
        <f>SUM(L56)</f>
        <v>0</v>
      </c>
      <c r="M64" s="114">
        <f>IF(K64&gt;0,(+L64-K64)/K64,0)</f>
        <v>0</v>
      </c>
      <c r="N64" s="112">
        <f>SUM(N56)</f>
        <v>0</v>
      </c>
      <c r="O64" s="112">
        <f>SUM(O56)</f>
        <v>0</v>
      </c>
      <c r="P64" s="114">
        <f>IF(N64&gt;0,(+O64-N64)/N64,0)</f>
        <v>0</v>
      </c>
      <c r="Q64" s="112">
        <f>SUM(Q56)</f>
        <v>1376.64</v>
      </c>
      <c r="R64" s="112">
        <f>SUM(R56)</f>
        <v>1376.64</v>
      </c>
      <c r="S64" s="114">
        <f>IF(Q64&gt;0,(+R64-Q64)/Q64,0)</f>
        <v>0</v>
      </c>
      <c r="U64" s="6"/>
      <c r="V64" s="6"/>
    </row>
    <row r="65" spans="1:22" x14ac:dyDescent="0.25">
      <c r="A65" s="111" t="s">
        <v>85</v>
      </c>
      <c r="B65" s="112">
        <f>SUM(B57)</f>
        <v>-70771.7</v>
      </c>
      <c r="C65" s="112">
        <f>SUM(C57)</f>
        <v>0</v>
      </c>
      <c r="D65" s="114">
        <f>IF(B65&gt;0,(+C65-B65)/B65,0)</f>
        <v>0</v>
      </c>
      <c r="E65" s="112">
        <f>SUM(E57)</f>
        <v>0</v>
      </c>
      <c r="F65" s="112">
        <f>SUM(F57)</f>
        <v>0</v>
      </c>
      <c r="G65" s="114">
        <f>IF(E65&gt;0,(+F65-E65)/E65,0)</f>
        <v>0</v>
      </c>
      <c r="H65" s="112">
        <f>SUM(H57)</f>
        <v>0</v>
      </c>
      <c r="I65" s="112">
        <f>SUM(I57)</f>
        <v>0</v>
      </c>
      <c r="J65" s="114">
        <f>IF(H65&gt;0,(+I65-H65)/H65,0)</f>
        <v>0</v>
      </c>
      <c r="K65" s="112">
        <f>SUM(K57)</f>
        <v>0</v>
      </c>
      <c r="L65" s="112">
        <f>SUM(L57)</f>
        <v>0</v>
      </c>
      <c r="M65" s="114">
        <f>IF(K65&gt;0,(+L65-K65)/K65,0)</f>
        <v>0</v>
      </c>
      <c r="N65" s="112">
        <f>SUM(N57)</f>
        <v>0</v>
      </c>
      <c r="O65" s="112">
        <f>SUM(O57)</f>
        <v>0</v>
      </c>
      <c r="P65" s="114">
        <f>IF(N65&gt;0,(+O65-N65)/N65,0)</f>
        <v>0</v>
      </c>
      <c r="Q65" s="112">
        <f>SUM(Q57)</f>
        <v>-70771.7</v>
      </c>
      <c r="R65" s="112">
        <f>SUM(R57)</f>
        <v>0</v>
      </c>
      <c r="S65" s="114">
        <f>IF(Q65&gt;0,(+R65-Q65)/Q65,0)</f>
        <v>0</v>
      </c>
      <c r="U65" s="6"/>
      <c r="V65" s="6"/>
    </row>
    <row r="66" spans="1:22" x14ac:dyDescent="0.25">
      <c r="A66" s="111" t="str">
        <f>+'Model BILLABLE BASE'!A61</f>
        <v xml:space="preserve">  TOTAL</v>
      </c>
      <c r="B66" s="112">
        <f t="shared" ref="B66" si="113">SUM(B61:B65)</f>
        <v>3372438.5300000003</v>
      </c>
      <c r="C66" s="112">
        <f t="shared" ref="C66" si="114">SUM(C61:C65)</f>
        <v>3673890.14</v>
      </c>
      <c r="D66" s="114">
        <f t="shared" si="92"/>
        <v>8.9386836058951036E-2</v>
      </c>
      <c r="E66" s="112">
        <f t="shared" ref="E66" si="115">SUM(E61:E65)</f>
        <v>1123286.04</v>
      </c>
      <c r="F66" s="112">
        <f t="shared" ref="F66" si="116">SUM(F61:F65)</f>
        <v>1190495.1599999999</v>
      </c>
      <c r="G66" s="114">
        <f t="shared" si="93"/>
        <v>5.9832596156896845E-2</v>
      </c>
      <c r="H66" s="112">
        <f t="shared" ref="H66" si="117">SUM(H61:H65)</f>
        <v>1109435.75</v>
      </c>
      <c r="I66" s="112">
        <f t="shared" ref="I66" si="118">SUM(I61:I65)</f>
        <v>1109435.75</v>
      </c>
      <c r="J66" s="114">
        <f t="shared" si="94"/>
        <v>0</v>
      </c>
      <c r="K66" s="112">
        <f t="shared" ref="K66:L66" si="119">SUM(K61:K65)</f>
        <v>1013418.1199999999</v>
      </c>
      <c r="L66" s="112">
        <f t="shared" si="119"/>
        <v>1013418.1199999999</v>
      </c>
      <c r="M66" s="114">
        <f t="shared" si="95"/>
        <v>0</v>
      </c>
      <c r="N66" s="112">
        <f t="shared" ref="N66:O66" si="120">SUM(N61:N65)</f>
        <v>3246139.91</v>
      </c>
      <c r="O66" s="112">
        <f t="shared" si="120"/>
        <v>3313349.03</v>
      </c>
      <c r="P66" s="114">
        <f t="shared" ref="P66:P67" si="121">IF(N66&gt;0,(+O66-N66)/N66,0)</f>
        <v>2.0704320165916584E-2</v>
      </c>
      <c r="Q66" s="112">
        <f>SUM(Q61:Q65)</f>
        <v>6618578.4399999995</v>
      </c>
      <c r="R66" s="112">
        <f>SUM(R61:R65)</f>
        <v>6987239.1700000009</v>
      </c>
      <c r="S66" s="114">
        <f t="shared" ref="S66:S67" si="122">IF(Q66&gt;0,(+R66-Q66)/Q66,0)</f>
        <v>5.5700893075764681E-2</v>
      </c>
      <c r="U66" s="6"/>
      <c r="V66" s="6"/>
    </row>
    <row r="67" spans="1:22" s="111" customFormat="1" x14ac:dyDescent="0.25">
      <c r="A67" s="111" t="str">
        <f>+'Model BILLABLE BASE'!A62</f>
        <v xml:space="preserve">   check total</v>
      </c>
      <c r="B67" s="173">
        <f>+'BILLED BASE'!D64</f>
        <v>3370785.35</v>
      </c>
      <c r="C67" s="174">
        <f>+'Model BILLABLE BASE'!F61</f>
        <v>3673890.14</v>
      </c>
      <c r="D67" s="114"/>
      <c r="E67" s="115"/>
      <c r="F67" s="115"/>
      <c r="G67" s="114"/>
      <c r="H67" s="115"/>
      <c r="I67" s="115"/>
      <c r="J67" s="114"/>
      <c r="K67" s="115"/>
      <c r="L67" s="115"/>
      <c r="M67" s="114"/>
      <c r="N67" s="175">
        <f>+'BILLED CONSUMPTION'!E64</f>
        <v>3252067.37</v>
      </c>
      <c r="O67" s="174">
        <f>+'Model CONSUMPTION'!G61</f>
        <v>3313349.0299999993</v>
      </c>
      <c r="P67" s="114">
        <f t="shared" si="121"/>
        <v>1.8843908513494052E-2</v>
      </c>
      <c r="Q67" s="115">
        <f>+B67+N67</f>
        <v>6622852.7200000007</v>
      </c>
      <c r="R67" s="115">
        <f>+'Model CONSUMPTION'!G61+'Model BILLABLE BASE'!F61</f>
        <v>6987239.1699999999</v>
      </c>
      <c r="S67" s="114">
        <f t="shared" si="122"/>
        <v>5.5019561117463478E-2</v>
      </c>
      <c r="U67" s="6"/>
    </row>
    <row r="68" spans="1:22" s="111" customFormat="1" ht="11.25" x14ac:dyDescent="0.2">
      <c r="A68" s="111" t="s">
        <v>64</v>
      </c>
      <c r="B68" s="175">
        <f>+B67-B66</f>
        <v>-1653.1800000001676</v>
      </c>
      <c r="C68" s="175">
        <f>+C67-C66</f>
        <v>0</v>
      </c>
      <c r="N68" s="175">
        <f>+N67-N66</f>
        <v>5927.4599999999627</v>
      </c>
      <c r="O68" s="175">
        <f>+O67-O66</f>
        <v>0</v>
      </c>
      <c r="Q68" s="116">
        <f>+Q67-Q66</f>
        <v>4274.2800000011921</v>
      </c>
      <c r="R68" s="116">
        <f>+R67-R66</f>
        <v>0</v>
      </c>
    </row>
    <row r="69" spans="1:22" x14ac:dyDescent="0.25">
      <c r="Q69" s="116">
        <f>+B68+N68-Q68</f>
        <v>-1.3969838619232178E-9</v>
      </c>
    </row>
    <row r="70" spans="1:22" x14ac:dyDescent="0.25">
      <c r="P70" s="126" t="s">
        <v>109</v>
      </c>
      <c r="Q70" s="127">
        <f>+R66</f>
        <v>6987239.1700000009</v>
      </c>
    </row>
    <row r="71" spans="1:22" ht="45" customHeight="1" x14ac:dyDescent="0.25">
      <c r="P71" s="128" t="s">
        <v>66</v>
      </c>
      <c r="Q71" s="159">
        <v>6979222</v>
      </c>
    </row>
    <row r="72" spans="1:22" x14ac:dyDescent="0.25">
      <c r="A72" s="86"/>
      <c r="B72" s="86"/>
      <c r="C72" s="86"/>
      <c r="P72" s="126" t="s">
        <v>67</v>
      </c>
      <c r="Q72" s="129">
        <f>+Q71-Q70</f>
        <v>-8017.1700000008568</v>
      </c>
    </row>
  </sheetData>
  <pageMargins left="0.2" right="0.19" top="0.75" bottom="0.54" header="0.3" footer="0.3"/>
  <pageSetup scale="84" orientation="landscape" r:id="rId1"/>
  <rowBreaks count="1" manualBreakCount="1">
    <brk id="41" max="16383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0.39997558519241921"/>
  </sheetPr>
  <dimension ref="A1:AD81"/>
  <sheetViews>
    <sheetView tabSelected="1" workbookViewId="0">
      <pane xSplit="1" ySplit="1" topLeftCell="T53" activePane="bottomRight" state="frozen"/>
      <selection activeCell="B55" sqref="B55"/>
      <selection pane="topRight" activeCell="B55" sqref="B55"/>
      <selection pane="bottomLeft" activeCell="B55" sqref="B55"/>
      <selection pane="bottomRight" activeCell="X67" sqref="X67"/>
    </sheetView>
  </sheetViews>
  <sheetFormatPr defaultRowHeight="12.75" x14ac:dyDescent="0.2"/>
  <cols>
    <col min="1" max="1" width="42.5703125" customWidth="1"/>
    <col min="2" max="17" width="14" customWidth="1"/>
    <col min="18" max="18" width="17.5703125" bestFit="1" customWidth="1"/>
    <col min="19" max="20" width="9.85546875" bestFit="1" customWidth="1"/>
    <col min="21" max="21" width="22.5703125" style="289" customWidth="1"/>
    <col min="22" max="22" width="21" style="289" customWidth="1"/>
    <col min="23" max="24" width="22.28515625" style="289" customWidth="1"/>
    <col min="25" max="25" width="21.42578125" style="289" customWidth="1"/>
    <col min="26" max="26" width="24.7109375" style="289" customWidth="1"/>
    <col min="27" max="27" width="12" style="289" customWidth="1"/>
    <col min="28" max="28" width="8.7109375" style="289"/>
  </cols>
  <sheetData>
    <row r="1" spans="1:30" s="4" customFormat="1" ht="45" x14ac:dyDescent="0.2">
      <c r="A1" s="3" t="s">
        <v>0</v>
      </c>
      <c r="B1" s="3" t="s">
        <v>107</v>
      </c>
      <c r="C1" s="3" t="s">
        <v>1</v>
      </c>
      <c r="D1" s="3" t="s">
        <v>2</v>
      </c>
      <c r="E1" s="24" t="s">
        <v>26</v>
      </c>
      <c r="F1" s="5">
        <v>43112</v>
      </c>
      <c r="G1" s="5">
        <v>43143</v>
      </c>
      <c r="H1" s="5">
        <v>43171</v>
      </c>
      <c r="I1" s="5">
        <v>43202</v>
      </c>
      <c r="J1" s="5">
        <v>43232</v>
      </c>
      <c r="K1" s="5">
        <v>43263</v>
      </c>
      <c r="L1" s="5">
        <v>43293</v>
      </c>
      <c r="M1" s="5">
        <v>43324</v>
      </c>
      <c r="N1" s="5">
        <v>43355</v>
      </c>
      <c r="O1" s="5">
        <v>43385</v>
      </c>
      <c r="P1" s="5">
        <v>43416</v>
      </c>
      <c r="Q1" s="5">
        <v>43446</v>
      </c>
      <c r="U1" s="247"/>
      <c r="V1" s="247" t="s">
        <v>123</v>
      </c>
      <c r="W1" s="247" t="s">
        <v>124</v>
      </c>
      <c r="X1" s="247" t="s">
        <v>125</v>
      </c>
      <c r="Y1" s="247" t="s">
        <v>126</v>
      </c>
      <c r="Z1" s="247" t="s">
        <v>127</v>
      </c>
      <c r="AA1" s="247"/>
      <c r="AB1" s="247"/>
      <c r="AC1" s="248"/>
      <c r="AD1" s="248"/>
    </row>
    <row r="2" spans="1:30" s="4" customFormat="1" ht="15" x14ac:dyDescent="0.2">
      <c r="A2" s="29"/>
      <c r="B2" s="29"/>
      <c r="C2" s="29"/>
      <c r="D2" s="33"/>
      <c r="E2" s="30"/>
      <c r="F2" s="31"/>
      <c r="G2" s="163"/>
      <c r="H2" s="163"/>
      <c r="I2" s="31"/>
      <c r="J2" s="31"/>
      <c r="K2" s="163"/>
      <c r="L2" s="31"/>
      <c r="M2" s="31"/>
      <c r="N2" s="31"/>
      <c r="O2" s="31"/>
      <c r="P2" s="31"/>
      <c r="Q2" s="31"/>
      <c r="R2" s="32"/>
      <c r="U2" s="247"/>
      <c r="V2" s="247"/>
      <c r="W2" s="247"/>
      <c r="X2" s="247"/>
      <c r="Y2" s="247"/>
      <c r="Z2" s="247"/>
      <c r="AA2" s="247"/>
      <c r="AB2" s="247"/>
      <c r="AC2" s="248"/>
      <c r="AD2" s="248"/>
    </row>
    <row r="3" spans="1:30" ht="18.600000000000001" customHeight="1" x14ac:dyDescent="0.2">
      <c r="A3" s="27" t="s">
        <v>4</v>
      </c>
      <c r="B3" s="222">
        <v>0</v>
      </c>
      <c r="C3" s="135">
        <f>+'Modeling &amp; Presentation'!E27</f>
        <v>0</v>
      </c>
      <c r="D3" s="151">
        <v>10000</v>
      </c>
      <c r="E3" s="152">
        <f t="shared" ref="E3:E55" si="0">SUM(F3:Q3)</f>
        <v>49600</v>
      </c>
      <c r="F3" s="171">
        <v>3300</v>
      </c>
      <c r="G3" s="145">
        <v>6100</v>
      </c>
      <c r="H3" s="145">
        <v>5000</v>
      </c>
      <c r="I3" s="145">
        <v>4700</v>
      </c>
      <c r="J3" s="145">
        <v>10000</v>
      </c>
      <c r="K3" s="215"/>
      <c r="L3" s="215"/>
      <c r="M3" s="215"/>
      <c r="N3" s="215"/>
      <c r="O3" s="145">
        <v>6000</v>
      </c>
      <c r="P3" s="145">
        <v>5700</v>
      </c>
      <c r="Q3" s="145">
        <v>8800</v>
      </c>
      <c r="U3" s="249"/>
      <c r="V3" s="249"/>
      <c r="W3" s="249"/>
      <c r="X3" s="249"/>
      <c r="Y3" s="249"/>
      <c r="Z3" s="249"/>
      <c r="AA3" s="249"/>
      <c r="AB3" s="249"/>
      <c r="AC3" s="250"/>
      <c r="AD3" s="250"/>
    </row>
    <row r="4" spans="1:30" ht="18.600000000000001" customHeight="1" x14ac:dyDescent="0.2">
      <c r="A4" s="1" t="s">
        <v>4</v>
      </c>
      <c r="B4" s="223">
        <v>8.5000000000000006E-3</v>
      </c>
      <c r="C4" s="136">
        <f>+'Modeling &amp; Presentation'!H27</f>
        <v>8.5000000000000006E-3</v>
      </c>
      <c r="D4" s="153">
        <v>60000</v>
      </c>
      <c r="E4" s="152">
        <f t="shared" si="0"/>
        <v>4700</v>
      </c>
      <c r="F4" s="145"/>
      <c r="G4" s="145"/>
      <c r="H4" s="145"/>
      <c r="I4" s="145"/>
      <c r="J4" s="145">
        <v>4700</v>
      </c>
      <c r="K4" s="215"/>
      <c r="L4" s="215"/>
      <c r="M4" s="215"/>
      <c r="N4" s="215"/>
      <c r="O4" s="145"/>
      <c r="P4" s="145"/>
      <c r="Q4" s="145"/>
      <c r="U4" s="249"/>
      <c r="V4" s="249"/>
      <c r="W4" s="249"/>
      <c r="X4" s="249"/>
      <c r="Y4" s="249"/>
      <c r="Z4" s="249"/>
      <c r="AA4" s="249"/>
      <c r="AB4" s="249"/>
      <c r="AC4" s="250"/>
      <c r="AD4" s="250"/>
    </row>
    <row r="5" spans="1:30" ht="18.600000000000001" customHeight="1" x14ac:dyDescent="0.2">
      <c r="A5" s="1" t="s">
        <v>4</v>
      </c>
      <c r="B5" s="223">
        <v>0.05</v>
      </c>
      <c r="C5" s="136">
        <f>+'Modeling &amp; Presentation'!K27</f>
        <v>0.05</v>
      </c>
      <c r="D5" s="153">
        <v>999999999</v>
      </c>
      <c r="E5" s="152">
        <f t="shared" si="0"/>
        <v>0</v>
      </c>
      <c r="F5" s="145"/>
      <c r="G5" s="145"/>
      <c r="H5" s="145"/>
      <c r="I5" s="145"/>
      <c r="J5" s="145"/>
      <c r="K5" s="215"/>
      <c r="L5" s="215"/>
      <c r="M5" s="215"/>
      <c r="N5" s="215"/>
      <c r="O5" s="145"/>
      <c r="P5" s="145"/>
      <c r="Q5" s="145"/>
      <c r="U5" s="249"/>
      <c r="V5" s="249"/>
      <c r="W5" s="249"/>
      <c r="X5" s="249"/>
      <c r="Y5" s="249"/>
      <c r="Z5" s="249"/>
      <c r="AA5" s="249"/>
      <c r="AB5" s="249"/>
      <c r="AC5" s="250"/>
      <c r="AD5" s="250"/>
    </row>
    <row r="6" spans="1:30" ht="26.45" customHeight="1" x14ac:dyDescent="0.2">
      <c r="A6" s="1" t="s">
        <v>5</v>
      </c>
      <c r="B6" s="223">
        <v>2.1839999999999998E-2</v>
      </c>
      <c r="C6" s="136">
        <f>+'Modeling &amp; Presentation'!E28</f>
        <v>2.1839999999999998E-2</v>
      </c>
      <c r="D6" s="153">
        <v>999999999</v>
      </c>
      <c r="E6" s="152">
        <f t="shared" si="0"/>
        <v>143500</v>
      </c>
      <c r="F6" s="215"/>
      <c r="G6" s="215"/>
      <c r="H6" s="215"/>
      <c r="I6" s="215"/>
      <c r="J6" s="215"/>
      <c r="K6" s="145">
        <v>26800</v>
      </c>
      <c r="L6" s="145">
        <v>36900</v>
      </c>
      <c r="M6" s="145">
        <v>41600</v>
      </c>
      <c r="N6" s="145">
        <v>38200</v>
      </c>
      <c r="O6" s="215"/>
      <c r="P6" s="215"/>
      <c r="Q6" s="215"/>
      <c r="U6" s="249"/>
      <c r="V6" s="249"/>
      <c r="W6" s="249"/>
      <c r="X6" s="249"/>
      <c r="Y6" s="249"/>
      <c r="Z6" s="249"/>
      <c r="AA6" s="249"/>
      <c r="AB6" s="249"/>
      <c r="AC6" s="250"/>
      <c r="AD6" s="250"/>
    </row>
    <row r="7" spans="1:30" ht="15" x14ac:dyDescent="0.2">
      <c r="A7" s="1" t="s">
        <v>98</v>
      </c>
      <c r="B7" s="223">
        <v>0.01</v>
      </c>
      <c r="C7" s="136">
        <f>+'Modeling &amp; Presentation'!E6</f>
        <v>0.01</v>
      </c>
      <c r="D7" s="153">
        <v>500</v>
      </c>
      <c r="E7" s="152">
        <f t="shared" ref="E7:E12" si="1">SUM(F7:Q7)</f>
        <v>0</v>
      </c>
      <c r="F7" s="158"/>
      <c r="G7" s="158"/>
      <c r="H7" s="210"/>
      <c r="I7" s="158"/>
      <c r="J7" s="158"/>
      <c r="K7" s="158"/>
      <c r="L7" s="158"/>
      <c r="M7" s="158"/>
      <c r="N7" s="158"/>
      <c r="O7" s="158"/>
      <c r="P7" s="158"/>
      <c r="Q7" s="158"/>
      <c r="U7" s="249"/>
      <c r="V7" s="249"/>
      <c r="W7" s="249"/>
      <c r="X7" s="249"/>
      <c r="Y7" s="249"/>
      <c r="Z7" s="249"/>
      <c r="AA7" s="249"/>
      <c r="AB7" s="249"/>
      <c r="AC7" s="250"/>
      <c r="AD7" s="250"/>
    </row>
    <row r="8" spans="1:30" ht="15" x14ac:dyDescent="0.2">
      <c r="A8" s="1" t="s">
        <v>98</v>
      </c>
      <c r="B8" s="223">
        <v>1.2500000000000001E-2</v>
      </c>
      <c r="C8" s="136">
        <f>+'Modeling &amp; Presentation'!H6</f>
        <v>1.2500000000000001E-2</v>
      </c>
      <c r="D8" s="153">
        <v>500</v>
      </c>
      <c r="E8" s="152">
        <f t="shared" si="1"/>
        <v>0</v>
      </c>
      <c r="F8" s="158"/>
      <c r="G8" s="158"/>
      <c r="H8" s="210"/>
      <c r="I8" s="158"/>
      <c r="J8" s="158"/>
      <c r="K8" s="158"/>
      <c r="L8" s="158"/>
      <c r="M8" s="158"/>
      <c r="N8" s="158"/>
      <c r="O8" s="158"/>
      <c r="P8" s="158"/>
      <c r="Q8" s="158"/>
      <c r="U8" s="249"/>
      <c r="V8" s="249"/>
      <c r="W8" s="249"/>
      <c r="X8" s="249"/>
      <c r="Y8" s="249"/>
      <c r="Z8" s="249"/>
      <c r="AA8" s="249"/>
      <c r="AB8" s="249"/>
      <c r="AC8" s="250"/>
      <c r="AD8" s="250"/>
    </row>
    <row r="9" spans="1:30" ht="15" x14ac:dyDescent="0.2">
      <c r="A9" s="1" t="s">
        <v>98</v>
      </c>
      <c r="B9" s="223">
        <v>1.6E-2</v>
      </c>
      <c r="C9" s="136">
        <f>+'Modeling &amp; Presentation'!K6</f>
        <v>1.6E-2</v>
      </c>
      <c r="D9" s="153">
        <v>999999999</v>
      </c>
      <c r="E9" s="152">
        <f t="shared" si="1"/>
        <v>0</v>
      </c>
      <c r="F9" s="158"/>
      <c r="G9" s="158"/>
      <c r="H9" s="210"/>
      <c r="I9" s="158"/>
      <c r="J9" s="210"/>
      <c r="K9" s="210"/>
      <c r="L9" s="210"/>
      <c r="M9" s="158"/>
      <c r="N9" s="158"/>
      <c r="O9" s="158"/>
      <c r="P9" s="158"/>
      <c r="Q9" s="158"/>
      <c r="U9" s="249"/>
      <c r="V9" s="249"/>
      <c r="W9" s="249"/>
      <c r="X9" s="249"/>
      <c r="Y9" s="249"/>
      <c r="Z9" s="249"/>
      <c r="AA9" s="249"/>
      <c r="AB9" s="249"/>
      <c r="AC9" s="250"/>
      <c r="AD9" s="250"/>
    </row>
    <row r="10" spans="1:30" ht="15" x14ac:dyDescent="0.2">
      <c r="A10" s="214" t="s">
        <v>102</v>
      </c>
      <c r="B10" s="223">
        <v>0.01</v>
      </c>
      <c r="C10" s="136">
        <v>0.01</v>
      </c>
      <c r="D10" s="153">
        <v>600</v>
      </c>
      <c r="E10" s="152">
        <f t="shared" si="1"/>
        <v>45945000</v>
      </c>
      <c r="F10" s="209"/>
      <c r="G10" s="158"/>
      <c r="H10" s="210"/>
      <c r="I10" s="158"/>
      <c r="J10" s="170">
        <v>8247900</v>
      </c>
      <c r="K10" s="170">
        <v>9210200</v>
      </c>
      <c r="L10" s="170">
        <v>9405200</v>
      </c>
      <c r="M10" s="145">
        <v>9588300</v>
      </c>
      <c r="N10" s="145">
        <v>9493400</v>
      </c>
      <c r="O10" s="158"/>
      <c r="P10" s="158"/>
      <c r="Q10" s="158"/>
      <c r="U10" s="249"/>
      <c r="V10" s="251">
        <f>E10</f>
        <v>45945000</v>
      </c>
      <c r="W10" s="252"/>
      <c r="X10" s="249"/>
      <c r="Y10" s="249"/>
      <c r="Z10" s="249"/>
      <c r="AA10" s="249"/>
      <c r="AB10" s="249"/>
      <c r="AC10" s="250"/>
      <c r="AD10" s="250"/>
    </row>
    <row r="11" spans="1:30" ht="15" x14ac:dyDescent="0.2">
      <c r="A11" s="214" t="s">
        <v>102</v>
      </c>
      <c r="B11" s="223">
        <v>1.15E-2</v>
      </c>
      <c r="C11" s="136">
        <f>+'Modeling &amp; Presentation'!H7</f>
        <v>1.15E-2</v>
      </c>
      <c r="D11" s="153">
        <v>2400</v>
      </c>
      <c r="E11" s="152">
        <f t="shared" si="1"/>
        <v>60606400</v>
      </c>
      <c r="F11" s="209"/>
      <c r="G11" s="158"/>
      <c r="H11" s="210"/>
      <c r="I11" s="158"/>
      <c r="J11" s="170">
        <v>3639800</v>
      </c>
      <c r="K11" s="170">
        <v>9992000</v>
      </c>
      <c r="L11" s="170">
        <v>14178000</v>
      </c>
      <c r="M11" s="145">
        <v>18195200</v>
      </c>
      <c r="N11" s="145">
        <v>14601400</v>
      </c>
      <c r="O11" s="158"/>
      <c r="P11" s="158"/>
      <c r="Q11" s="158"/>
      <c r="U11" s="249"/>
      <c r="V11" s="253"/>
      <c r="W11" s="251">
        <f>E11</f>
        <v>60606400</v>
      </c>
      <c r="X11" s="249"/>
      <c r="Y11" s="249"/>
      <c r="Z11" s="249"/>
      <c r="AA11" s="249"/>
      <c r="AB11" s="249"/>
      <c r="AC11" s="250"/>
      <c r="AD11" s="250"/>
    </row>
    <row r="12" spans="1:30" ht="15" x14ac:dyDescent="0.2">
      <c r="A12" s="214" t="s">
        <v>102</v>
      </c>
      <c r="B12" s="223">
        <v>0.05</v>
      </c>
      <c r="C12" s="136">
        <f>+'Modeling &amp; Presentation'!K7</f>
        <v>0.05</v>
      </c>
      <c r="D12" s="153">
        <v>999999999</v>
      </c>
      <c r="E12" s="152">
        <f t="shared" si="1"/>
        <v>13262600</v>
      </c>
      <c r="F12" s="158"/>
      <c r="G12" s="158"/>
      <c r="H12" s="210"/>
      <c r="I12" s="158"/>
      <c r="J12" s="243">
        <f>265900-6000</f>
        <v>259900</v>
      </c>
      <c r="K12" s="243">
        <f>1462000-2800</f>
        <v>1459200</v>
      </c>
      <c r="L12" s="243">
        <f>2833600-13800</f>
        <v>2819800</v>
      </c>
      <c r="M12" s="145">
        <f>5420200-3500</f>
        <v>5416700</v>
      </c>
      <c r="N12" s="145">
        <f>3323400-16400</f>
        <v>3307000</v>
      </c>
      <c r="O12" s="158"/>
      <c r="P12" s="158"/>
      <c r="Q12" s="158"/>
      <c r="U12" s="249"/>
      <c r="V12" s="253"/>
      <c r="W12" s="252"/>
      <c r="X12" s="254">
        <f>E12+Y15</f>
        <v>13262600</v>
      </c>
      <c r="Y12" s="249"/>
      <c r="Z12" s="255">
        <f>Y15*C12</f>
        <v>0</v>
      </c>
      <c r="AA12" s="249" t="s">
        <v>128</v>
      </c>
      <c r="AB12" s="249"/>
      <c r="AC12" s="250"/>
      <c r="AD12" s="250"/>
    </row>
    <row r="13" spans="1:30" ht="15" x14ac:dyDescent="0.2">
      <c r="A13" s="1" t="s">
        <v>6</v>
      </c>
      <c r="B13" s="223">
        <v>0.01</v>
      </c>
      <c r="C13" s="136">
        <f>+'Modeling &amp; Presentation'!E8</f>
        <v>0.01</v>
      </c>
      <c r="D13" s="153">
        <v>600</v>
      </c>
      <c r="E13" s="152">
        <f t="shared" si="0"/>
        <v>56328200</v>
      </c>
      <c r="F13" s="145">
        <v>8091500</v>
      </c>
      <c r="G13" s="145">
        <v>7954300</v>
      </c>
      <c r="H13" s="170">
        <v>7589400</v>
      </c>
      <c r="I13" s="145">
        <v>8247300</v>
      </c>
      <c r="J13" s="158"/>
      <c r="K13" s="158"/>
      <c r="L13" s="158"/>
      <c r="M13" s="158"/>
      <c r="N13" s="158"/>
      <c r="O13" s="145">
        <v>8061600</v>
      </c>
      <c r="P13" s="145">
        <v>8221400</v>
      </c>
      <c r="Q13" s="145">
        <v>8162700</v>
      </c>
      <c r="U13" s="249"/>
      <c r="V13" s="256">
        <f>E13</f>
        <v>56328200</v>
      </c>
      <c r="W13" s="252"/>
      <c r="X13" s="249"/>
      <c r="Y13" s="249"/>
      <c r="Z13" s="249"/>
      <c r="AA13" s="249"/>
      <c r="AB13" s="249"/>
      <c r="AC13" s="250"/>
      <c r="AD13" s="250"/>
    </row>
    <row r="14" spans="1:30" ht="15" x14ac:dyDescent="0.2">
      <c r="A14" s="1" t="s">
        <v>6</v>
      </c>
      <c r="B14" s="223">
        <v>1.15E-2</v>
      </c>
      <c r="C14" s="136">
        <f>+'Modeling &amp; Presentation'!H8</f>
        <v>1.15E-2</v>
      </c>
      <c r="D14" s="153">
        <v>2400</v>
      </c>
      <c r="E14" s="152">
        <f t="shared" si="0"/>
        <v>21381800</v>
      </c>
      <c r="F14" s="145">
        <v>2972700</v>
      </c>
      <c r="G14" s="145">
        <v>2761700</v>
      </c>
      <c r="H14" s="170">
        <v>2185700</v>
      </c>
      <c r="I14" s="145">
        <v>3190600</v>
      </c>
      <c r="J14" s="158"/>
      <c r="K14" s="158"/>
      <c r="L14" s="158"/>
      <c r="M14" s="158"/>
      <c r="N14" s="158"/>
      <c r="O14" s="145">
        <v>3778300</v>
      </c>
      <c r="P14" s="145">
        <v>3430600</v>
      </c>
      <c r="Q14" s="145">
        <v>3062200</v>
      </c>
      <c r="U14" s="249"/>
      <c r="V14" s="253"/>
      <c r="W14" s="256">
        <f>E14</f>
        <v>21381800</v>
      </c>
      <c r="X14" s="249"/>
      <c r="Y14" s="249"/>
      <c r="Z14" s="249"/>
      <c r="AA14" s="249"/>
      <c r="AB14" s="249"/>
      <c r="AC14" s="250"/>
      <c r="AD14" s="250"/>
    </row>
    <row r="15" spans="1:30" ht="15" x14ac:dyDescent="0.2">
      <c r="A15" s="1" t="s">
        <v>6</v>
      </c>
      <c r="B15" s="223">
        <v>2.4199999999999999E-2</v>
      </c>
      <c r="C15" s="136">
        <f>+'Modeling &amp; Presentation'!K8</f>
        <v>2.4199999999999999E-2</v>
      </c>
      <c r="D15" s="153">
        <v>999999999</v>
      </c>
      <c r="E15" s="152">
        <f t="shared" si="0"/>
        <v>1672400</v>
      </c>
      <c r="F15" s="246">
        <f>235200-14700+200</f>
        <v>220700</v>
      </c>
      <c r="G15" s="244">
        <f>264100+5600-18600</f>
        <v>251100</v>
      </c>
      <c r="H15" s="244">
        <f>161900+7000-26200</f>
        <v>142700</v>
      </c>
      <c r="I15" s="244">
        <f>218600+-10500</f>
        <v>208100</v>
      </c>
      <c r="J15" s="158"/>
      <c r="K15" s="158"/>
      <c r="L15" s="158"/>
      <c r="M15" s="158"/>
      <c r="N15" s="158"/>
      <c r="O15" s="244">
        <f>389500-17400</f>
        <v>372100</v>
      </c>
      <c r="P15" s="244">
        <f>281200-16100</f>
        <v>265100</v>
      </c>
      <c r="Q15" s="244">
        <f>222600-18200+8200</f>
        <v>212600</v>
      </c>
      <c r="R15" s="225"/>
      <c r="S15" s="225"/>
      <c r="T15" s="225"/>
      <c r="U15" s="249"/>
      <c r="V15" s="249"/>
      <c r="W15" s="249"/>
      <c r="X15" s="257">
        <f>E15-Y15</f>
        <v>1672400</v>
      </c>
      <c r="Y15" s="258">
        <f>K15+J15</f>
        <v>0</v>
      </c>
      <c r="Z15" s="259">
        <f>Y15*C15</f>
        <v>0</v>
      </c>
      <c r="AA15" s="249" t="s">
        <v>129</v>
      </c>
      <c r="AB15" s="249"/>
      <c r="AC15" s="250"/>
      <c r="AD15" s="250"/>
    </row>
    <row r="16" spans="1:30" ht="15" x14ac:dyDescent="0.2">
      <c r="A16" s="1" t="s">
        <v>7</v>
      </c>
      <c r="B16" s="223">
        <v>0.01</v>
      </c>
      <c r="C16" s="136">
        <f>+'Modeling &amp; Presentation'!E9</f>
        <v>0.01</v>
      </c>
      <c r="D16" s="153">
        <v>1500</v>
      </c>
      <c r="E16" s="152">
        <f t="shared" si="0"/>
        <v>160100</v>
      </c>
      <c r="F16" s="145">
        <v>22800</v>
      </c>
      <c r="G16" s="145">
        <v>19900</v>
      </c>
      <c r="H16" s="145">
        <v>18900</v>
      </c>
      <c r="I16" s="145">
        <v>20100</v>
      </c>
      <c r="J16" s="158"/>
      <c r="K16" s="158"/>
      <c r="L16" s="158"/>
      <c r="M16" s="158"/>
      <c r="N16" s="158"/>
      <c r="O16" s="145">
        <v>31200</v>
      </c>
      <c r="P16" s="145">
        <v>23400</v>
      </c>
      <c r="Q16" s="145">
        <v>23800</v>
      </c>
      <c r="U16" s="249"/>
      <c r="V16" s="256">
        <f>E16</f>
        <v>160100</v>
      </c>
      <c r="W16" s="249"/>
      <c r="X16" s="249"/>
      <c r="Y16" s="249"/>
      <c r="Z16" s="249"/>
      <c r="AA16" s="249"/>
      <c r="AB16" s="249"/>
      <c r="AC16" s="250"/>
      <c r="AD16" s="250"/>
    </row>
    <row r="17" spans="1:30" ht="15" x14ac:dyDescent="0.2">
      <c r="A17" s="1" t="s">
        <v>7</v>
      </c>
      <c r="B17" s="223">
        <v>1.15E-2</v>
      </c>
      <c r="C17" s="136">
        <f>+'Modeling &amp; Presentation'!H9</f>
        <v>1.15E-2</v>
      </c>
      <c r="D17" s="153">
        <v>6000</v>
      </c>
      <c r="E17" s="152">
        <f t="shared" si="0"/>
        <v>61700</v>
      </c>
      <c r="F17" s="145">
        <v>7500</v>
      </c>
      <c r="G17" s="145">
        <v>11900</v>
      </c>
      <c r="H17" s="145">
        <v>6300</v>
      </c>
      <c r="I17" s="145">
        <v>13000</v>
      </c>
      <c r="J17" s="158"/>
      <c r="K17" s="158"/>
      <c r="L17" s="158"/>
      <c r="M17" s="158"/>
      <c r="N17" s="158"/>
      <c r="O17" s="145">
        <v>14000</v>
      </c>
      <c r="P17" s="145">
        <v>4700</v>
      </c>
      <c r="Q17" s="145">
        <v>4300</v>
      </c>
      <c r="U17" s="249"/>
      <c r="V17" s="249"/>
      <c r="W17" s="256">
        <f>E17</f>
        <v>61700</v>
      </c>
      <c r="X17" s="249"/>
      <c r="Y17" s="249"/>
      <c r="Z17" s="249"/>
      <c r="AA17" s="249"/>
      <c r="AB17" s="249"/>
      <c r="AC17" s="250"/>
      <c r="AD17" s="250"/>
    </row>
    <row r="18" spans="1:30" ht="15" x14ac:dyDescent="0.2">
      <c r="A18" s="1" t="s">
        <v>7</v>
      </c>
      <c r="B18" s="223">
        <v>2.4199999999999999E-2</v>
      </c>
      <c r="C18" s="136">
        <f>+'Modeling &amp; Presentation'!K9</f>
        <v>2.4199999999999999E-2</v>
      </c>
      <c r="D18" s="153">
        <v>999999999</v>
      </c>
      <c r="E18" s="152">
        <f t="shared" si="0"/>
        <v>2500</v>
      </c>
      <c r="F18" s="145">
        <v>0</v>
      </c>
      <c r="G18" s="145">
        <v>900</v>
      </c>
      <c r="H18" s="145">
        <v>0</v>
      </c>
      <c r="I18" s="145">
        <v>1600</v>
      </c>
      <c r="J18" s="158"/>
      <c r="K18" s="158"/>
      <c r="L18" s="158"/>
      <c r="M18" s="158"/>
      <c r="N18" s="158"/>
      <c r="O18" s="145">
        <v>0</v>
      </c>
      <c r="P18" s="145">
        <v>0</v>
      </c>
      <c r="Q18" s="145"/>
      <c r="R18" s="225"/>
      <c r="S18" s="225"/>
      <c r="T18" s="225"/>
      <c r="U18" s="249"/>
      <c r="V18" s="249"/>
      <c r="W18" s="249"/>
      <c r="X18" s="257">
        <f>E18-Y18</f>
        <v>2500</v>
      </c>
      <c r="Y18" s="258">
        <f>J18+K18</f>
        <v>0</v>
      </c>
      <c r="Z18" s="259">
        <f>Y18*C18</f>
        <v>0</v>
      </c>
      <c r="AA18" s="249" t="s">
        <v>128</v>
      </c>
      <c r="AB18" s="249"/>
      <c r="AC18" s="250"/>
      <c r="AD18" s="250"/>
    </row>
    <row r="19" spans="1:30" ht="15" x14ac:dyDescent="0.2">
      <c r="A19" s="214" t="s">
        <v>103</v>
      </c>
      <c r="B19" s="223">
        <v>0.01</v>
      </c>
      <c r="C19" s="136">
        <v>0.01</v>
      </c>
      <c r="D19" s="153">
        <v>1500</v>
      </c>
      <c r="E19" s="152">
        <f t="shared" si="0"/>
        <v>188000</v>
      </c>
      <c r="F19" s="158"/>
      <c r="G19" s="158"/>
      <c r="H19" s="158"/>
      <c r="I19" s="158"/>
      <c r="J19" s="145">
        <v>28900</v>
      </c>
      <c r="K19" s="145">
        <v>38300</v>
      </c>
      <c r="L19" s="145">
        <v>40700</v>
      </c>
      <c r="M19" s="145">
        <v>41400</v>
      </c>
      <c r="N19" s="145">
        <v>38700</v>
      </c>
      <c r="O19" s="158"/>
      <c r="P19" s="145"/>
      <c r="Q19" s="158"/>
      <c r="U19" s="249"/>
      <c r="V19" s="251">
        <f>E19</f>
        <v>188000</v>
      </c>
      <c r="W19" s="249"/>
      <c r="X19" s="249"/>
      <c r="Y19" s="249"/>
      <c r="Z19" s="249"/>
      <c r="AA19" s="249"/>
      <c r="AB19" s="249"/>
      <c r="AC19" s="250"/>
      <c r="AD19" s="250"/>
    </row>
    <row r="20" spans="1:30" ht="15" x14ac:dyDescent="0.2">
      <c r="A20" s="214" t="s">
        <v>103</v>
      </c>
      <c r="B20" s="223">
        <v>1.15E-2</v>
      </c>
      <c r="C20" s="136">
        <f>+'Modeling &amp; Presentation'!H10</f>
        <v>1.15E-2</v>
      </c>
      <c r="D20" s="153">
        <v>1500</v>
      </c>
      <c r="E20" s="152">
        <f t="shared" si="0"/>
        <v>315300</v>
      </c>
      <c r="F20" s="158"/>
      <c r="G20" s="158"/>
      <c r="H20" s="158"/>
      <c r="I20" s="158"/>
      <c r="J20" s="145">
        <v>15000</v>
      </c>
      <c r="K20" s="145">
        <v>72800</v>
      </c>
      <c r="L20" s="145">
        <v>83900</v>
      </c>
      <c r="M20" s="145">
        <v>89400</v>
      </c>
      <c r="N20" s="145">
        <v>54200</v>
      </c>
      <c r="O20" s="158"/>
      <c r="P20" s="145"/>
      <c r="Q20" s="158"/>
      <c r="U20" s="249"/>
      <c r="V20" s="249"/>
      <c r="W20" s="251">
        <f>E20</f>
        <v>315300</v>
      </c>
      <c r="X20" s="249"/>
      <c r="Y20" s="249"/>
      <c r="Z20" s="249"/>
      <c r="AA20" s="249"/>
      <c r="AB20" s="249"/>
      <c r="AC20" s="250"/>
      <c r="AD20" s="250"/>
    </row>
    <row r="21" spans="1:30" ht="15" x14ac:dyDescent="0.2">
      <c r="A21" s="214" t="s">
        <v>103</v>
      </c>
      <c r="B21" s="223">
        <v>0.05</v>
      </c>
      <c r="C21" s="136">
        <f>+'Modeling &amp; Presentation'!K10</f>
        <v>0.05</v>
      </c>
      <c r="D21" s="153">
        <v>999999999</v>
      </c>
      <c r="E21" s="152">
        <f t="shared" si="0"/>
        <v>92500</v>
      </c>
      <c r="F21" s="158"/>
      <c r="G21" s="158"/>
      <c r="H21" s="158"/>
      <c r="I21" s="158"/>
      <c r="J21" s="145">
        <v>1600</v>
      </c>
      <c r="K21" s="145">
        <v>28200</v>
      </c>
      <c r="L21" s="145">
        <v>22400</v>
      </c>
      <c r="M21" s="145">
        <v>34900</v>
      </c>
      <c r="N21" s="145">
        <v>6200</v>
      </c>
      <c r="O21" s="158"/>
      <c r="P21" s="145"/>
      <c r="Q21" s="244">
        <v>-800</v>
      </c>
      <c r="R21" s="225"/>
      <c r="U21" s="249"/>
      <c r="V21" s="249"/>
      <c r="W21" s="249"/>
      <c r="X21" s="254">
        <f>E21+Y18</f>
        <v>92500</v>
      </c>
      <c r="Y21" s="249"/>
      <c r="Z21" s="259">
        <f>Y18*C21</f>
        <v>0</v>
      </c>
      <c r="AA21" s="249" t="s">
        <v>129</v>
      </c>
      <c r="AB21" s="249"/>
      <c r="AC21" s="250"/>
      <c r="AD21" s="250"/>
    </row>
    <row r="22" spans="1:30" ht="15" x14ac:dyDescent="0.2">
      <c r="A22" s="1" t="s">
        <v>8</v>
      </c>
      <c r="B22" s="223">
        <v>0.01</v>
      </c>
      <c r="C22" s="136">
        <v>0.01</v>
      </c>
      <c r="D22" s="153">
        <v>3000</v>
      </c>
      <c r="E22" s="152">
        <f t="shared" si="0"/>
        <v>0</v>
      </c>
      <c r="F22" s="145"/>
      <c r="G22" s="145"/>
      <c r="H22" s="145"/>
      <c r="I22" s="145"/>
      <c r="J22" s="145"/>
      <c r="K22" s="145"/>
      <c r="L22" s="145"/>
      <c r="M22" s="145"/>
      <c r="N22" s="171"/>
      <c r="O22" s="145"/>
      <c r="P22" s="145"/>
      <c r="Q22" s="145"/>
      <c r="U22" s="249"/>
      <c r="V22" s="256">
        <f>E22</f>
        <v>0</v>
      </c>
      <c r="W22" s="249"/>
      <c r="X22" s="249"/>
      <c r="Y22" s="249"/>
      <c r="Z22" s="249"/>
      <c r="AA22" s="249"/>
      <c r="AB22" s="249"/>
      <c r="AC22" s="250"/>
      <c r="AD22" s="250"/>
    </row>
    <row r="23" spans="1:30" ht="15" x14ac:dyDescent="0.2">
      <c r="A23" s="1" t="s">
        <v>8</v>
      </c>
      <c r="B23" s="223">
        <v>1.15E-2</v>
      </c>
      <c r="C23" s="136">
        <f>+'Modeling &amp; Presentation'!H9</f>
        <v>1.15E-2</v>
      </c>
      <c r="D23" s="153">
        <v>12000</v>
      </c>
      <c r="E23" s="152">
        <f t="shared" si="0"/>
        <v>0</v>
      </c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U23" s="249"/>
      <c r="V23" s="249"/>
      <c r="W23" s="256">
        <f>E23</f>
        <v>0</v>
      </c>
      <c r="X23" s="249"/>
      <c r="Y23" s="249"/>
      <c r="Z23" s="249"/>
      <c r="AA23" s="249"/>
      <c r="AB23" s="249"/>
      <c r="AC23" s="250"/>
      <c r="AD23" s="250"/>
    </row>
    <row r="24" spans="1:30" ht="15" x14ac:dyDescent="0.2">
      <c r="A24" s="1" t="s">
        <v>8</v>
      </c>
      <c r="B24" s="223">
        <v>2.4199999999999999E-2</v>
      </c>
      <c r="C24" s="136">
        <f>+'Modeling &amp; Presentation'!K9</f>
        <v>2.4199999999999999E-2</v>
      </c>
      <c r="D24" s="153">
        <v>999999999</v>
      </c>
      <c r="E24" s="152">
        <f t="shared" si="0"/>
        <v>0</v>
      </c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225"/>
      <c r="U24" s="249"/>
      <c r="V24" s="249"/>
      <c r="W24" s="249"/>
      <c r="X24" s="257">
        <f>E24</f>
        <v>0</v>
      </c>
      <c r="Y24" s="249"/>
      <c r="Z24" s="259">
        <f>(Z21+Z12)-(Z15+Z18)</f>
        <v>0</v>
      </c>
      <c r="AA24" s="249" t="s">
        <v>130</v>
      </c>
      <c r="AB24" s="249"/>
      <c r="AC24" s="250"/>
      <c r="AD24" s="250"/>
    </row>
    <row r="25" spans="1:30" ht="15" x14ac:dyDescent="0.2">
      <c r="A25" s="1" t="s">
        <v>9</v>
      </c>
      <c r="B25" s="223">
        <v>0.01</v>
      </c>
      <c r="C25" s="136">
        <v>0.01</v>
      </c>
      <c r="D25" s="153">
        <v>4800</v>
      </c>
      <c r="E25" s="152">
        <f t="shared" si="0"/>
        <v>163200</v>
      </c>
      <c r="F25" s="145">
        <v>9600</v>
      </c>
      <c r="G25" s="145">
        <v>9600</v>
      </c>
      <c r="H25" s="145">
        <v>14400</v>
      </c>
      <c r="I25" s="145">
        <v>14400</v>
      </c>
      <c r="J25" s="145">
        <v>14400</v>
      </c>
      <c r="K25" s="145">
        <v>14400</v>
      </c>
      <c r="L25" s="145">
        <v>14400</v>
      </c>
      <c r="M25" s="145">
        <v>14400</v>
      </c>
      <c r="N25" s="145">
        <v>14400</v>
      </c>
      <c r="O25" s="145">
        <v>14400</v>
      </c>
      <c r="P25" s="145">
        <v>14400</v>
      </c>
      <c r="Q25" s="145">
        <v>14400</v>
      </c>
      <c r="U25" s="249"/>
      <c r="V25" s="256">
        <f>E25</f>
        <v>163200</v>
      </c>
      <c r="W25" s="249"/>
      <c r="X25" s="249"/>
      <c r="Y25" s="249"/>
      <c r="Z25" s="249"/>
      <c r="AA25" s="249"/>
      <c r="AB25" s="249"/>
      <c r="AC25" s="250"/>
      <c r="AD25" s="250"/>
    </row>
    <row r="26" spans="1:30" ht="15" x14ac:dyDescent="0.2">
      <c r="A26" s="1" t="s">
        <v>9</v>
      </c>
      <c r="B26" s="223">
        <v>1.15E-2</v>
      </c>
      <c r="C26" s="136">
        <f>+'Modeling &amp; Presentation'!H12</f>
        <v>1.15E-2</v>
      </c>
      <c r="D26" s="153">
        <v>19200</v>
      </c>
      <c r="E26" s="152">
        <f t="shared" si="0"/>
        <v>501400</v>
      </c>
      <c r="F26" s="145">
        <v>31300</v>
      </c>
      <c r="G26" s="145">
        <v>28800</v>
      </c>
      <c r="H26" s="145">
        <v>33900</v>
      </c>
      <c r="I26" s="145">
        <v>40200</v>
      </c>
      <c r="J26" s="145">
        <v>38100</v>
      </c>
      <c r="K26" s="170">
        <v>46200</v>
      </c>
      <c r="L26" s="170">
        <v>46500</v>
      </c>
      <c r="M26" s="145">
        <v>53900</v>
      </c>
      <c r="N26" s="145">
        <v>52400</v>
      </c>
      <c r="O26" s="145">
        <v>42400</v>
      </c>
      <c r="P26" s="145">
        <v>42600</v>
      </c>
      <c r="Q26" s="145">
        <v>45100</v>
      </c>
      <c r="U26" s="249"/>
      <c r="V26" s="249"/>
      <c r="W26" s="256">
        <f>E26</f>
        <v>501400</v>
      </c>
      <c r="X26" s="249"/>
      <c r="Y26" s="249"/>
      <c r="Z26" s="249"/>
      <c r="AA26" s="249"/>
      <c r="AB26" s="249"/>
      <c r="AC26" s="250"/>
      <c r="AD26" s="250"/>
    </row>
    <row r="27" spans="1:30" ht="15" x14ac:dyDescent="0.2">
      <c r="A27" s="1" t="s">
        <v>9</v>
      </c>
      <c r="B27" s="223">
        <v>2.4199999999999999E-2</v>
      </c>
      <c r="C27" s="136">
        <f>+'Modeling &amp; Presentation'!K12</f>
        <v>2.4199999999999999E-2</v>
      </c>
      <c r="D27" s="153">
        <v>999999999</v>
      </c>
      <c r="E27" s="152">
        <f t="shared" si="0"/>
        <v>836100</v>
      </c>
      <c r="F27" s="145">
        <v>59900</v>
      </c>
      <c r="G27" s="145">
        <v>56200</v>
      </c>
      <c r="H27" s="145">
        <v>60000</v>
      </c>
      <c r="I27" s="145">
        <v>90500</v>
      </c>
      <c r="J27" s="145">
        <v>70500</v>
      </c>
      <c r="K27" s="145">
        <v>108200</v>
      </c>
      <c r="L27" s="145">
        <v>64700</v>
      </c>
      <c r="M27" s="145">
        <v>100200</v>
      </c>
      <c r="N27" s="145">
        <v>57900</v>
      </c>
      <c r="O27" s="145">
        <v>34200</v>
      </c>
      <c r="P27" s="145">
        <v>74600</v>
      </c>
      <c r="Q27" s="145">
        <v>59200</v>
      </c>
      <c r="R27" s="225"/>
      <c r="U27" s="249"/>
      <c r="V27" s="249"/>
      <c r="W27" s="249"/>
      <c r="X27" s="257">
        <f>E27</f>
        <v>836100</v>
      </c>
      <c r="Y27" s="249"/>
      <c r="Z27" s="249"/>
      <c r="AA27" s="249"/>
      <c r="AB27" s="249"/>
      <c r="AC27" s="250"/>
      <c r="AD27" s="250"/>
    </row>
    <row r="28" spans="1:30" ht="15" x14ac:dyDescent="0.2">
      <c r="A28" s="110" t="s">
        <v>86</v>
      </c>
      <c r="B28" s="223">
        <v>0.01</v>
      </c>
      <c r="C28" s="136">
        <v>0.01</v>
      </c>
      <c r="D28" s="153">
        <v>15000</v>
      </c>
      <c r="E28" s="152">
        <f t="shared" ref="E28:E30" si="2">SUM(F28:Q28)</f>
        <v>180000</v>
      </c>
      <c r="F28" s="145">
        <v>15000</v>
      </c>
      <c r="G28" s="145">
        <v>15000</v>
      </c>
      <c r="H28" s="145">
        <v>15000</v>
      </c>
      <c r="I28" s="145">
        <v>15000</v>
      </c>
      <c r="J28" s="145">
        <v>15000</v>
      </c>
      <c r="K28" s="145">
        <v>15000</v>
      </c>
      <c r="L28" s="145">
        <v>15000</v>
      </c>
      <c r="M28" s="145">
        <v>15000</v>
      </c>
      <c r="N28" s="145">
        <v>15000</v>
      </c>
      <c r="O28" s="145">
        <v>15000</v>
      </c>
      <c r="P28" s="145">
        <v>15000</v>
      </c>
      <c r="Q28" s="145">
        <v>15000</v>
      </c>
      <c r="U28" s="249"/>
      <c r="V28" s="256">
        <f>E28</f>
        <v>180000</v>
      </c>
      <c r="W28" s="249"/>
      <c r="X28" s="249"/>
      <c r="Y28" s="249"/>
      <c r="Z28" s="249"/>
      <c r="AA28" s="249"/>
      <c r="AB28" s="249"/>
      <c r="AC28" s="250"/>
      <c r="AD28" s="250"/>
    </row>
    <row r="29" spans="1:30" ht="15" x14ac:dyDescent="0.2">
      <c r="A29" s="110" t="s">
        <v>86</v>
      </c>
      <c r="B29" s="223">
        <v>1.15E-2</v>
      </c>
      <c r="C29" s="136">
        <f>+'Modeling &amp; Presentation'!H13</f>
        <v>1.15E-2</v>
      </c>
      <c r="D29" s="153">
        <v>60000</v>
      </c>
      <c r="E29" s="152">
        <f t="shared" si="2"/>
        <v>339000</v>
      </c>
      <c r="F29" s="145">
        <v>15500</v>
      </c>
      <c r="G29" s="145">
        <v>7000</v>
      </c>
      <c r="H29" s="145">
        <v>13500</v>
      </c>
      <c r="I29" s="145">
        <v>17300</v>
      </c>
      <c r="J29" s="145">
        <v>16400</v>
      </c>
      <c r="K29" s="145">
        <v>52500</v>
      </c>
      <c r="L29" s="145">
        <v>60000</v>
      </c>
      <c r="M29" s="145">
        <v>60000</v>
      </c>
      <c r="N29" s="145">
        <v>60000</v>
      </c>
      <c r="O29" s="145">
        <v>10900</v>
      </c>
      <c r="P29" s="145">
        <v>14800</v>
      </c>
      <c r="Q29" s="145">
        <v>11100</v>
      </c>
      <c r="U29" s="249"/>
      <c r="V29" s="249"/>
      <c r="W29" s="256">
        <f>E29</f>
        <v>339000</v>
      </c>
      <c r="X29" s="249"/>
      <c r="Y29" s="249"/>
      <c r="Z29" s="249"/>
      <c r="AA29" s="249"/>
      <c r="AB29" s="249"/>
      <c r="AC29" s="250"/>
      <c r="AD29" s="250"/>
    </row>
    <row r="30" spans="1:30" ht="15" x14ac:dyDescent="0.2">
      <c r="A30" s="110" t="s">
        <v>86</v>
      </c>
      <c r="B30" s="223">
        <v>2.4199999999999999E-2</v>
      </c>
      <c r="C30" s="136">
        <f>+'Modeling &amp; Presentation'!K13</f>
        <v>2.4199999999999999E-2</v>
      </c>
      <c r="D30" s="153">
        <v>999999999</v>
      </c>
      <c r="E30" s="152">
        <f t="shared" si="2"/>
        <v>255200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51400</v>
      </c>
      <c r="M30" s="145">
        <v>140200</v>
      </c>
      <c r="N30" s="145">
        <v>63600</v>
      </c>
      <c r="O30" s="145">
        <v>0</v>
      </c>
      <c r="P30" s="145">
        <v>0</v>
      </c>
      <c r="Q30" s="145"/>
      <c r="R30" s="225"/>
      <c r="S30" s="225"/>
      <c r="T30" s="225"/>
      <c r="U30" s="249"/>
      <c r="V30" s="249"/>
      <c r="W30" s="249"/>
      <c r="X30" s="257">
        <f>E30</f>
        <v>255200</v>
      </c>
      <c r="Y30" s="249"/>
      <c r="Z30" s="249"/>
      <c r="AA30" s="249"/>
      <c r="AB30" s="249"/>
      <c r="AC30" s="250"/>
      <c r="AD30" s="250"/>
    </row>
    <row r="31" spans="1:30" ht="15" x14ac:dyDescent="0.2">
      <c r="A31" s="1" t="s">
        <v>10</v>
      </c>
      <c r="B31" s="223">
        <v>0.01</v>
      </c>
      <c r="C31" s="136">
        <v>0.01</v>
      </c>
      <c r="D31" s="153">
        <v>600</v>
      </c>
      <c r="E31" s="152">
        <f t="shared" si="0"/>
        <v>981600</v>
      </c>
      <c r="F31" s="145">
        <v>57700</v>
      </c>
      <c r="G31" s="145">
        <f>58300</f>
        <v>58300</v>
      </c>
      <c r="H31" s="145">
        <f>53600</f>
        <v>53600</v>
      </c>
      <c r="I31" s="145">
        <f>59300</f>
        <v>59300</v>
      </c>
      <c r="J31" s="145">
        <v>67300</v>
      </c>
      <c r="K31" s="145">
        <v>103900</v>
      </c>
      <c r="L31" s="145">
        <v>113400</v>
      </c>
      <c r="M31" s="145">
        <v>116000</v>
      </c>
      <c r="N31" s="145">
        <v>120200</v>
      </c>
      <c r="O31" s="145">
        <v>102500</v>
      </c>
      <c r="P31" s="145">
        <v>69100</v>
      </c>
      <c r="Q31" s="145">
        <v>60300</v>
      </c>
      <c r="U31" s="249"/>
      <c r="V31" s="256">
        <f>E31</f>
        <v>981600</v>
      </c>
      <c r="W31" s="249"/>
      <c r="X31" s="249"/>
      <c r="Y31" s="249"/>
      <c r="Z31" s="249"/>
      <c r="AA31" s="249"/>
      <c r="AB31" s="249"/>
      <c r="AC31" s="250"/>
      <c r="AD31" s="250"/>
    </row>
    <row r="32" spans="1:30" ht="15" x14ac:dyDescent="0.2">
      <c r="A32" s="1" t="s">
        <v>10</v>
      </c>
      <c r="B32" s="223">
        <v>1.15E-2</v>
      </c>
      <c r="C32" s="136">
        <f>+'Modeling &amp; Presentation'!H17</f>
        <v>1.15E-2</v>
      </c>
      <c r="D32" s="153">
        <v>2400</v>
      </c>
      <c r="E32" s="152">
        <f t="shared" si="0"/>
        <v>1718200</v>
      </c>
      <c r="F32" s="145">
        <v>63800</v>
      </c>
      <c r="G32" s="145">
        <v>62600</v>
      </c>
      <c r="H32" s="145">
        <v>48800</v>
      </c>
      <c r="I32" s="145">
        <v>72900</v>
      </c>
      <c r="J32" s="145">
        <v>79000</v>
      </c>
      <c r="K32" s="145">
        <v>201500</v>
      </c>
      <c r="L32" s="145">
        <v>248000</v>
      </c>
      <c r="M32" s="145">
        <v>279300</v>
      </c>
      <c r="N32" s="145">
        <v>299400</v>
      </c>
      <c r="O32" s="145">
        <v>191500</v>
      </c>
      <c r="P32" s="145">
        <v>97700</v>
      </c>
      <c r="Q32" s="145">
        <v>73700</v>
      </c>
      <c r="U32" s="249"/>
      <c r="V32" s="249"/>
      <c r="W32" s="256">
        <f>E32</f>
        <v>1718200</v>
      </c>
      <c r="X32" s="249"/>
      <c r="Y32" s="249"/>
      <c r="Z32" s="249"/>
      <c r="AA32" s="249"/>
      <c r="AB32" s="249"/>
      <c r="AC32" s="250"/>
      <c r="AD32" s="250"/>
    </row>
    <row r="33" spans="1:30" ht="15" x14ac:dyDescent="0.2">
      <c r="A33" s="1" t="s">
        <v>10</v>
      </c>
      <c r="B33" s="223">
        <v>2.4199999999999999E-2</v>
      </c>
      <c r="C33" s="136">
        <f>+'Modeling &amp; Presentation'!K17</f>
        <v>2.4199999999999999E-2</v>
      </c>
      <c r="D33" s="153">
        <v>999999999</v>
      </c>
      <c r="E33" s="152">
        <f t="shared" si="0"/>
        <v>1934700</v>
      </c>
      <c r="F33" s="145">
        <v>47700</v>
      </c>
      <c r="G33" s="171">
        <v>177600</v>
      </c>
      <c r="H33" s="145">
        <v>9100</v>
      </c>
      <c r="I33" s="145">
        <v>61700</v>
      </c>
      <c r="J33" s="170">
        <v>22500</v>
      </c>
      <c r="K33" s="170">
        <v>147700</v>
      </c>
      <c r="L33" s="170">
        <v>303300</v>
      </c>
      <c r="M33" s="145">
        <v>375000</v>
      </c>
      <c r="N33" s="145">
        <v>470600</v>
      </c>
      <c r="O33" s="145">
        <v>194100</v>
      </c>
      <c r="P33" s="145">
        <v>88600</v>
      </c>
      <c r="Q33" s="145">
        <v>36800</v>
      </c>
      <c r="R33" s="225"/>
      <c r="S33" s="225"/>
      <c r="T33" s="225"/>
      <c r="U33" s="249"/>
      <c r="V33" s="249"/>
      <c r="W33" s="249"/>
      <c r="X33" s="257">
        <f>E33</f>
        <v>1934700</v>
      </c>
      <c r="Y33" s="249"/>
      <c r="Z33" s="249"/>
      <c r="AA33" s="249"/>
      <c r="AB33" s="249"/>
      <c r="AC33" s="250"/>
      <c r="AD33" s="250"/>
    </row>
    <row r="34" spans="1:30" ht="15" x14ac:dyDescent="0.2">
      <c r="A34" s="1" t="s">
        <v>11</v>
      </c>
      <c r="B34" s="223">
        <v>0.01</v>
      </c>
      <c r="C34" s="136">
        <v>0.01</v>
      </c>
      <c r="D34" s="153">
        <v>1500</v>
      </c>
      <c r="E34" s="152">
        <f t="shared" si="0"/>
        <v>1476900</v>
      </c>
      <c r="F34" s="145">
        <v>85900</v>
      </c>
      <c r="G34" s="145">
        <v>85100</v>
      </c>
      <c r="H34" s="145">
        <v>84100</v>
      </c>
      <c r="I34" s="145">
        <v>89000</v>
      </c>
      <c r="J34" s="145">
        <v>99200</v>
      </c>
      <c r="K34" s="145">
        <v>146900</v>
      </c>
      <c r="L34" s="145">
        <v>179500</v>
      </c>
      <c r="M34" s="145">
        <v>179200</v>
      </c>
      <c r="N34" s="145">
        <v>183400</v>
      </c>
      <c r="O34" s="145">
        <v>145600</v>
      </c>
      <c r="P34" s="145">
        <v>109100</v>
      </c>
      <c r="Q34" s="145">
        <v>89900</v>
      </c>
      <c r="U34" s="249"/>
      <c r="V34" s="256">
        <f>E34</f>
        <v>1476900</v>
      </c>
      <c r="W34" s="249"/>
      <c r="X34" s="249"/>
      <c r="Y34" s="249"/>
      <c r="Z34" s="249"/>
      <c r="AA34" s="249"/>
      <c r="AB34" s="249"/>
      <c r="AC34" s="250"/>
      <c r="AD34" s="250"/>
    </row>
    <row r="35" spans="1:30" ht="15" x14ac:dyDescent="0.2">
      <c r="A35" s="1" t="s">
        <v>11</v>
      </c>
      <c r="B35" s="223">
        <v>1.15E-2</v>
      </c>
      <c r="C35" s="136">
        <f>+'Modeling &amp; Presentation'!H18</f>
        <v>1.15E-2</v>
      </c>
      <c r="D35" s="153">
        <v>6000</v>
      </c>
      <c r="E35" s="152">
        <f t="shared" si="0"/>
        <v>2470700</v>
      </c>
      <c r="F35" s="145">
        <v>100800</v>
      </c>
      <c r="G35" s="145">
        <v>85300</v>
      </c>
      <c r="H35" s="145">
        <v>84800</v>
      </c>
      <c r="I35" s="145">
        <v>99900</v>
      </c>
      <c r="J35" s="145">
        <v>113700</v>
      </c>
      <c r="K35" s="145">
        <v>279800</v>
      </c>
      <c r="L35" s="145">
        <v>421300</v>
      </c>
      <c r="M35" s="145">
        <v>432800</v>
      </c>
      <c r="N35" s="145">
        <v>444200</v>
      </c>
      <c r="O35" s="145">
        <v>201900</v>
      </c>
      <c r="P35" s="145">
        <v>118400</v>
      </c>
      <c r="Q35" s="145">
        <v>87800</v>
      </c>
      <c r="U35" s="249"/>
      <c r="V35" s="249"/>
      <c r="W35" s="256">
        <f>E35</f>
        <v>2470700</v>
      </c>
      <c r="X35" s="249"/>
      <c r="Y35" s="249"/>
      <c r="Z35" s="249"/>
      <c r="AA35" s="249"/>
      <c r="AB35" s="249"/>
      <c r="AC35" s="250"/>
      <c r="AD35" s="250"/>
    </row>
    <row r="36" spans="1:30" ht="15" x14ac:dyDescent="0.2">
      <c r="A36" s="1" t="s">
        <v>11</v>
      </c>
      <c r="B36" s="223">
        <v>2.4199999999999999E-2</v>
      </c>
      <c r="C36" s="136">
        <f>+'Modeling &amp; Presentation'!K18</f>
        <v>2.4199999999999999E-2</v>
      </c>
      <c r="D36" s="153">
        <v>999999999</v>
      </c>
      <c r="E36" s="152">
        <f t="shared" si="0"/>
        <v>2330700</v>
      </c>
      <c r="F36" s="145">
        <v>36900</v>
      </c>
      <c r="G36" s="145">
        <v>34500</v>
      </c>
      <c r="H36" s="145">
        <v>29500</v>
      </c>
      <c r="I36" s="145">
        <v>49100</v>
      </c>
      <c r="J36" s="145">
        <v>54800</v>
      </c>
      <c r="K36" s="145">
        <v>205900</v>
      </c>
      <c r="L36" s="145">
        <v>403400</v>
      </c>
      <c r="M36" s="145">
        <v>630200</v>
      </c>
      <c r="N36" s="145">
        <v>744700</v>
      </c>
      <c r="O36" s="244">
        <f>98600-700</f>
        <v>97900</v>
      </c>
      <c r="P36" s="145">
        <v>29500</v>
      </c>
      <c r="Q36" s="145">
        <v>14300</v>
      </c>
      <c r="R36" s="225"/>
      <c r="S36" s="225"/>
      <c r="T36" s="225"/>
      <c r="U36" s="249"/>
      <c r="V36" s="249"/>
      <c r="W36" s="249"/>
      <c r="X36" s="257">
        <f>E36</f>
        <v>2330700</v>
      </c>
      <c r="Y36" s="249"/>
      <c r="Z36" s="249"/>
      <c r="AA36" s="249"/>
      <c r="AB36" s="249"/>
      <c r="AC36" s="250"/>
      <c r="AD36" s="250"/>
    </row>
    <row r="37" spans="1:30" ht="15" x14ac:dyDescent="0.2">
      <c r="A37" s="1" t="s">
        <v>12</v>
      </c>
      <c r="B37" s="223">
        <v>0.01</v>
      </c>
      <c r="C37" s="136">
        <v>0.01</v>
      </c>
      <c r="D37" s="153">
        <v>3000</v>
      </c>
      <c r="E37" s="152">
        <f t="shared" si="0"/>
        <v>542700</v>
      </c>
      <c r="F37" s="145">
        <v>25300</v>
      </c>
      <c r="G37" s="145">
        <v>23400</v>
      </c>
      <c r="H37" s="145">
        <v>17900</v>
      </c>
      <c r="I37" s="145">
        <v>27700</v>
      </c>
      <c r="J37" s="145">
        <v>29400</v>
      </c>
      <c r="K37" s="145">
        <v>70300</v>
      </c>
      <c r="L37" s="145">
        <v>77000</v>
      </c>
      <c r="M37" s="145">
        <v>79800</v>
      </c>
      <c r="N37" s="145">
        <v>78600</v>
      </c>
      <c r="O37" s="145">
        <v>59400</v>
      </c>
      <c r="P37" s="145">
        <v>29000</v>
      </c>
      <c r="Q37" s="145">
        <v>24900</v>
      </c>
      <c r="U37" s="249"/>
      <c r="V37" s="256">
        <f>E37</f>
        <v>542700</v>
      </c>
      <c r="W37" s="249"/>
      <c r="X37" s="249"/>
      <c r="Y37" s="249"/>
      <c r="Z37" s="249"/>
      <c r="AA37" s="249"/>
      <c r="AB37" s="249"/>
      <c r="AC37" s="250"/>
      <c r="AD37" s="250"/>
    </row>
    <row r="38" spans="1:30" ht="15" x14ac:dyDescent="0.2">
      <c r="A38" s="1" t="s">
        <v>12</v>
      </c>
      <c r="B38" s="223">
        <v>1.15E-2</v>
      </c>
      <c r="C38" s="136">
        <f>+'Modeling &amp; Presentation'!H19</f>
        <v>1.15E-2</v>
      </c>
      <c r="D38" s="153">
        <v>12000</v>
      </c>
      <c r="E38" s="152">
        <f t="shared" si="0"/>
        <v>958200</v>
      </c>
      <c r="F38" s="145">
        <v>20900</v>
      </c>
      <c r="G38" s="145">
        <v>10800</v>
      </c>
      <c r="H38" s="145">
        <v>9100</v>
      </c>
      <c r="I38" s="145">
        <v>13000</v>
      </c>
      <c r="J38" s="145">
        <v>10000</v>
      </c>
      <c r="K38" s="145">
        <v>150200</v>
      </c>
      <c r="L38" s="145">
        <v>178600</v>
      </c>
      <c r="M38" s="145">
        <v>193600</v>
      </c>
      <c r="N38" s="145">
        <v>211100</v>
      </c>
      <c r="O38" s="145">
        <v>126000</v>
      </c>
      <c r="P38" s="145">
        <v>11600</v>
      </c>
      <c r="Q38" s="145">
        <v>23300</v>
      </c>
      <c r="U38" s="249"/>
      <c r="V38" s="249"/>
      <c r="W38" s="256">
        <f>E38</f>
        <v>958200</v>
      </c>
      <c r="X38" s="249"/>
      <c r="Y38" s="249"/>
      <c r="Z38" s="249"/>
      <c r="AA38" s="249"/>
      <c r="AB38" s="249"/>
      <c r="AC38" s="250"/>
      <c r="AD38" s="250"/>
    </row>
    <row r="39" spans="1:30" ht="15" x14ac:dyDescent="0.2">
      <c r="A39" s="1" t="s">
        <v>12</v>
      </c>
      <c r="B39" s="223">
        <v>2.4199999999999999E-2</v>
      </c>
      <c r="C39" s="136">
        <f>+'Modeling &amp; Presentation'!K19</f>
        <v>2.4199999999999999E-2</v>
      </c>
      <c r="D39" s="153">
        <v>999999999</v>
      </c>
      <c r="E39" s="152">
        <f t="shared" si="0"/>
        <v>1435500</v>
      </c>
      <c r="F39" s="145">
        <v>0</v>
      </c>
      <c r="G39" s="145">
        <v>0</v>
      </c>
      <c r="H39" s="145">
        <v>0</v>
      </c>
      <c r="I39" s="145">
        <v>0</v>
      </c>
      <c r="J39" s="145">
        <v>0</v>
      </c>
      <c r="K39" s="145">
        <v>124700</v>
      </c>
      <c r="L39" s="145">
        <v>287800</v>
      </c>
      <c r="M39" s="145">
        <v>368400</v>
      </c>
      <c r="N39" s="145">
        <v>551400</v>
      </c>
      <c r="O39" s="145">
        <v>100100</v>
      </c>
      <c r="P39" s="145">
        <v>0</v>
      </c>
      <c r="Q39" s="145">
        <v>3100</v>
      </c>
      <c r="R39" s="225"/>
      <c r="S39" s="225"/>
      <c r="T39" s="225"/>
      <c r="U39" s="249"/>
      <c r="V39" s="249"/>
      <c r="W39" s="249"/>
      <c r="X39" s="257">
        <f>E39</f>
        <v>1435500</v>
      </c>
      <c r="Y39" s="249"/>
      <c r="Z39" s="249"/>
      <c r="AA39" s="249"/>
      <c r="AB39" s="249"/>
      <c r="AC39" s="250"/>
      <c r="AD39" s="250"/>
    </row>
    <row r="40" spans="1:30" ht="15" x14ac:dyDescent="0.2">
      <c r="A40" s="1" t="s">
        <v>13</v>
      </c>
      <c r="B40" s="223">
        <v>0.01</v>
      </c>
      <c r="C40" s="136">
        <v>0.01</v>
      </c>
      <c r="D40" s="153">
        <v>4800</v>
      </c>
      <c r="E40" s="152">
        <f t="shared" si="0"/>
        <v>4072300</v>
      </c>
      <c r="F40" s="145">
        <v>279100</v>
      </c>
      <c r="G40" s="145">
        <v>294300</v>
      </c>
      <c r="H40" s="145">
        <v>258400</v>
      </c>
      <c r="I40" s="145">
        <v>303300</v>
      </c>
      <c r="J40" s="145">
        <v>319600</v>
      </c>
      <c r="K40" s="145">
        <v>402100</v>
      </c>
      <c r="L40" s="145">
        <v>398200</v>
      </c>
      <c r="M40" s="145">
        <v>384500</v>
      </c>
      <c r="N40" s="145">
        <v>411500</v>
      </c>
      <c r="O40" s="145">
        <v>371200</v>
      </c>
      <c r="P40" s="145">
        <v>325800</v>
      </c>
      <c r="Q40" s="145">
        <v>324300</v>
      </c>
      <c r="U40" s="249"/>
      <c r="V40" s="256">
        <f>E40</f>
        <v>4072300</v>
      </c>
      <c r="W40" s="249"/>
      <c r="X40" s="249"/>
      <c r="Y40" s="249"/>
      <c r="Z40" s="249"/>
      <c r="AA40" s="249"/>
      <c r="AB40" s="249"/>
      <c r="AC40" s="250"/>
      <c r="AD40" s="250"/>
    </row>
    <row r="41" spans="1:30" ht="15" x14ac:dyDescent="0.2">
      <c r="A41" s="1" t="s">
        <v>13</v>
      </c>
      <c r="B41" s="223">
        <v>1.15E-2</v>
      </c>
      <c r="C41" s="136">
        <f>+'Modeling &amp; Presentation'!H20</f>
        <v>1.15E-2</v>
      </c>
      <c r="D41" s="153">
        <v>19200</v>
      </c>
      <c r="E41" s="152">
        <f t="shared" si="0"/>
        <v>5118600</v>
      </c>
      <c r="F41" s="145">
        <v>281100</v>
      </c>
      <c r="G41" s="145">
        <v>294000</v>
      </c>
      <c r="H41" s="145">
        <v>238900</v>
      </c>
      <c r="I41" s="145">
        <v>336100</v>
      </c>
      <c r="J41" s="145">
        <v>361500</v>
      </c>
      <c r="K41" s="145">
        <v>593800</v>
      </c>
      <c r="L41" s="145">
        <v>674700</v>
      </c>
      <c r="M41" s="145">
        <v>638400</v>
      </c>
      <c r="N41" s="145">
        <v>685100</v>
      </c>
      <c r="O41" s="145">
        <v>380800</v>
      </c>
      <c r="P41" s="145">
        <v>328300</v>
      </c>
      <c r="Q41" s="145">
        <v>305900</v>
      </c>
      <c r="U41" s="249"/>
      <c r="V41" s="249"/>
      <c r="W41" s="256">
        <f>E41</f>
        <v>5118600</v>
      </c>
      <c r="X41" s="249"/>
      <c r="Y41" s="249"/>
      <c r="Z41" s="249"/>
      <c r="AA41" s="249"/>
      <c r="AB41" s="249"/>
      <c r="AC41" s="250"/>
      <c r="AD41" s="250"/>
    </row>
    <row r="42" spans="1:30" ht="15" x14ac:dyDescent="0.2">
      <c r="A42" s="1" t="s">
        <v>13</v>
      </c>
      <c r="B42" s="223">
        <v>2.4199999999999999E-2</v>
      </c>
      <c r="C42" s="136">
        <f>+'Modeling &amp; Presentation'!K20</f>
        <v>2.4199999999999999E-2</v>
      </c>
      <c r="D42" s="153">
        <v>999999999</v>
      </c>
      <c r="E42" s="152">
        <f t="shared" si="0"/>
        <v>4374600</v>
      </c>
      <c r="F42" s="145">
        <f>+-67000+100400</f>
        <v>33400</v>
      </c>
      <c r="G42" s="145">
        <v>97000</v>
      </c>
      <c r="H42" s="145">
        <v>130000</v>
      </c>
      <c r="I42" s="145">
        <v>130100</v>
      </c>
      <c r="J42" s="145">
        <v>146200</v>
      </c>
      <c r="K42" s="145">
        <v>562400</v>
      </c>
      <c r="L42" s="145">
        <v>853100</v>
      </c>
      <c r="M42" s="145">
        <v>1041000</v>
      </c>
      <c r="N42" s="145">
        <v>1010500</v>
      </c>
      <c r="O42" s="145">
        <v>135200</v>
      </c>
      <c r="P42" s="145">
        <v>118200</v>
      </c>
      <c r="Q42" s="244">
        <f>124900-7400</f>
        <v>117500</v>
      </c>
      <c r="R42" s="225"/>
      <c r="S42" s="225"/>
      <c r="T42" s="225"/>
      <c r="U42" s="249"/>
      <c r="V42" s="249"/>
      <c r="W42" s="249"/>
      <c r="X42" s="257">
        <f>E42</f>
        <v>4374600</v>
      </c>
      <c r="Y42" s="249"/>
      <c r="Z42" s="249"/>
      <c r="AA42" s="249"/>
      <c r="AB42" s="249"/>
      <c r="AC42" s="250"/>
      <c r="AD42" s="250"/>
    </row>
    <row r="43" spans="1:30" ht="15" x14ac:dyDescent="0.2">
      <c r="A43" s="1" t="s">
        <v>14</v>
      </c>
      <c r="B43" s="223">
        <v>0.01</v>
      </c>
      <c r="C43" s="136">
        <v>0.01</v>
      </c>
      <c r="D43" s="153">
        <v>9000</v>
      </c>
      <c r="E43" s="152">
        <f t="shared" si="0"/>
        <v>1345600</v>
      </c>
      <c r="F43" s="145">
        <v>84100</v>
      </c>
      <c r="G43" s="145">
        <v>108600</v>
      </c>
      <c r="H43" s="145">
        <v>97900</v>
      </c>
      <c r="I43" s="145">
        <v>113200</v>
      </c>
      <c r="J43" s="145">
        <v>119500</v>
      </c>
      <c r="K43" s="171">
        <v>130400</v>
      </c>
      <c r="L43" s="171">
        <v>116600</v>
      </c>
      <c r="M43" s="145">
        <v>102600</v>
      </c>
      <c r="N43" s="145">
        <v>118400</v>
      </c>
      <c r="O43" s="145">
        <v>117900</v>
      </c>
      <c r="P43" s="145">
        <v>120200</v>
      </c>
      <c r="Q43" s="145">
        <v>116200</v>
      </c>
      <c r="U43" s="249"/>
      <c r="V43" s="256">
        <f>E43</f>
        <v>1345600</v>
      </c>
      <c r="W43" s="249"/>
      <c r="X43" s="249"/>
      <c r="Y43" s="249"/>
      <c r="Z43" s="249"/>
      <c r="AA43" s="249"/>
      <c r="AB43" s="249"/>
      <c r="AC43" s="250"/>
      <c r="AD43" s="250"/>
    </row>
    <row r="44" spans="1:30" ht="15" x14ac:dyDescent="0.2">
      <c r="A44" s="1" t="s">
        <v>14</v>
      </c>
      <c r="B44" s="223">
        <v>1.15E-2</v>
      </c>
      <c r="C44" s="136">
        <f>+'Modeling &amp; Presentation'!H21</f>
        <v>1.15E-2</v>
      </c>
      <c r="D44" s="153">
        <v>36000</v>
      </c>
      <c r="E44" s="152">
        <f t="shared" si="0"/>
        <v>1823500</v>
      </c>
      <c r="F44" s="145">
        <v>94200</v>
      </c>
      <c r="G44" s="145">
        <v>98700</v>
      </c>
      <c r="H44" s="145">
        <v>111900</v>
      </c>
      <c r="I44" s="145">
        <v>148800</v>
      </c>
      <c r="J44" s="145">
        <v>177300</v>
      </c>
      <c r="K44" s="145">
        <v>217300</v>
      </c>
      <c r="L44" s="145">
        <v>187800</v>
      </c>
      <c r="M44" s="145">
        <v>194600</v>
      </c>
      <c r="N44" s="145">
        <v>229500</v>
      </c>
      <c r="O44" s="171">
        <v>106400</v>
      </c>
      <c r="P44" s="145">
        <v>129900</v>
      </c>
      <c r="Q44" s="145">
        <v>127100</v>
      </c>
      <c r="U44" s="249"/>
      <c r="V44" s="249"/>
      <c r="W44" s="256">
        <f>E44</f>
        <v>1823500</v>
      </c>
      <c r="X44" s="249"/>
      <c r="Y44" s="249"/>
      <c r="Z44" s="249"/>
      <c r="AA44" s="249"/>
      <c r="AB44" s="249"/>
      <c r="AC44" s="250"/>
      <c r="AD44" s="250"/>
    </row>
    <row r="45" spans="1:30" ht="15" x14ac:dyDescent="0.2">
      <c r="A45" s="1" t="s">
        <v>14</v>
      </c>
      <c r="B45" s="223">
        <v>2.4199999999999999E-2</v>
      </c>
      <c r="C45" s="136">
        <f>+'Modeling &amp; Presentation'!K21</f>
        <v>2.4199999999999999E-2</v>
      </c>
      <c r="D45" s="153">
        <v>999999999</v>
      </c>
      <c r="E45" s="152">
        <f t="shared" si="0"/>
        <v>731300</v>
      </c>
      <c r="F45" s="145">
        <v>12800</v>
      </c>
      <c r="G45" s="145">
        <v>0</v>
      </c>
      <c r="H45" s="145">
        <v>0</v>
      </c>
      <c r="I45" s="145">
        <v>0</v>
      </c>
      <c r="J45" s="145">
        <v>50100</v>
      </c>
      <c r="K45" s="145">
        <v>224200</v>
      </c>
      <c r="L45" s="145">
        <v>107400</v>
      </c>
      <c r="M45" s="145">
        <v>126600</v>
      </c>
      <c r="N45" s="145">
        <v>187900</v>
      </c>
      <c r="O45" s="145">
        <v>8000</v>
      </c>
      <c r="P45" s="145">
        <v>14300</v>
      </c>
      <c r="Q45" s="145">
        <v>0</v>
      </c>
      <c r="R45" s="225"/>
      <c r="S45" s="225"/>
      <c r="T45" s="225"/>
      <c r="U45" s="249"/>
      <c r="V45" s="249"/>
      <c r="W45" s="249"/>
      <c r="X45" s="257">
        <f>E45</f>
        <v>731300</v>
      </c>
      <c r="Y45" s="249"/>
      <c r="Z45" s="249"/>
      <c r="AA45" s="249"/>
      <c r="AB45" s="249"/>
      <c r="AC45" s="250"/>
      <c r="AD45" s="250"/>
    </row>
    <row r="46" spans="1:30" ht="15" x14ac:dyDescent="0.2">
      <c r="A46" s="117" t="s">
        <v>61</v>
      </c>
      <c r="B46" s="223">
        <v>0.01</v>
      </c>
      <c r="C46" s="136">
        <v>0.01</v>
      </c>
      <c r="D46" s="153">
        <v>15000</v>
      </c>
      <c r="E46" s="152">
        <f t="shared" si="0"/>
        <v>181100</v>
      </c>
      <c r="F46" s="145">
        <v>14900</v>
      </c>
      <c r="G46" s="145">
        <v>15100</v>
      </c>
      <c r="H46" s="170">
        <v>15100</v>
      </c>
      <c r="I46" s="170">
        <v>15100</v>
      </c>
      <c r="J46" s="145">
        <v>15100</v>
      </c>
      <c r="K46" s="145">
        <v>15300</v>
      </c>
      <c r="L46" s="145">
        <v>15200</v>
      </c>
      <c r="M46" s="145">
        <v>15200</v>
      </c>
      <c r="N46" s="145">
        <v>15100</v>
      </c>
      <c r="O46" s="145">
        <v>15000</v>
      </c>
      <c r="P46" s="145">
        <v>15000</v>
      </c>
      <c r="Q46" s="145">
        <v>15000</v>
      </c>
      <c r="U46" s="249"/>
      <c r="V46" s="256">
        <f>E46</f>
        <v>181100</v>
      </c>
      <c r="W46" s="249"/>
      <c r="X46" s="249"/>
      <c r="Y46" s="249"/>
      <c r="Z46" s="249"/>
      <c r="AA46" s="249"/>
      <c r="AB46" s="249"/>
      <c r="AC46" s="250"/>
      <c r="AD46" s="250"/>
    </row>
    <row r="47" spans="1:30" ht="15" x14ac:dyDescent="0.2">
      <c r="A47" s="117" t="s">
        <v>61</v>
      </c>
      <c r="B47" s="223">
        <v>1.15E-2</v>
      </c>
      <c r="C47" s="136">
        <f>+'Modeling &amp; Presentation'!H22</f>
        <v>1.15E-2</v>
      </c>
      <c r="D47" s="153">
        <v>60000</v>
      </c>
      <c r="E47" s="152">
        <f t="shared" si="0"/>
        <v>367500</v>
      </c>
      <c r="F47" s="145">
        <v>0</v>
      </c>
      <c r="G47" s="145">
        <v>9300</v>
      </c>
      <c r="H47" s="170">
        <v>2700</v>
      </c>
      <c r="I47" s="170">
        <v>9800</v>
      </c>
      <c r="J47" s="145">
        <v>27100</v>
      </c>
      <c r="K47" s="145">
        <v>60000</v>
      </c>
      <c r="L47" s="145">
        <v>60000</v>
      </c>
      <c r="M47" s="145">
        <v>60000</v>
      </c>
      <c r="N47" s="145">
        <v>60000</v>
      </c>
      <c r="O47" s="145">
        <v>52800</v>
      </c>
      <c r="P47" s="145">
        <v>18800</v>
      </c>
      <c r="Q47" s="145">
        <v>7000</v>
      </c>
      <c r="U47" s="249"/>
      <c r="V47" s="249"/>
      <c r="W47" s="256">
        <f>E47</f>
        <v>367500</v>
      </c>
      <c r="X47" s="249"/>
      <c r="Y47" s="249"/>
      <c r="Z47" s="249"/>
      <c r="AA47" s="249"/>
      <c r="AB47" s="249"/>
      <c r="AC47" s="250"/>
      <c r="AD47" s="250"/>
    </row>
    <row r="48" spans="1:30" ht="15" x14ac:dyDescent="0.2">
      <c r="A48" s="117" t="s">
        <v>61</v>
      </c>
      <c r="B48" s="223">
        <v>2.4199999999999999E-2</v>
      </c>
      <c r="C48" s="136">
        <f>+'Modeling &amp; Presentation'!K22</f>
        <v>2.4199999999999999E-2</v>
      </c>
      <c r="D48" s="153">
        <v>999999999</v>
      </c>
      <c r="E48" s="152">
        <f t="shared" si="0"/>
        <v>707600</v>
      </c>
      <c r="F48" s="145">
        <v>0</v>
      </c>
      <c r="G48" s="145">
        <v>0</v>
      </c>
      <c r="H48" s="170">
        <v>0</v>
      </c>
      <c r="I48" s="170">
        <v>0</v>
      </c>
      <c r="J48" s="145">
        <v>0</v>
      </c>
      <c r="K48" s="145">
        <v>122600</v>
      </c>
      <c r="L48" s="145">
        <v>174300</v>
      </c>
      <c r="M48" s="145">
        <v>215700</v>
      </c>
      <c r="N48" s="145">
        <v>195000</v>
      </c>
      <c r="O48" s="145">
        <v>0</v>
      </c>
      <c r="P48" s="145">
        <v>0</v>
      </c>
      <c r="Q48" s="145">
        <v>0</v>
      </c>
      <c r="R48" s="225"/>
      <c r="S48" s="225"/>
      <c r="T48" s="225"/>
      <c r="U48" s="249"/>
      <c r="V48" s="249"/>
      <c r="W48" s="249"/>
      <c r="X48" s="257">
        <f>E48</f>
        <v>707600</v>
      </c>
      <c r="Y48" s="249"/>
      <c r="Z48" s="249"/>
      <c r="AA48" s="249"/>
      <c r="AB48" s="249"/>
      <c r="AC48" s="250"/>
      <c r="AD48" s="250"/>
    </row>
    <row r="49" spans="1:30" ht="15" x14ac:dyDescent="0.2">
      <c r="A49" s="1" t="s">
        <v>15</v>
      </c>
      <c r="B49" s="223">
        <v>0.01</v>
      </c>
      <c r="C49" s="136">
        <v>0.01</v>
      </c>
      <c r="D49" s="153">
        <v>30000</v>
      </c>
      <c r="E49" s="152">
        <f t="shared" si="0"/>
        <v>450500</v>
      </c>
      <c r="F49" s="145">
        <v>2900</v>
      </c>
      <c r="G49" s="145">
        <v>24200</v>
      </c>
      <c r="H49" s="170">
        <v>16500</v>
      </c>
      <c r="I49" s="170">
        <v>22100</v>
      </c>
      <c r="J49" s="145">
        <v>58900</v>
      </c>
      <c r="K49" s="145">
        <v>63100</v>
      </c>
      <c r="L49" s="145">
        <v>62500</v>
      </c>
      <c r="M49" s="145">
        <v>78800</v>
      </c>
      <c r="N49" s="145">
        <v>61100</v>
      </c>
      <c r="O49" s="145">
        <v>22200</v>
      </c>
      <c r="P49" s="145">
        <v>20100</v>
      </c>
      <c r="Q49" s="145">
        <v>18100</v>
      </c>
      <c r="U49" s="249"/>
      <c r="V49" s="256">
        <f>E49</f>
        <v>450500</v>
      </c>
      <c r="W49" s="249"/>
      <c r="X49" s="249"/>
      <c r="Y49" s="249"/>
      <c r="Z49" s="249"/>
      <c r="AA49" s="249"/>
      <c r="AB49" s="249"/>
      <c r="AC49" s="250"/>
      <c r="AD49" s="250"/>
    </row>
    <row r="50" spans="1:30" ht="15" x14ac:dyDescent="0.2">
      <c r="A50" s="1" t="s">
        <v>15</v>
      </c>
      <c r="B50" s="223">
        <v>1.15E-2</v>
      </c>
      <c r="C50" s="136">
        <f>+'Modeling &amp; Presentation'!H23</f>
        <v>1.15E-2</v>
      </c>
      <c r="D50" s="153">
        <v>120000</v>
      </c>
      <c r="E50" s="152">
        <f t="shared" si="0"/>
        <v>806900</v>
      </c>
      <c r="F50" s="145">
        <v>0</v>
      </c>
      <c r="G50" s="145">
        <v>0</v>
      </c>
      <c r="H50" s="170">
        <v>0</v>
      </c>
      <c r="I50" s="170">
        <v>0</v>
      </c>
      <c r="J50" s="145">
        <v>63000</v>
      </c>
      <c r="K50" s="145">
        <v>182200</v>
      </c>
      <c r="L50" s="145">
        <v>161700</v>
      </c>
      <c r="M50" s="145">
        <v>210700</v>
      </c>
      <c r="N50" s="145">
        <v>189300</v>
      </c>
      <c r="O50" s="145">
        <v>0</v>
      </c>
      <c r="P50" s="145">
        <v>0</v>
      </c>
      <c r="Q50" s="145">
        <v>0</v>
      </c>
      <c r="U50" s="249"/>
      <c r="V50" s="249"/>
      <c r="W50" s="256">
        <f>E50</f>
        <v>806900</v>
      </c>
      <c r="X50" s="249"/>
      <c r="Y50" s="249"/>
      <c r="Z50" s="249"/>
      <c r="AA50" s="249"/>
      <c r="AB50" s="249"/>
      <c r="AC50" s="250"/>
      <c r="AD50" s="250"/>
    </row>
    <row r="51" spans="1:30" ht="15" x14ac:dyDescent="0.2">
      <c r="A51" s="1" t="s">
        <v>15</v>
      </c>
      <c r="B51" s="223">
        <v>2.4199999999999999E-2</v>
      </c>
      <c r="C51" s="136">
        <f>+'Modeling &amp; Presentation'!K23</f>
        <v>2.4199999999999999E-2</v>
      </c>
      <c r="D51" s="153">
        <v>999999999</v>
      </c>
      <c r="E51" s="152">
        <f t="shared" si="0"/>
        <v>3000</v>
      </c>
      <c r="F51" s="145">
        <v>0</v>
      </c>
      <c r="G51" s="145">
        <v>0</v>
      </c>
      <c r="H51" s="170">
        <v>0</v>
      </c>
      <c r="I51" s="170">
        <v>0</v>
      </c>
      <c r="J51" s="145"/>
      <c r="K51" s="145">
        <v>0</v>
      </c>
      <c r="L51" s="145">
        <v>0</v>
      </c>
      <c r="M51" s="145">
        <v>0</v>
      </c>
      <c r="N51" s="145">
        <v>3000</v>
      </c>
      <c r="O51" s="145">
        <v>0</v>
      </c>
      <c r="P51" s="145">
        <v>0</v>
      </c>
      <c r="Q51" s="145">
        <v>0</v>
      </c>
      <c r="R51" s="225"/>
      <c r="S51" s="225"/>
      <c r="T51" s="225"/>
      <c r="U51" s="249"/>
      <c r="V51" s="249"/>
      <c r="W51" s="249"/>
      <c r="X51" s="257">
        <f>E51</f>
        <v>3000</v>
      </c>
      <c r="Y51" s="249"/>
      <c r="Z51" s="249"/>
      <c r="AA51" s="249"/>
      <c r="AB51" s="249"/>
      <c r="AC51" s="250"/>
      <c r="AD51" s="250"/>
    </row>
    <row r="52" spans="1:30" ht="15" x14ac:dyDescent="0.2">
      <c r="A52" s="1" t="s">
        <v>16</v>
      </c>
      <c r="B52" s="223">
        <v>0</v>
      </c>
      <c r="C52" s="136">
        <f>+'Modeling &amp; Presentation'!E29</f>
        <v>0</v>
      </c>
      <c r="D52" s="153">
        <v>999999999</v>
      </c>
      <c r="E52" s="152">
        <f t="shared" si="0"/>
        <v>0</v>
      </c>
      <c r="F52" s="145"/>
      <c r="G52" s="145"/>
      <c r="H52" s="170"/>
      <c r="I52" s="170"/>
      <c r="J52" s="145"/>
      <c r="K52" s="145"/>
      <c r="L52" s="145"/>
      <c r="M52" s="145"/>
      <c r="N52" s="145"/>
      <c r="O52" s="145"/>
      <c r="P52" s="145"/>
      <c r="Q52" s="145"/>
      <c r="U52" s="249"/>
      <c r="V52" s="249"/>
      <c r="W52" s="249"/>
      <c r="X52" s="257">
        <f>SUM(X12:X51)</f>
        <v>27638700</v>
      </c>
      <c r="Y52" s="249" t="s">
        <v>131</v>
      </c>
      <c r="Z52" s="249"/>
      <c r="AA52" s="249"/>
      <c r="AB52" s="249"/>
      <c r="AC52" s="250"/>
      <c r="AD52" s="250"/>
    </row>
    <row r="53" spans="1:30" ht="15" x14ac:dyDescent="0.2">
      <c r="A53" s="1" t="s">
        <v>17</v>
      </c>
      <c r="B53" s="223">
        <v>0</v>
      </c>
      <c r="C53" s="136">
        <f>+'Modeling &amp; Presentation'!E30</f>
        <v>0</v>
      </c>
      <c r="D53" s="153">
        <v>999999999</v>
      </c>
      <c r="E53" s="152">
        <f t="shared" si="0"/>
        <v>4622700</v>
      </c>
      <c r="F53" s="145">
        <v>386400</v>
      </c>
      <c r="G53" s="145">
        <v>367000</v>
      </c>
      <c r="H53" s="145">
        <v>344800</v>
      </c>
      <c r="I53" s="145">
        <v>406000</v>
      </c>
      <c r="J53" s="170">
        <v>350600</v>
      </c>
      <c r="K53" s="170">
        <v>425800</v>
      </c>
      <c r="L53" s="170">
        <v>370300</v>
      </c>
      <c r="M53" s="145">
        <v>374500</v>
      </c>
      <c r="N53" s="145">
        <v>443500</v>
      </c>
      <c r="O53" s="145">
        <v>347100</v>
      </c>
      <c r="P53" s="145">
        <v>395800</v>
      </c>
      <c r="Q53" s="145">
        <v>410900</v>
      </c>
      <c r="R53" s="225"/>
      <c r="U53" s="249"/>
      <c r="V53" s="249"/>
      <c r="W53" s="249"/>
      <c r="X53" s="257">
        <f>X12+X21</f>
        <v>13355100</v>
      </c>
      <c r="Y53" s="249" t="s">
        <v>132</v>
      </c>
      <c r="Z53" s="249"/>
      <c r="AA53" s="249"/>
      <c r="AB53" s="249"/>
      <c r="AC53" s="250"/>
      <c r="AD53" s="250"/>
    </row>
    <row r="54" spans="1:30" ht="15" x14ac:dyDescent="0.2">
      <c r="A54" s="1" t="s">
        <v>18</v>
      </c>
      <c r="B54" s="223">
        <v>0</v>
      </c>
      <c r="C54" s="136">
        <f>+'Modeling &amp; Presentation'!E30</f>
        <v>0</v>
      </c>
      <c r="D54" s="153">
        <v>999999999</v>
      </c>
      <c r="E54" s="152">
        <f t="shared" si="0"/>
        <v>0</v>
      </c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225"/>
      <c r="U54" s="249" t="s">
        <v>133</v>
      </c>
      <c r="V54" s="260">
        <f>SUM(V10:V53)</f>
        <v>112015200</v>
      </c>
      <c r="W54" s="260">
        <f t="shared" ref="W54" si="3">SUM(W10:W53)</f>
        <v>96469200</v>
      </c>
      <c r="X54" s="260">
        <f>X52-X53</f>
        <v>14283600</v>
      </c>
      <c r="Y54" s="249" t="s">
        <v>134</v>
      </c>
      <c r="Z54" s="249" t="s">
        <v>135</v>
      </c>
      <c r="AA54" s="249"/>
      <c r="AB54" s="249"/>
      <c r="AC54" s="250"/>
      <c r="AD54" s="250"/>
    </row>
    <row r="55" spans="1:30" ht="30" x14ac:dyDescent="0.2">
      <c r="A55" s="110" t="s">
        <v>119</v>
      </c>
      <c r="B55" s="223">
        <v>0</v>
      </c>
      <c r="C55" s="136">
        <f>+'Modeling &amp; Presentation'!E30</f>
        <v>0</v>
      </c>
      <c r="D55" s="153">
        <v>999999999</v>
      </c>
      <c r="E55" s="152">
        <f t="shared" si="0"/>
        <v>0</v>
      </c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225"/>
      <c r="U55" s="249" t="s">
        <v>136</v>
      </c>
      <c r="V55" s="261">
        <f>V54/$Z$55</f>
        <v>0.47439322963318709</v>
      </c>
      <c r="W55" s="261">
        <f>W54/$Z$55</f>
        <v>0.40855469032890046</v>
      </c>
      <c r="X55" s="261">
        <f>X52/$Z$55</f>
        <v>0.11705208003791243</v>
      </c>
      <c r="Y55" s="249"/>
      <c r="Z55" s="260">
        <f>V54+W54+X52</f>
        <v>236123100</v>
      </c>
      <c r="AA55" s="249"/>
      <c r="AB55" s="249"/>
      <c r="AC55" s="250"/>
      <c r="AD55" s="250"/>
    </row>
    <row r="56" spans="1:30" s="34" customFormat="1" x14ac:dyDescent="0.2">
      <c r="U56" s="249" t="s">
        <v>56</v>
      </c>
      <c r="V56" s="262">
        <f>C49</f>
        <v>0.01</v>
      </c>
      <c r="W56" s="262">
        <f>C50</f>
        <v>1.15E-2</v>
      </c>
      <c r="X56" s="262">
        <f>C51</f>
        <v>2.4199999999999999E-2</v>
      </c>
      <c r="Y56" s="249"/>
      <c r="Z56" s="249"/>
      <c r="AA56" s="249"/>
      <c r="AB56" s="263"/>
      <c r="AC56" s="264"/>
      <c r="AD56" s="264"/>
    </row>
    <row r="57" spans="1:30" s="18" customFormat="1" ht="15" x14ac:dyDescent="0.25">
      <c r="A57" s="18" t="s">
        <v>24</v>
      </c>
      <c r="F57" s="18">
        <f t="shared" ref="F57:Q57" si="4">SUM(F3:F6)</f>
        <v>3300</v>
      </c>
      <c r="G57" s="18">
        <f t="shared" si="4"/>
        <v>6100</v>
      </c>
      <c r="H57" s="18">
        <f t="shared" ref="H57" si="5">SUM(H3:H6)</f>
        <v>5000</v>
      </c>
      <c r="I57" s="18">
        <f t="shared" si="4"/>
        <v>4700</v>
      </c>
      <c r="J57" s="18">
        <f t="shared" si="4"/>
        <v>14700</v>
      </c>
      <c r="K57" s="18">
        <f t="shared" si="4"/>
        <v>26800</v>
      </c>
      <c r="L57" s="18">
        <f t="shared" si="4"/>
        <v>36900</v>
      </c>
      <c r="M57" s="18">
        <f t="shared" si="4"/>
        <v>41600</v>
      </c>
      <c r="N57" s="18">
        <f t="shared" si="4"/>
        <v>38200</v>
      </c>
      <c r="O57" s="18">
        <f t="shared" si="4"/>
        <v>6000</v>
      </c>
      <c r="P57" s="18">
        <f t="shared" si="4"/>
        <v>5700</v>
      </c>
      <c r="Q57" s="18">
        <f t="shared" si="4"/>
        <v>8800</v>
      </c>
      <c r="U57" s="265" t="s">
        <v>57</v>
      </c>
      <c r="V57" s="266">
        <f>V54*V56</f>
        <v>1120152</v>
      </c>
      <c r="W57" s="266">
        <f>W54*W56</f>
        <v>1109395.8</v>
      </c>
      <c r="X57" s="266">
        <f>X54*X56</f>
        <v>345663.12</v>
      </c>
      <c r="Y57" s="263"/>
      <c r="Z57" s="263"/>
      <c r="AA57" s="263"/>
      <c r="AB57" s="256"/>
      <c r="AC57" s="267"/>
      <c r="AD57" s="267"/>
    </row>
    <row r="58" spans="1:30" s="18" customFormat="1" ht="15" x14ac:dyDescent="0.25">
      <c r="A58" s="18" t="s">
        <v>22</v>
      </c>
      <c r="F58" s="18">
        <f t="shared" ref="F58:Q58" si="6">SUM(F7:F30)</f>
        <v>11446500</v>
      </c>
      <c r="G58" s="18">
        <f t="shared" si="6"/>
        <v>11116400</v>
      </c>
      <c r="H58" s="18">
        <f t="shared" ref="H58" si="7">SUM(H7:H30)</f>
        <v>10079800</v>
      </c>
      <c r="I58" s="18">
        <f t="shared" si="6"/>
        <v>11858100</v>
      </c>
      <c r="J58" s="18">
        <f t="shared" si="6"/>
        <v>12347500</v>
      </c>
      <c r="K58" s="18">
        <f t="shared" si="6"/>
        <v>21037000</v>
      </c>
      <c r="L58" s="18">
        <f t="shared" si="6"/>
        <v>26802000</v>
      </c>
      <c r="M58" s="18">
        <f t="shared" si="6"/>
        <v>33749600</v>
      </c>
      <c r="N58" s="18">
        <f t="shared" si="6"/>
        <v>27764200</v>
      </c>
      <c r="O58" s="18">
        <f t="shared" si="6"/>
        <v>12374100</v>
      </c>
      <c r="P58" s="18">
        <f t="shared" si="6"/>
        <v>12106600</v>
      </c>
      <c r="Q58" s="18">
        <f t="shared" si="6"/>
        <v>11609600</v>
      </c>
      <c r="U58" s="256"/>
      <c r="V58" s="256"/>
      <c r="W58" s="256"/>
      <c r="X58" s="256">
        <f>X53</f>
        <v>13355100</v>
      </c>
      <c r="Y58" s="256" t="str">
        <f>Y53</f>
        <v>Conservation Usage</v>
      </c>
      <c r="Z58" s="256"/>
      <c r="AA58" s="256"/>
      <c r="AB58" s="256"/>
      <c r="AC58" s="267"/>
      <c r="AD58" s="267"/>
    </row>
    <row r="59" spans="1:30" s="18" customFormat="1" ht="15" x14ac:dyDescent="0.25">
      <c r="A59" s="18" t="s">
        <v>31</v>
      </c>
      <c r="F59" s="18">
        <f>SUM(F31:F51)</f>
        <v>1241500</v>
      </c>
      <c r="G59" s="18">
        <f t="shared" ref="G59:Q59" si="8">SUM(G31:G51)</f>
        <v>1478800</v>
      </c>
      <c r="H59" s="18">
        <f t="shared" ref="H59" si="9">SUM(H31:H51)</f>
        <v>1208300</v>
      </c>
      <c r="I59" s="18">
        <f t="shared" si="8"/>
        <v>1551100</v>
      </c>
      <c r="J59" s="18">
        <f t="shared" si="8"/>
        <v>1814200</v>
      </c>
      <c r="K59" s="18">
        <f t="shared" si="8"/>
        <v>4004300</v>
      </c>
      <c r="L59" s="18">
        <f t="shared" si="8"/>
        <v>5023800</v>
      </c>
      <c r="M59" s="18">
        <f t="shared" si="8"/>
        <v>5722400</v>
      </c>
      <c r="N59" s="18">
        <f t="shared" si="8"/>
        <v>6270000</v>
      </c>
      <c r="O59" s="18">
        <f t="shared" si="8"/>
        <v>2428500</v>
      </c>
      <c r="P59" s="18">
        <f t="shared" si="8"/>
        <v>1643600</v>
      </c>
      <c r="Q59" s="18">
        <f t="shared" si="8"/>
        <v>1445200</v>
      </c>
      <c r="U59" s="256"/>
      <c r="V59" s="256"/>
      <c r="W59" s="256"/>
      <c r="X59" s="268">
        <f>C12</f>
        <v>0.05</v>
      </c>
      <c r="Y59" s="256" t="s">
        <v>137</v>
      </c>
      <c r="Z59" s="256"/>
      <c r="AA59" s="256"/>
      <c r="AB59" s="256"/>
      <c r="AC59" s="267"/>
      <c r="AD59" s="267"/>
    </row>
    <row r="60" spans="1:30" s="18" customFormat="1" ht="15" x14ac:dyDescent="0.25">
      <c r="A60" s="18" t="s">
        <v>23</v>
      </c>
      <c r="F60" s="18">
        <f>SUM(F52:F55)</f>
        <v>386400</v>
      </c>
      <c r="G60" s="18">
        <f t="shared" ref="G60:Q60" si="10">SUM(G52:G55)</f>
        <v>367000</v>
      </c>
      <c r="H60" s="18">
        <f t="shared" si="10"/>
        <v>344800</v>
      </c>
      <c r="I60" s="18">
        <f t="shared" si="10"/>
        <v>406000</v>
      </c>
      <c r="J60" s="18">
        <f t="shared" si="10"/>
        <v>350600</v>
      </c>
      <c r="K60" s="18">
        <f t="shared" si="10"/>
        <v>425800</v>
      </c>
      <c r="L60" s="18">
        <f t="shared" si="10"/>
        <v>370300</v>
      </c>
      <c r="M60" s="18">
        <f t="shared" si="10"/>
        <v>374500</v>
      </c>
      <c r="N60" s="18">
        <f t="shared" si="10"/>
        <v>443500</v>
      </c>
      <c r="O60" s="18">
        <f t="shared" si="10"/>
        <v>347100</v>
      </c>
      <c r="P60" s="18">
        <f t="shared" si="10"/>
        <v>395800</v>
      </c>
      <c r="Q60" s="18">
        <f t="shared" si="10"/>
        <v>410900</v>
      </c>
      <c r="U60" s="256"/>
      <c r="V60" s="256"/>
      <c r="W60" s="256"/>
      <c r="X60" s="268">
        <f>X59*X58</f>
        <v>667755</v>
      </c>
      <c r="Y60" s="256" t="s">
        <v>57</v>
      </c>
      <c r="Z60" s="256" t="s">
        <v>138</v>
      </c>
      <c r="AA60" s="256" t="s">
        <v>139</v>
      </c>
      <c r="AB60" s="256"/>
      <c r="AC60" s="267"/>
      <c r="AD60" s="267"/>
    </row>
    <row r="61" spans="1:30" s="19" customFormat="1" ht="15" x14ac:dyDescent="0.25">
      <c r="A61" s="17" t="s">
        <v>21</v>
      </c>
      <c r="B61" s="17"/>
      <c r="C61" s="17"/>
      <c r="D61" s="17" t="s">
        <v>122</v>
      </c>
      <c r="E61" s="17">
        <f t="shared" ref="E61:Q61" si="11">SUM(E3:E56)</f>
        <v>240943600</v>
      </c>
      <c r="F61" s="17">
        <f t="shared" si="11"/>
        <v>13077700</v>
      </c>
      <c r="G61" s="17">
        <f t="shared" si="11"/>
        <v>12968300</v>
      </c>
      <c r="H61" s="17">
        <f t="shared" si="11"/>
        <v>11637900</v>
      </c>
      <c r="I61" s="17">
        <f t="shared" si="11"/>
        <v>13819900</v>
      </c>
      <c r="J61" s="17">
        <f t="shared" si="11"/>
        <v>14527000</v>
      </c>
      <c r="K61" s="17">
        <f t="shared" si="11"/>
        <v>25493900</v>
      </c>
      <c r="L61" s="17">
        <f t="shared" si="11"/>
        <v>32233000</v>
      </c>
      <c r="M61" s="17">
        <f t="shared" si="11"/>
        <v>39888100</v>
      </c>
      <c r="N61" s="17">
        <f t="shared" si="11"/>
        <v>34515900</v>
      </c>
      <c r="O61" s="17">
        <f t="shared" si="11"/>
        <v>15155700</v>
      </c>
      <c r="P61" s="17">
        <f t="shared" si="11"/>
        <v>14151700</v>
      </c>
      <c r="Q61" s="17">
        <f t="shared" si="11"/>
        <v>13474500</v>
      </c>
      <c r="U61" s="256" t="s">
        <v>140</v>
      </c>
      <c r="V61" s="269">
        <f>V57</f>
        <v>1120152</v>
      </c>
      <c r="W61" s="269">
        <f>W57</f>
        <v>1109395.8</v>
      </c>
      <c r="X61" s="269">
        <f>X60+X57</f>
        <v>1013418.12</v>
      </c>
      <c r="Y61" s="269"/>
      <c r="Z61" s="269">
        <f>BASE!V53+'Modeling &amp; Presentation'!B65</f>
        <v>3331876.75</v>
      </c>
      <c r="AA61" s="269">
        <f>SUM(V61:Z61)</f>
        <v>6574842.6699999999</v>
      </c>
      <c r="AB61" s="256"/>
      <c r="AC61" s="267"/>
      <c r="AD61" s="267"/>
    </row>
    <row r="62" spans="1:30" s="21" customFormat="1" x14ac:dyDescent="0.2">
      <c r="A62" s="20" t="s">
        <v>25</v>
      </c>
      <c r="E62" s="21">
        <f>SUM(F61:Q61)-E61</f>
        <v>0</v>
      </c>
      <c r="F62" s="21">
        <f>SUM(F57:F60)-F61</f>
        <v>0</v>
      </c>
      <c r="G62" s="21">
        <f t="shared" ref="G62:Q62" si="12">SUM(G57:G60)-G61</f>
        <v>0</v>
      </c>
      <c r="H62" s="21">
        <f t="shared" si="12"/>
        <v>0</v>
      </c>
      <c r="I62" s="21">
        <f t="shared" si="12"/>
        <v>0</v>
      </c>
      <c r="J62" s="21">
        <f t="shared" si="12"/>
        <v>0</v>
      </c>
      <c r="K62" s="21">
        <f t="shared" si="12"/>
        <v>0</v>
      </c>
      <c r="L62" s="21">
        <f t="shared" si="12"/>
        <v>0</v>
      </c>
      <c r="M62" s="21">
        <f t="shared" si="12"/>
        <v>0</v>
      </c>
      <c r="N62" s="21">
        <f t="shared" si="12"/>
        <v>0</v>
      </c>
      <c r="O62" s="21">
        <f t="shared" si="12"/>
        <v>0</v>
      </c>
      <c r="P62" s="21">
        <f t="shared" si="12"/>
        <v>0</v>
      </c>
      <c r="Q62" s="21">
        <f t="shared" si="12"/>
        <v>0</v>
      </c>
      <c r="U62" s="269" t="s">
        <v>141</v>
      </c>
      <c r="V62" s="270">
        <f>V61/$AA$61</f>
        <v>0.17036939988101646</v>
      </c>
      <c r="W62" s="270">
        <f t="shared" ref="W62:Z62" si="13">W61/$AA$61</f>
        <v>0.16873343678047281</v>
      </c>
      <c r="X62" s="270">
        <f t="shared" si="13"/>
        <v>0.15413572169933004</v>
      </c>
      <c r="Y62" s="269"/>
      <c r="Z62" s="270">
        <f t="shared" si="13"/>
        <v>0.50676144163918069</v>
      </c>
      <c r="AA62" s="271">
        <f>SUM(V62:Z62)</f>
        <v>1</v>
      </c>
      <c r="AB62" s="256"/>
      <c r="AC62" s="272"/>
      <c r="AD62" s="272"/>
    </row>
    <row r="63" spans="1:30" x14ac:dyDescent="0.2">
      <c r="F63" t="s">
        <v>80</v>
      </c>
      <c r="G63" t="s">
        <v>80</v>
      </c>
      <c r="H63" s="165" t="s">
        <v>80</v>
      </c>
      <c r="I63" t="s">
        <v>80</v>
      </c>
      <c r="J63" t="s">
        <v>80</v>
      </c>
      <c r="K63" t="s">
        <v>80</v>
      </c>
      <c r="L63" t="s">
        <v>80</v>
      </c>
      <c r="M63" t="s">
        <v>80</v>
      </c>
      <c r="N63" t="s">
        <v>80</v>
      </c>
      <c r="O63" t="s">
        <v>80</v>
      </c>
      <c r="P63" t="s">
        <v>80</v>
      </c>
      <c r="Q63" t="s">
        <v>80</v>
      </c>
      <c r="U63" s="256"/>
      <c r="V63" s="256"/>
      <c r="W63" s="256" t="s">
        <v>142</v>
      </c>
      <c r="X63" s="273">
        <f>X60/AA61</f>
        <v>0.10156212604856141</v>
      </c>
      <c r="Y63" s="256"/>
      <c r="Z63" s="256"/>
      <c r="AA63" s="256"/>
      <c r="AB63" s="249"/>
      <c r="AC63" s="250"/>
      <c r="AD63" s="250"/>
    </row>
    <row r="64" spans="1:30" ht="15" x14ac:dyDescent="0.25">
      <c r="A64" s="131" t="s">
        <v>117</v>
      </c>
      <c r="D64" s="177" t="s">
        <v>122</v>
      </c>
      <c r="E64" s="17">
        <f>SUM(F64:Q64)</f>
        <v>240943600</v>
      </c>
      <c r="F64" s="148">
        <f>386400+12772800-14700-67000+200</f>
        <v>13077700</v>
      </c>
      <c r="G64" s="148">
        <f>367000+12614300-18600+5600</f>
        <v>12968300</v>
      </c>
      <c r="H64" s="148">
        <f>11312300+344800-26200+7000</f>
        <v>11637900</v>
      </c>
      <c r="I64" s="148">
        <f>13424400+406000-10500</f>
        <v>13819900</v>
      </c>
      <c r="J64" s="148">
        <f>14182400+350600-6000</f>
        <v>14527000</v>
      </c>
      <c r="K64" s="148">
        <f>25070900+425800-2800</f>
        <v>25493900</v>
      </c>
      <c r="L64" s="148">
        <f>31876500+370300-13800</f>
        <v>32233000</v>
      </c>
      <c r="M64" s="148">
        <f>39517100+374500-3500</f>
        <v>39888100</v>
      </c>
      <c r="N64" s="148">
        <f>34088800+443500-16400</f>
        <v>34515900</v>
      </c>
      <c r="O64" s="148">
        <f>347100+14826700-17400-700</f>
        <v>15155700</v>
      </c>
      <c r="P64" s="148">
        <f>13772000+395800+-16100</f>
        <v>14151700</v>
      </c>
      <c r="Q64" s="148">
        <f>13081800+410900-18200</f>
        <v>13474500</v>
      </c>
      <c r="U64" s="249"/>
      <c r="V64" s="249"/>
      <c r="W64" s="249" t="s">
        <v>143</v>
      </c>
      <c r="X64" s="273">
        <f>X57/AA61</f>
        <v>5.2573595650768627E-2</v>
      </c>
      <c r="Y64" s="249"/>
      <c r="Z64" s="249"/>
      <c r="AA64" s="249"/>
      <c r="AB64" s="249"/>
      <c r="AC64" s="250"/>
      <c r="AD64" s="250"/>
    </row>
    <row r="65" spans="1:30" ht="15" x14ac:dyDescent="0.25">
      <c r="A65" s="131" t="s">
        <v>68</v>
      </c>
      <c r="E65" s="17">
        <f>+E64-E61</f>
        <v>0</v>
      </c>
      <c r="F65" s="17">
        <f>+F64-F61</f>
        <v>0</v>
      </c>
      <c r="G65" s="17">
        <f>+G64-G61</f>
        <v>0</v>
      </c>
      <c r="H65" s="17">
        <f t="shared" ref="H65:Q65" si="14">+H64-H61</f>
        <v>0</v>
      </c>
      <c r="I65" s="17">
        <f t="shared" si="14"/>
        <v>0</v>
      </c>
      <c r="J65" s="17">
        <f t="shared" si="14"/>
        <v>0</v>
      </c>
      <c r="K65" s="17">
        <f t="shared" si="14"/>
        <v>0</v>
      </c>
      <c r="L65" s="17">
        <f t="shared" si="14"/>
        <v>0</v>
      </c>
      <c r="M65" s="17">
        <f t="shared" si="14"/>
        <v>0</v>
      </c>
      <c r="N65" s="17">
        <f t="shared" si="14"/>
        <v>0</v>
      </c>
      <c r="O65" s="17">
        <f t="shared" si="14"/>
        <v>0</v>
      </c>
      <c r="P65" s="17">
        <f t="shared" si="14"/>
        <v>0</v>
      </c>
      <c r="Q65" s="17">
        <f t="shared" si="14"/>
        <v>0</v>
      </c>
      <c r="U65" s="249"/>
      <c r="V65" s="249"/>
      <c r="W65" s="249"/>
      <c r="X65" s="249"/>
      <c r="Y65" s="249"/>
      <c r="Z65" s="249"/>
      <c r="AA65" s="249"/>
      <c r="AB65" s="249"/>
      <c r="AC65" s="250"/>
      <c r="AD65" s="250"/>
    </row>
    <row r="66" spans="1:30" s="125" customFormat="1" x14ac:dyDescent="0.2">
      <c r="A66" s="125" t="s">
        <v>118</v>
      </c>
      <c r="E66" s="125">
        <f>SUM(F66:Q66)</f>
        <v>240943600</v>
      </c>
      <c r="F66" s="125">
        <v>13077700</v>
      </c>
      <c r="G66" s="125">
        <v>12968300</v>
      </c>
      <c r="H66" s="242">
        <v>11637900</v>
      </c>
      <c r="I66" s="125">
        <v>13819900</v>
      </c>
      <c r="J66" s="125">
        <v>14527000</v>
      </c>
      <c r="K66" s="125">
        <v>25493900</v>
      </c>
      <c r="L66" s="125">
        <v>32233000</v>
      </c>
      <c r="M66" s="125">
        <v>39888100</v>
      </c>
      <c r="N66" s="125">
        <v>34515900</v>
      </c>
      <c r="O66" s="125">
        <v>15155700</v>
      </c>
      <c r="P66" s="125">
        <v>14151700</v>
      </c>
      <c r="Q66" s="125">
        <v>13474500</v>
      </c>
      <c r="U66" s="249" t="s">
        <v>144</v>
      </c>
      <c r="V66" s="249">
        <v>1.5E-3</v>
      </c>
      <c r="W66" s="249">
        <v>4.0000000000000001E-3</v>
      </c>
      <c r="X66" s="249">
        <v>6.1000000000000004E-3</v>
      </c>
      <c r="Y66" s="249" t="s">
        <v>145</v>
      </c>
      <c r="Z66" s="249" t="s">
        <v>138</v>
      </c>
      <c r="AA66" s="249" t="s">
        <v>146</v>
      </c>
      <c r="AB66" s="249"/>
      <c r="AC66" s="250"/>
      <c r="AD66" s="250"/>
    </row>
    <row r="67" spans="1:30" x14ac:dyDescent="0.2">
      <c r="E67" s="125">
        <f>SUM(F67:Q67)</f>
        <v>0</v>
      </c>
      <c r="F67" s="172">
        <f t="shared" ref="F67:J67" si="15">+F66-F61</f>
        <v>0</v>
      </c>
      <c r="G67" s="172">
        <f t="shared" si="15"/>
        <v>0</v>
      </c>
      <c r="H67" s="172">
        <f t="shared" si="15"/>
        <v>0</v>
      </c>
      <c r="I67" s="172">
        <f t="shared" si="15"/>
        <v>0</v>
      </c>
      <c r="J67" s="172">
        <f t="shared" si="15"/>
        <v>0</v>
      </c>
      <c r="K67" s="172">
        <f>+K66-K61</f>
        <v>0</v>
      </c>
      <c r="L67" s="172">
        <f t="shared" ref="L67:Q67" si="16">+L66-L61</f>
        <v>0</v>
      </c>
      <c r="M67" s="172">
        <f t="shared" si="16"/>
        <v>0</v>
      </c>
      <c r="N67" s="172">
        <f t="shared" si="16"/>
        <v>0</v>
      </c>
      <c r="O67" s="172">
        <f t="shared" si="16"/>
        <v>0</v>
      </c>
      <c r="P67" s="172">
        <f t="shared" si="16"/>
        <v>0</v>
      </c>
      <c r="Q67" s="172">
        <f t="shared" si="16"/>
        <v>0</v>
      </c>
      <c r="U67" s="249" t="s">
        <v>147</v>
      </c>
      <c r="V67" s="297">
        <f>V66+V56</f>
        <v>1.15E-2</v>
      </c>
      <c r="W67" s="298">
        <f t="shared" ref="W67:X67" si="17">W66+W56</f>
        <v>1.55E-2</v>
      </c>
      <c r="X67" s="253">
        <f t="shared" si="17"/>
        <v>3.0300000000000001E-2</v>
      </c>
      <c r="Y67" s="274">
        <f>X59</f>
        <v>0.05</v>
      </c>
      <c r="Z67" s="274">
        <f>BASE!X10</f>
        <v>14.9</v>
      </c>
      <c r="AA67" s="249"/>
      <c r="AB67" s="249"/>
      <c r="AC67" s="250"/>
      <c r="AD67" s="250"/>
    </row>
    <row r="68" spans="1:30" x14ac:dyDescent="0.2">
      <c r="H68" s="172"/>
      <c r="K68" s="172"/>
      <c r="U68" s="275" t="s">
        <v>148</v>
      </c>
      <c r="V68" s="276">
        <f>V54*V67</f>
        <v>1288174.8</v>
      </c>
      <c r="W68" s="276">
        <f t="shared" ref="W68" si="18">W54*W67</f>
        <v>1495272.6</v>
      </c>
      <c r="X68" s="276">
        <f>X54*X67</f>
        <v>432793.08</v>
      </c>
      <c r="Y68" s="276">
        <f>Y67*X58</f>
        <v>667755</v>
      </c>
      <c r="Z68" s="269">
        <f>BASE!V53+'Modeling &amp; Presentation'!B65</f>
        <v>3331876.75</v>
      </c>
      <c r="AA68" s="277">
        <f>SUM(V68:Z68)</f>
        <v>7215872.2300000004</v>
      </c>
      <c r="AB68" s="249"/>
      <c r="AC68" s="250"/>
      <c r="AD68" s="250"/>
    </row>
    <row r="69" spans="1:30" x14ac:dyDescent="0.2">
      <c r="E69" s="172"/>
      <c r="U69" s="249" t="s">
        <v>68</v>
      </c>
      <c r="V69" s="259">
        <f>V68-V61</f>
        <v>168022.80000000005</v>
      </c>
      <c r="W69" s="259">
        <f t="shared" ref="W69" si="19">W68-W61</f>
        <v>385876.80000000005</v>
      </c>
      <c r="X69" s="259">
        <f>X68-X57</f>
        <v>87129.960000000021</v>
      </c>
      <c r="Y69" s="274">
        <f>Y68-X60</f>
        <v>0</v>
      </c>
      <c r="Z69" s="274">
        <f>Z68-Z61</f>
        <v>0</v>
      </c>
      <c r="AA69" s="259">
        <f>SUM(V69:Z69)</f>
        <v>641029.56000000006</v>
      </c>
      <c r="AB69" s="278"/>
      <c r="AC69" s="250"/>
      <c r="AD69" s="250"/>
    </row>
    <row r="70" spans="1:30" x14ac:dyDescent="0.2">
      <c r="U70" s="275" t="s">
        <v>149</v>
      </c>
      <c r="V70" s="279">
        <f t="shared" ref="V70:Y70" si="20">V68/$AA$68</f>
        <v>0.17851962436979016</v>
      </c>
      <c r="W70" s="279">
        <f t="shared" si="20"/>
        <v>0.20721993853818557</v>
      </c>
      <c r="X70" s="279">
        <f t="shared" si="20"/>
        <v>5.997793006930778E-2</v>
      </c>
      <c r="Y70" s="279">
        <f t="shared" si="20"/>
        <v>9.2539748309817288E-2</v>
      </c>
      <c r="Z70" s="279">
        <f>Z68/$AA$68</f>
        <v>0.46174275871289922</v>
      </c>
      <c r="AA70" s="271">
        <f>SUM(V70:Z70)</f>
        <v>1</v>
      </c>
      <c r="AB70" s="278"/>
      <c r="AC70" s="250"/>
      <c r="AD70" s="250"/>
    </row>
    <row r="71" spans="1:30" x14ac:dyDescent="0.2">
      <c r="U71" s="249" t="s">
        <v>150</v>
      </c>
      <c r="V71" s="280">
        <f>V69/$AA$69</f>
        <v>0.26211396554006033</v>
      </c>
      <c r="W71" s="280">
        <f t="shared" ref="W71:Y71" si="21">W69/$AA$69</f>
        <v>0.60196412783210806</v>
      </c>
      <c r="X71" s="280">
        <f t="shared" si="21"/>
        <v>0.13592190662783166</v>
      </c>
      <c r="Y71" s="280">
        <f t="shared" si="21"/>
        <v>0</v>
      </c>
      <c r="Z71" s="280">
        <f>Z69/$AA$69</f>
        <v>0</v>
      </c>
      <c r="AA71" s="281">
        <f>SUM(V71:Z71)</f>
        <v>1</v>
      </c>
      <c r="AB71" s="278"/>
      <c r="AC71" s="250"/>
      <c r="AD71" s="250"/>
    </row>
    <row r="72" spans="1:30" x14ac:dyDescent="0.2">
      <c r="U72" s="249"/>
      <c r="V72" s="249"/>
      <c r="W72" s="249"/>
      <c r="X72" s="249"/>
      <c r="Y72" s="249"/>
      <c r="Z72" s="249"/>
      <c r="AA72" s="249" t="s">
        <v>151</v>
      </c>
      <c r="AB72" s="249"/>
      <c r="AC72" s="250"/>
      <c r="AD72" s="250"/>
    </row>
    <row r="73" spans="1:30" x14ac:dyDescent="0.2">
      <c r="U73" s="249"/>
      <c r="V73" s="249" t="s">
        <v>152</v>
      </c>
      <c r="W73" s="249" t="s">
        <v>153</v>
      </c>
      <c r="X73" s="249" t="s">
        <v>154</v>
      </c>
      <c r="Y73" s="249" t="s">
        <v>155</v>
      </c>
      <c r="Z73" s="249" t="s">
        <v>156</v>
      </c>
      <c r="AA73" s="249" t="s">
        <v>157</v>
      </c>
      <c r="AB73" s="249" t="s">
        <v>158</v>
      </c>
      <c r="AC73" s="250"/>
      <c r="AD73" s="250"/>
    </row>
    <row r="74" spans="1:30" x14ac:dyDescent="0.2">
      <c r="U74" s="282" t="s">
        <v>159</v>
      </c>
      <c r="V74" s="249">
        <f>BASE!T10+BASE!T13+BASE!T31</f>
        <v>214592</v>
      </c>
      <c r="W74" s="283">
        <f>V74/12</f>
        <v>17882.666666666668</v>
      </c>
      <c r="X74" s="260">
        <f>SUM(V10:X15,V31:X33)</f>
        <v>203830900</v>
      </c>
      <c r="Y74" s="284">
        <f>X74/$X$81</f>
        <v>0.86323997948527698</v>
      </c>
      <c r="Z74" s="285">
        <f>X74/W74/12</f>
        <v>949.8532098121085</v>
      </c>
      <c r="AA74" s="249">
        <v>0.75</v>
      </c>
      <c r="AB74" s="249">
        <v>1</v>
      </c>
      <c r="AC74" s="250"/>
      <c r="AD74" s="250"/>
    </row>
    <row r="75" spans="1:30" x14ac:dyDescent="0.2">
      <c r="U75" s="249" t="s">
        <v>160</v>
      </c>
      <c r="V75" s="249">
        <f>BASE!T16+BASE!T19+BASE!T34</f>
        <v>2253</v>
      </c>
      <c r="W75" s="283">
        <f t="shared" ref="W75:W80" si="22">V75/12</f>
        <v>187.75</v>
      </c>
      <c r="X75" s="260">
        <f>SUM(V16:X21,V34:X36)</f>
        <v>7098400</v>
      </c>
      <c r="Y75" s="284">
        <f t="shared" ref="Y75:Y80" si="23">X75/$X$81</f>
        <v>3.0062285307960127E-2</v>
      </c>
      <c r="Z75" s="285">
        <f t="shared" ref="Z75:Z80" si="24">X75/W75/12</f>
        <v>3150.6435863293386</v>
      </c>
      <c r="AA75" s="249">
        <v>1</v>
      </c>
      <c r="AB75" s="249">
        <v>1.6666666666666667</v>
      </c>
      <c r="AC75" s="250"/>
      <c r="AD75" s="250"/>
    </row>
    <row r="76" spans="1:30" x14ac:dyDescent="0.2">
      <c r="U76" s="249" t="s">
        <v>161</v>
      </c>
      <c r="V76" s="249">
        <f>BASE!T22+BASE!T37</f>
        <v>396</v>
      </c>
      <c r="W76" s="283">
        <f t="shared" si="22"/>
        <v>33</v>
      </c>
      <c r="X76" s="260">
        <f>SUM(V22:X24,V37:X39)</f>
        <v>2936400</v>
      </c>
      <c r="Y76" s="284">
        <f t="shared" si="23"/>
        <v>1.2435886196649121E-2</v>
      </c>
      <c r="Z76" s="285">
        <f t="shared" si="24"/>
        <v>7415.151515151515</v>
      </c>
      <c r="AA76" s="249">
        <v>1.5</v>
      </c>
      <c r="AB76" s="249">
        <v>3.3333333333333335</v>
      </c>
      <c r="AC76" s="250"/>
      <c r="AD76" s="250"/>
    </row>
    <row r="77" spans="1:30" x14ac:dyDescent="0.2">
      <c r="U77" s="249" t="s">
        <v>162</v>
      </c>
      <c r="V77" s="249">
        <f>BASE!T25+BASE!T40</f>
        <v>1384</v>
      </c>
      <c r="W77" s="283">
        <f t="shared" si="22"/>
        <v>115.33333333333333</v>
      </c>
      <c r="X77" s="260">
        <f>SUM(V25:X27,V40:X42)</f>
        <v>15066200</v>
      </c>
      <c r="Y77" s="284">
        <f t="shared" si="23"/>
        <v>6.3806548363967777E-2</v>
      </c>
      <c r="Z77" s="285">
        <f t="shared" si="24"/>
        <v>10885.982658959538</v>
      </c>
      <c r="AA77" s="249">
        <v>2</v>
      </c>
      <c r="AB77" s="249">
        <v>5.333333333333333</v>
      </c>
      <c r="AC77" s="250"/>
      <c r="AD77" s="250"/>
    </row>
    <row r="78" spans="1:30" x14ac:dyDescent="0.2">
      <c r="U78" s="249" t="s">
        <v>163</v>
      </c>
      <c r="V78" s="249">
        <f>BASE!T43</f>
        <v>183</v>
      </c>
      <c r="W78" s="283">
        <f t="shared" si="22"/>
        <v>15.25</v>
      </c>
      <c r="X78" s="260">
        <f>SUM(V43:X45)</f>
        <v>3900400</v>
      </c>
      <c r="Y78" s="284">
        <f t="shared" si="23"/>
        <v>1.6518502425218032E-2</v>
      </c>
      <c r="Z78" s="285">
        <f t="shared" si="24"/>
        <v>21313.661202185791</v>
      </c>
      <c r="AA78" s="249">
        <v>3</v>
      </c>
      <c r="AB78" s="249">
        <v>10</v>
      </c>
      <c r="AC78" s="250"/>
      <c r="AD78" s="250"/>
    </row>
    <row r="79" spans="1:30" x14ac:dyDescent="0.2">
      <c r="U79" s="249" t="s">
        <v>164</v>
      </c>
      <c r="V79" s="249">
        <f>BASE!T28+BASE!T46</f>
        <v>36</v>
      </c>
      <c r="W79" s="283">
        <f t="shared" si="22"/>
        <v>3</v>
      </c>
      <c r="X79" s="260">
        <f>SUM(V28:X30,V46:X48)</f>
        <v>2030400</v>
      </c>
      <c r="Y79" s="284">
        <f t="shared" si="23"/>
        <v>8.5989045544463891E-3</v>
      </c>
      <c r="Z79" s="285">
        <f t="shared" si="24"/>
        <v>56400</v>
      </c>
      <c r="AA79" s="249">
        <v>4</v>
      </c>
      <c r="AB79" s="249">
        <v>16.666666666666668</v>
      </c>
      <c r="AC79" s="250"/>
      <c r="AD79" s="250"/>
    </row>
    <row r="80" spans="1:30" x14ac:dyDescent="0.2">
      <c r="U80" s="249" t="s">
        <v>165</v>
      </c>
      <c r="V80" s="249">
        <f>BASE!T49</f>
        <v>36</v>
      </c>
      <c r="W80" s="283">
        <f t="shared" si="22"/>
        <v>3</v>
      </c>
      <c r="X80" s="260">
        <f>SUM(V49:X51)</f>
        <v>1260400</v>
      </c>
      <c r="Y80" s="284">
        <f t="shared" si="23"/>
        <v>5.3378936664815937E-3</v>
      </c>
      <c r="Z80" s="285">
        <f t="shared" si="24"/>
        <v>35011.111111111109</v>
      </c>
      <c r="AA80" s="249">
        <v>6</v>
      </c>
      <c r="AB80" s="249">
        <v>33.333333333333336</v>
      </c>
      <c r="AC80" s="250"/>
      <c r="AD80" s="250"/>
    </row>
    <row r="81" spans="21:30" x14ac:dyDescent="0.2">
      <c r="U81" s="249"/>
      <c r="V81" s="249"/>
      <c r="W81" s="286">
        <f>SUM(W74:W80)</f>
        <v>18240</v>
      </c>
      <c r="X81" s="287">
        <f>SUM(X74:X80)</f>
        <v>236123100</v>
      </c>
      <c r="Y81" s="288">
        <f>SUM(Y74:Y80)</f>
        <v>1</v>
      </c>
      <c r="Z81" s="249"/>
      <c r="AA81" s="278"/>
      <c r="AB81" s="278"/>
      <c r="AC81" s="250"/>
      <c r="AD81" s="250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 tint="0.39997558519241921"/>
  </sheetPr>
  <dimension ref="A1:AC74"/>
  <sheetViews>
    <sheetView workbookViewId="0">
      <pane xSplit="1" ySplit="1" topLeftCell="R38" activePane="bottomRight" state="frozen"/>
      <selection activeCell="B55" sqref="B55"/>
      <selection pane="topRight" activeCell="B55" sqref="B55"/>
      <selection pane="bottomLeft" activeCell="B55" sqref="B55"/>
      <selection pane="bottomRight" activeCell="V10" sqref="V10"/>
    </sheetView>
  </sheetViews>
  <sheetFormatPr defaultRowHeight="12.75" x14ac:dyDescent="0.2"/>
  <cols>
    <col min="1" max="1" width="42.5703125" customWidth="1"/>
    <col min="2" max="2" width="4.42578125" customWidth="1"/>
    <col min="3" max="17" width="14" customWidth="1"/>
    <col min="22" max="22" width="13.85546875" customWidth="1"/>
    <col min="24" max="24" width="13.42578125" customWidth="1"/>
    <col min="25" max="25" width="14.140625" customWidth="1"/>
    <col min="26" max="26" width="13.28515625" customWidth="1"/>
  </cols>
  <sheetData>
    <row r="1" spans="1:29" s="4" customFormat="1" ht="25.5" x14ac:dyDescent="0.2">
      <c r="A1" s="3" t="s">
        <v>0</v>
      </c>
      <c r="B1" s="3"/>
      <c r="C1" s="3" t="s">
        <v>20</v>
      </c>
      <c r="D1" s="3" t="s">
        <v>20</v>
      </c>
      <c r="E1" s="24"/>
      <c r="F1" s="5">
        <f>+CONSUMPTION!F1</f>
        <v>43112</v>
      </c>
      <c r="G1" s="5">
        <f>+CONSUMPTION!G1</f>
        <v>43143</v>
      </c>
      <c r="H1" s="5">
        <f>+CONSUMPTION!H1</f>
        <v>43171</v>
      </c>
      <c r="I1" s="5">
        <f>+CONSUMPTION!I1</f>
        <v>43202</v>
      </c>
      <c r="J1" s="5">
        <f>+CONSUMPTION!J1</f>
        <v>43232</v>
      </c>
      <c r="K1" s="5">
        <f>+CONSUMPTION!K1</f>
        <v>43263</v>
      </c>
      <c r="L1" s="5">
        <f>+CONSUMPTION!L1</f>
        <v>43293</v>
      </c>
      <c r="M1" s="5">
        <f>+CONSUMPTION!M1</f>
        <v>43324</v>
      </c>
      <c r="N1" s="5">
        <f>+CONSUMPTION!N1</f>
        <v>43355</v>
      </c>
      <c r="O1" s="5">
        <f>+CONSUMPTION!O1</f>
        <v>43385</v>
      </c>
      <c r="P1" s="5">
        <f>+CONSUMPTION!P1</f>
        <v>43416</v>
      </c>
      <c r="Q1" s="5">
        <f>+CONSUMPTION!Q1</f>
        <v>43446</v>
      </c>
      <c r="R1"/>
      <c r="S1" s="248" t="s">
        <v>195</v>
      </c>
      <c r="T1" s="248" t="s">
        <v>196</v>
      </c>
      <c r="U1" s="248" t="s">
        <v>1</v>
      </c>
      <c r="V1" s="248" t="s">
        <v>57</v>
      </c>
      <c r="W1" s="248" t="s">
        <v>144</v>
      </c>
      <c r="X1" s="248" t="s">
        <v>197</v>
      </c>
      <c r="Y1" s="248" t="s">
        <v>148</v>
      </c>
      <c r="Z1" s="248" t="s">
        <v>68</v>
      </c>
      <c r="AA1" s="248"/>
      <c r="AB1" s="301" t="s">
        <v>198</v>
      </c>
      <c r="AC1" s="301"/>
    </row>
    <row r="2" spans="1:29" s="4" customFormat="1" ht="15" x14ac:dyDescent="0.2">
      <c r="A2" s="146"/>
      <c r="B2" s="29"/>
      <c r="C2" s="218" t="s">
        <v>107</v>
      </c>
      <c r="D2" s="33"/>
      <c r="E2" s="3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/>
      <c r="S2" s="248"/>
      <c r="T2" s="248"/>
      <c r="U2" s="248"/>
      <c r="V2" s="248"/>
      <c r="W2" s="248"/>
      <c r="X2" s="248"/>
      <c r="Y2" s="248"/>
      <c r="Z2" s="248"/>
      <c r="AA2" s="248"/>
      <c r="AB2" s="248" t="s">
        <v>151</v>
      </c>
      <c r="AC2" s="248"/>
    </row>
    <row r="3" spans="1:29" ht="16.149999999999999" customHeight="1" thickBot="1" x14ac:dyDescent="0.25">
      <c r="A3" s="25" t="s">
        <v>4</v>
      </c>
      <c r="B3" s="28"/>
      <c r="C3" s="219">
        <v>0</v>
      </c>
      <c r="D3" s="137">
        <v>0</v>
      </c>
      <c r="E3" s="8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S3" s="250"/>
      <c r="T3" s="250"/>
      <c r="U3" s="250"/>
      <c r="V3" s="250"/>
      <c r="W3" s="250"/>
      <c r="X3" s="250"/>
      <c r="Y3" s="250"/>
      <c r="Z3" s="250"/>
      <c r="AA3" s="250"/>
      <c r="AB3" s="250" t="s">
        <v>157</v>
      </c>
      <c r="AC3" s="250" t="s">
        <v>158</v>
      </c>
    </row>
    <row r="4" spans="1:29" ht="16.149999999999999" customHeight="1" thickBot="1" x14ac:dyDescent="0.25">
      <c r="A4" s="2" t="s">
        <v>4</v>
      </c>
      <c r="B4" s="28"/>
      <c r="C4" s="220">
        <v>394</v>
      </c>
      <c r="D4" s="138">
        <f>+'Modeling &amp; Presentation'!B27</f>
        <v>394</v>
      </c>
      <c r="E4" s="8"/>
      <c r="F4" s="192">
        <v>1</v>
      </c>
      <c r="G4" s="192">
        <v>1</v>
      </c>
      <c r="H4" s="192">
        <v>1</v>
      </c>
      <c r="I4" s="192">
        <v>1</v>
      </c>
      <c r="J4" s="194">
        <v>1</v>
      </c>
      <c r="K4" s="147"/>
      <c r="L4" s="147"/>
      <c r="M4" s="147"/>
      <c r="N4" s="147"/>
      <c r="O4" s="192">
        <v>1</v>
      </c>
      <c r="P4" s="192">
        <v>1</v>
      </c>
      <c r="Q4" s="192">
        <v>1</v>
      </c>
      <c r="S4" s="250"/>
      <c r="T4" s="250"/>
      <c r="U4" s="250"/>
      <c r="V4" s="250"/>
      <c r="W4" s="250"/>
      <c r="X4" s="250"/>
      <c r="Y4" s="250"/>
      <c r="Z4" s="250"/>
      <c r="AA4" s="250"/>
      <c r="AB4" s="250">
        <v>0.625</v>
      </c>
      <c r="AC4" s="250">
        <v>0.66666666666666663</v>
      </c>
    </row>
    <row r="5" spans="1:29" ht="16.149999999999999" customHeight="1" thickBot="1" x14ac:dyDescent="0.25">
      <c r="A5" s="2" t="s">
        <v>4</v>
      </c>
      <c r="B5" s="28"/>
      <c r="C5" s="220">
        <v>0</v>
      </c>
      <c r="D5" s="138">
        <v>0</v>
      </c>
      <c r="E5" s="8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S5" s="250"/>
      <c r="T5" s="250"/>
      <c r="U5" s="250"/>
      <c r="V5" s="250"/>
      <c r="W5" s="250"/>
      <c r="X5" s="250"/>
      <c r="Y5" s="250"/>
      <c r="Z5" s="250"/>
      <c r="AA5" s="250"/>
      <c r="AB5" s="250">
        <v>0.75</v>
      </c>
      <c r="AC5" s="250">
        <v>1</v>
      </c>
    </row>
    <row r="6" spans="1:29" ht="25.5" customHeight="1" thickBot="1" x14ac:dyDescent="0.25">
      <c r="A6" s="2" t="s">
        <v>5</v>
      </c>
      <c r="B6" s="28"/>
      <c r="C6" s="220">
        <v>394</v>
      </c>
      <c r="D6" s="138">
        <f>+'Modeling &amp; Presentation'!B28</f>
        <v>394</v>
      </c>
      <c r="E6" s="8"/>
      <c r="F6" s="147"/>
      <c r="G6" s="147"/>
      <c r="H6" s="147"/>
      <c r="I6" s="147"/>
      <c r="J6" s="147"/>
      <c r="K6" s="192">
        <v>1</v>
      </c>
      <c r="L6" s="192">
        <v>1</v>
      </c>
      <c r="M6" s="193">
        <v>1</v>
      </c>
      <c r="N6" s="194">
        <v>1</v>
      </c>
      <c r="O6" s="147"/>
      <c r="P6" s="147"/>
      <c r="Q6" s="147"/>
      <c r="S6" s="250"/>
      <c r="T6" s="250"/>
      <c r="U6" s="250"/>
      <c r="V6" s="250"/>
      <c r="W6" s="250"/>
      <c r="X6" s="250"/>
      <c r="Y6" s="250"/>
      <c r="Z6" s="250"/>
      <c r="AA6" s="250"/>
      <c r="AB6" s="250">
        <v>1</v>
      </c>
      <c r="AC6" s="250">
        <v>1.6666666666666667</v>
      </c>
    </row>
    <row r="7" spans="1:29" ht="15" x14ac:dyDescent="0.2">
      <c r="A7" s="118" t="s">
        <v>98</v>
      </c>
      <c r="B7" s="28"/>
      <c r="C7" s="220">
        <v>31</v>
      </c>
      <c r="D7" s="138">
        <f>+'Modeling &amp; Presentation'!B$6</f>
        <v>31</v>
      </c>
      <c r="E7" s="8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S7" s="250"/>
      <c r="T7" s="250"/>
      <c r="U7" s="250"/>
      <c r="V7" s="250"/>
      <c r="W7" s="250"/>
      <c r="X7" s="250"/>
      <c r="Y7" s="250"/>
      <c r="Z7" s="250"/>
      <c r="AA7" s="250"/>
      <c r="AB7" s="250">
        <v>1.5</v>
      </c>
      <c r="AC7" s="250">
        <v>3.3333333333333335</v>
      </c>
    </row>
    <row r="8" spans="1:29" ht="15" x14ac:dyDescent="0.2">
      <c r="A8" s="118" t="s">
        <v>98</v>
      </c>
      <c r="B8" s="28"/>
      <c r="C8" s="220">
        <v>31</v>
      </c>
      <c r="D8" s="138">
        <f>+'Modeling &amp; Presentation'!B$6</f>
        <v>31</v>
      </c>
      <c r="E8" s="8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S8" s="250"/>
      <c r="T8" s="250"/>
      <c r="U8" s="250"/>
      <c r="V8" s="250"/>
      <c r="W8" s="250"/>
      <c r="X8" s="250"/>
      <c r="Y8" s="250"/>
      <c r="Z8" s="250"/>
      <c r="AA8" s="250"/>
      <c r="AB8" s="250">
        <v>2</v>
      </c>
      <c r="AC8" s="250">
        <v>5.333333333333333</v>
      </c>
    </row>
    <row r="9" spans="1:29" ht="15" x14ac:dyDescent="0.2">
      <c r="A9" s="118" t="s">
        <v>98</v>
      </c>
      <c r="B9" s="28"/>
      <c r="C9" s="220">
        <v>31</v>
      </c>
      <c r="D9" s="138">
        <f>+'Modeling &amp; Presentation'!B$6</f>
        <v>31</v>
      </c>
      <c r="E9" s="8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S9" s="250"/>
      <c r="T9" s="250"/>
      <c r="U9" s="250"/>
      <c r="V9" s="250"/>
      <c r="W9" s="250"/>
      <c r="X9" s="250"/>
      <c r="Y9" s="250"/>
      <c r="Z9" s="250"/>
      <c r="AA9" s="250"/>
      <c r="AB9" s="250">
        <v>3</v>
      </c>
      <c r="AC9" s="250">
        <v>10</v>
      </c>
    </row>
    <row r="10" spans="1:29" ht="15" x14ac:dyDescent="0.2">
      <c r="A10" s="200" t="s">
        <v>104</v>
      </c>
      <c r="B10" s="28"/>
      <c r="C10" s="220">
        <v>14.9</v>
      </c>
      <c r="D10" s="138">
        <f>+'Modeling &amp; Presentation'!B$7</f>
        <v>14.9</v>
      </c>
      <c r="E10" s="8"/>
      <c r="F10" s="8"/>
      <c r="G10" s="8"/>
      <c r="H10" s="8"/>
      <c r="I10" s="8"/>
      <c r="J10" s="147">
        <v>17641</v>
      </c>
      <c r="K10" s="147">
        <v>17674</v>
      </c>
      <c r="L10" s="147">
        <v>17692</v>
      </c>
      <c r="M10" s="147">
        <v>17695</v>
      </c>
      <c r="N10" s="147">
        <v>17644</v>
      </c>
      <c r="O10" s="8"/>
      <c r="P10" s="8"/>
      <c r="Q10" s="8"/>
      <c r="S10" s="250">
        <f>SUM(F10:Q10)</f>
        <v>88346</v>
      </c>
      <c r="T10" s="250">
        <f>S10</f>
        <v>88346</v>
      </c>
      <c r="U10" s="295">
        <f>D10</f>
        <v>14.9</v>
      </c>
      <c r="V10" s="296">
        <f>U10*T10</f>
        <v>1316355.4000000001</v>
      </c>
      <c r="W10" s="250">
        <v>0</v>
      </c>
      <c r="X10" s="296">
        <f>W10+D10</f>
        <v>14.9</v>
      </c>
      <c r="Y10" s="296">
        <f>X10*T10</f>
        <v>1316355.4000000001</v>
      </c>
      <c r="Z10" s="296">
        <f>Y10-V10</f>
        <v>0</v>
      </c>
      <c r="AA10" s="250"/>
      <c r="AB10" s="250">
        <v>4</v>
      </c>
      <c r="AC10" s="250">
        <v>16.666666666666668</v>
      </c>
    </row>
    <row r="11" spans="1:29" ht="15" x14ac:dyDescent="0.2">
      <c r="A11" s="200" t="s">
        <v>104</v>
      </c>
      <c r="B11" s="28"/>
      <c r="C11" s="220">
        <v>14.9</v>
      </c>
      <c r="D11" s="138">
        <f>+'Modeling &amp; Presentation'!B$7</f>
        <v>14.9</v>
      </c>
      <c r="E11" s="8"/>
      <c r="F11" s="8"/>
      <c r="G11" s="8"/>
      <c r="H11" s="8"/>
      <c r="I11" s="8"/>
      <c r="J11" s="147"/>
      <c r="K11" s="147"/>
      <c r="L11" s="147"/>
      <c r="M11" s="147"/>
      <c r="N11" s="147"/>
      <c r="O11" s="8"/>
      <c r="P11" s="8"/>
      <c r="Q11" s="8"/>
      <c r="S11" s="250">
        <f t="shared" ref="S11:S52" si="0">SUM(F11:Q11)</f>
        <v>0</v>
      </c>
      <c r="T11" s="250"/>
      <c r="U11" s="250"/>
      <c r="V11" s="250"/>
      <c r="W11" s="250"/>
      <c r="X11" s="250"/>
      <c r="Y11" s="250"/>
      <c r="Z11" s="250"/>
      <c r="AA11" s="250"/>
      <c r="AB11" s="250">
        <v>6</v>
      </c>
      <c r="AC11" s="250">
        <v>33.333333333333336</v>
      </c>
    </row>
    <row r="12" spans="1:29" ht="15" x14ac:dyDescent="0.2">
      <c r="A12" s="200" t="s">
        <v>104</v>
      </c>
      <c r="B12" s="28"/>
      <c r="C12" s="220">
        <v>14.9</v>
      </c>
      <c r="D12" s="138">
        <f>+'Modeling &amp; Presentation'!B$7</f>
        <v>14.9</v>
      </c>
      <c r="E12" s="8"/>
      <c r="F12" s="8"/>
      <c r="G12" s="8"/>
      <c r="H12" s="8"/>
      <c r="I12" s="8"/>
      <c r="J12" s="147"/>
      <c r="K12" s="147"/>
      <c r="L12" s="147"/>
      <c r="M12" s="147"/>
      <c r="N12" s="147"/>
      <c r="O12" s="8"/>
      <c r="P12" s="8"/>
      <c r="Q12" s="8"/>
      <c r="S12" s="250">
        <f t="shared" si="0"/>
        <v>0</v>
      </c>
      <c r="T12" s="250"/>
      <c r="U12" s="250"/>
      <c r="V12" s="250"/>
      <c r="W12" s="250"/>
      <c r="X12" s="250"/>
      <c r="Y12" s="250"/>
      <c r="Z12" s="250"/>
      <c r="AA12" s="250"/>
      <c r="AB12" s="250"/>
      <c r="AC12" s="250"/>
    </row>
    <row r="13" spans="1:29" ht="17.25" customHeight="1" x14ac:dyDescent="0.2">
      <c r="A13" s="118" t="s">
        <v>72</v>
      </c>
      <c r="B13" s="28"/>
      <c r="C13" s="220">
        <v>14.9</v>
      </c>
      <c r="D13" s="138">
        <f>+'Modeling &amp; Presentation'!B$8</f>
        <v>14.9</v>
      </c>
      <c r="E13" s="8"/>
      <c r="F13" s="147">
        <v>17559</v>
      </c>
      <c r="G13" s="147">
        <v>17532</v>
      </c>
      <c r="H13" s="147">
        <v>17594</v>
      </c>
      <c r="I13" s="147">
        <v>17617</v>
      </c>
      <c r="J13" s="8"/>
      <c r="K13" s="8"/>
      <c r="L13" s="8"/>
      <c r="M13" s="8"/>
      <c r="N13" s="8"/>
      <c r="O13" s="147">
        <v>17659</v>
      </c>
      <c r="P13" s="147">
        <v>17582</v>
      </c>
      <c r="Q13" s="147">
        <v>17519</v>
      </c>
      <c r="S13" s="250">
        <f t="shared" si="0"/>
        <v>123062</v>
      </c>
      <c r="T13" s="250">
        <f>S13</f>
        <v>123062</v>
      </c>
      <c r="U13" s="295">
        <f>D13</f>
        <v>14.9</v>
      </c>
      <c r="V13" s="296">
        <f>U13*T13</f>
        <v>1833623.8</v>
      </c>
      <c r="W13" s="250"/>
      <c r="X13" s="296">
        <f>X10</f>
        <v>14.9</v>
      </c>
      <c r="Y13" s="296">
        <f>X13*T13</f>
        <v>1833623.8</v>
      </c>
      <c r="Z13" s="296">
        <f>Y13-V13</f>
        <v>0</v>
      </c>
      <c r="AA13" s="250"/>
      <c r="AB13" s="250"/>
      <c r="AC13" s="250"/>
    </row>
    <row r="14" spans="1:29" ht="15" x14ac:dyDescent="0.2">
      <c r="A14" s="2" t="s">
        <v>6</v>
      </c>
      <c r="B14" s="28"/>
      <c r="C14" s="220">
        <v>14.9</v>
      </c>
      <c r="D14" s="138">
        <f>+'Modeling &amp; Presentation'!B$8</f>
        <v>14.9</v>
      </c>
      <c r="E14" s="8"/>
      <c r="F14" s="147"/>
      <c r="G14" s="147"/>
      <c r="H14" s="147"/>
      <c r="I14" s="147"/>
      <c r="J14" s="8"/>
      <c r="K14" s="8"/>
      <c r="L14" s="8"/>
      <c r="M14" s="8"/>
      <c r="N14" s="8"/>
      <c r="O14" s="147"/>
      <c r="P14" s="147"/>
      <c r="Q14" s="147"/>
      <c r="S14" s="250">
        <f t="shared" si="0"/>
        <v>0</v>
      </c>
      <c r="T14" s="250"/>
      <c r="U14" s="250"/>
      <c r="V14" s="250"/>
      <c r="W14" s="250"/>
      <c r="X14" s="250"/>
      <c r="Y14" s="250"/>
      <c r="Z14" s="250"/>
      <c r="AA14" s="250"/>
      <c r="AB14" s="250"/>
      <c r="AC14" s="250"/>
    </row>
    <row r="15" spans="1:29" ht="15" x14ac:dyDescent="0.2">
      <c r="A15" s="2" t="s">
        <v>6</v>
      </c>
      <c r="B15" s="28"/>
      <c r="C15" s="220">
        <v>14.9</v>
      </c>
      <c r="D15" s="138">
        <f>+'Modeling &amp; Presentation'!B$8</f>
        <v>14.9</v>
      </c>
      <c r="E15" s="8"/>
      <c r="F15" s="147"/>
      <c r="G15" s="147"/>
      <c r="H15" s="147"/>
      <c r="I15" s="147"/>
      <c r="J15" s="8"/>
      <c r="K15" s="8"/>
      <c r="L15" s="8"/>
      <c r="M15" s="8"/>
      <c r="N15" s="8"/>
      <c r="O15" s="147"/>
      <c r="P15" s="147"/>
      <c r="Q15" s="147"/>
      <c r="S15" s="250">
        <f t="shared" si="0"/>
        <v>0</v>
      </c>
      <c r="T15" s="250"/>
      <c r="U15" s="250"/>
      <c r="V15" s="250"/>
      <c r="W15" s="250"/>
      <c r="X15" s="250"/>
      <c r="Y15" s="250"/>
      <c r="Z15" s="250"/>
      <c r="AA15" s="250"/>
      <c r="AB15" s="250"/>
      <c r="AC15" s="250"/>
    </row>
    <row r="16" spans="1:29" ht="15" x14ac:dyDescent="0.2">
      <c r="A16" s="2" t="s">
        <v>7</v>
      </c>
      <c r="B16" s="28"/>
      <c r="C16" s="220">
        <v>24.83</v>
      </c>
      <c r="D16" s="138">
        <f>+'Modeling &amp; Presentation'!B$9</f>
        <v>24.83</v>
      </c>
      <c r="E16" s="8"/>
      <c r="F16" s="147">
        <v>32</v>
      </c>
      <c r="G16" s="147">
        <v>32</v>
      </c>
      <c r="H16" s="147">
        <v>32</v>
      </c>
      <c r="I16" s="147">
        <v>32</v>
      </c>
      <c r="J16" s="8"/>
      <c r="K16" s="8"/>
      <c r="L16" s="8"/>
      <c r="M16" s="8"/>
      <c r="N16" s="8"/>
      <c r="O16" s="147">
        <v>34</v>
      </c>
      <c r="P16" s="147">
        <v>35</v>
      </c>
      <c r="Q16" s="147">
        <v>34</v>
      </c>
      <c r="S16" s="250">
        <f t="shared" si="0"/>
        <v>231</v>
      </c>
      <c r="T16" s="250">
        <f>S16</f>
        <v>231</v>
      </c>
      <c r="U16" s="295">
        <f>D16</f>
        <v>24.83</v>
      </c>
      <c r="V16" s="296">
        <f>U16*T16</f>
        <v>5735.73</v>
      </c>
      <c r="W16" s="250"/>
      <c r="X16" s="296">
        <f>X13*$AC$6</f>
        <v>24.833333333333336</v>
      </c>
      <c r="Y16" s="296">
        <f>X16*T16</f>
        <v>5736.5000000000009</v>
      </c>
      <c r="Z16" s="296">
        <f>Y16-V16</f>
        <v>0.77000000000134605</v>
      </c>
      <c r="AA16" s="250"/>
      <c r="AB16" s="250"/>
      <c r="AC16" s="250"/>
    </row>
    <row r="17" spans="1:29" ht="15" x14ac:dyDescent="0.2">
      <c r="A17" s="2" t="s">
        <v>7</v>
      </c>
      <c r="B17" s="28"/>
      <c r="C17" s="220">
        <v>24.83</v>
      </c>
      <c r="D17" s="138">
        <f>+'Modeling &amp; Presentation'!B$9</f>
        <v>24.83</v>
      </c>
      <c r="E17" s="8"/>
      <c r="F17" s="147"/>
      <c r="G17" s="147"/>
      <c r="H17" s="147"/>
      <c r="I17" s="147"/>
      <c r="J17" s="8"/>
      <c r="K17" s="8"/>
      <c r="L17" s="8"/>
      <c r="M17" s="8"/>
      <c r="N17" s="8"/>
      <c r="O17" s="147"/>
      <c r="P17" s="147"/>
      <c r="Q17" s="147"/>
      <c r="S17" s="250">
        <f t="shared" si="0"/>
        <v>0</v>
      </c>
      <c r="T17" s="250"/>
      <c r="U17" s="250"/>
      <c r="V17" s="250"/>
      <c r="W17" s="250"/>
      <c r="X17" s="250"/>
      <c r="Y17" s="250"/>
      <c r="Z17" s="250"/>
      <c r="AA17" s="250"/>
      <c r="AB17" s="250"/>
      <c r="AC17" s="250"/>
    </row>
    <row r="18" spans="1:29" ht="17.25" customHeight="1" x14ac:dyDescent="0.2">
      <c r="A18" s="2" t="s">
        <v>7</v>
      </c>
      <c r="B18" s="28"/>
      <c r="C18" s="220">
        <v>24.83</v>
      </c>
      <c r="D18" s="138">
        <f>+'Modeling &amp; Presentation'!B$9</f>
        <v>24.83</v>
      </c>
      <c r="E18" s="8"/>
      <c r="F18" s="147"/>
      <c r="G18" s="147"/>
      <c r="H18" s="147"/>
      <c r="I18" s="147"/>
      <c r="J18" s="8"/>
      <c r="K18" s="8"/>
      <c r="L18" s="8"/>
      <c r="M18" s="8"/>
      <c r="N18" s="8"/>
      <c r="O18" s="147"/>
      <c r="P18" s="147"/>
      <c r="Q18" s="147"/>
      <c r="S18" s="250">
        <f t="shared" si="0"/>
        <v>0</v>
      </c>
      <c r="T18" s="250"/>
      <c r="U18" s="250"/>
      <c r="V18" s="250"/>
      <c r="W18" s="250"/>
      <c r="X18" s="250"/>
      <c r="Y18" s="250"/>
      <c r="Z18" s="250"/>
      <c r="AA18" s="250"/>
      <c r="AB18" s="250"/>
      <c r="AC18" s="250"/>
    </row>
    <row r="19" spans="1:29" ht="15" x14ac:dyDescent="0.2">
      <c r="A19" s="200" t="s">
        <v>105</v>
      </c>
      <c r="B19" s="28"/>
      <c r="C19" s="220">
        <v>24.83</v>
      </c>
      <c r="D19" s="138">
        <f>+'Modeling &amp; Presentation'!B$10</f>
        <v>24.83</v>
      </c>
      <c r="E19" s="8"/>
      <c r="F19" s="8"/>
      <c r="G19" s="8"/>
      <c r="H19" s="8"/>
      <c r="I19" s="8"/>
      <c r="J19" s="147">
        <v>33</v>
      </c>
      <c r="K19" s="147">
        <v>35</v>
      </c>
      <c r="L19" s="147">
        <v>33</v>
      </c>
      <c r="M19" s="147">
        <v>33</v>
      </c>
      <c r="N19" s="147">
        <v>33</v>
      </c>
      <c r="O19" s="8"/>
      <c r="P19" s="8"/>
      <c r="Q19" s="8"/>
      <c r="S19" s="250">
        <f t="shared" si="0"/>
        <v>167</v>
      </c>
      <c r="T19" s="250">
        <f>S19</f>
        <v>167</v>
      </c>
      <c r="U19" s="295">
        <f>D19</f>
        <v>24.83</v>
      </c>
      <c r="V19" s="296">
        <f>U19*T19</f>
        <v>4146.6099999999997</v>
      </c>
      <c r="W19" s="250"/>
      <c r="X19" s="296">
        <f>X16</f>
        <v>24.833333333333336</v>
      </c>
      <c r="Y19" s="296">
        <f>X19*T19</f>
        <v>4147.166666666667</v>
      </c>
      <c r="Z19" s="296">
        <f>Y19-V19</f>
        <v>0.55666666666729725</v>
      </c>
      <c r="AA19" s="250"/>
      <c r="AB19" s="250"/>
      <c r="AC19" s="250"/>
    </row>
    <row r="20" spans="1:29" ht="15" x14ac:dyDescent="0.2">
      <c r="A20" s="200" t="s">
        <v>105</v>
      </c>
      <c r="B20" s="28"/>
      <c r="C20" s="220">
        <v>24.83</v>
      </c>
      <c r="D20" s="138">
        <f>+'Modeling &amp; Presentation'!B$10</f>
        <v>24.83</v>
      </c>
      <c r="E20" s="8"/>
      <c r="F20" s="8"/>
      <c r="G20" s="8"/>
      <c r="H20" s="8"/>
      <c r="I20" s="8"/>
      <c r="J20" s="147"/>
      <c r="K20" s="147"/>
      <c r="L20" s="147"/>
      <c r="M20" s="147"/>
      <c r="N20" s="147"/>
      <c r="O20" s="8"/>
      <c r="P20" s="8"/>
      <c r="Q20" s="8"/>
      <c r="S20" s="250">
        <f t="shared" si="0"/>
        <v>0</v>
      </c>
      <c r="T20" s="250"/>
      <c r="U20" s="250"/>
      <c r="V20" s="250"/>
      <c r="W20" s="250"/>
      <c r="X20" s="250"/>
      <c r="Y20" s="250"/>
      <c r="Z20" s="250"/>
      <c r="AA20" s="250"/>
      <c r="AB20" s="250"/>
      <c r="AC20" s="250"/>
    </row>
    <row r="21" spans="1:29" ht="15" x14ac:dyDescent="0.2">
      <c r="A21" s="200" t="s">
        <v>105</v>
      </c>
      <c r="B21" s="28"/>
      <c r="C21" s="220">
        <v>24.83</v>
      </c>
      <c r="D21" s="138">
        <f>+'Modeling &amp; Presentation'!B$10</f>
        <v>24.83</v>
      </c>
      <c r="E21" s="8"/>
      <c r="F21" s="8"/>
      <c r="G21" s="8"/>
      <c r="H21" s="8"/>
      <c r="I21" s="8"/>
      <c r="J21" s="147"/>
      <c r="K21" s="147"/>
      <c r="L21" s="147"/>
      <c r="M21" s="147"/>
      <c r="N21" s="147"/>
      <c r="O21" s="8"/>
      <c r="P21" s="8"/>
      <c r="Q21" s="8"/>
      <c r="S21" s="250">
        <f t="shared" si="0"/>
        <v>0</v>
      </c>
      <c r="T21" s="250"/>
      <c r="U21" s="250"/>
      <c r="V21" s="250"/>
      <c r="W21" s="250"/>
      <c r="X21" s="250"/>
      <c r="Y21" s="250"/>
      <c r="Z21" s="250"/>
      <c r="AA21" s="250"/>
      <c r="AB21" s="250"/>
      <c r="AC21" s="250"/>
    </row>
    <row r="22" spans="1:29" ht="15" x14ac:dyDescent="0.2">
      <c r="A22" s="2" t="s">
        <v>8</v>
      </c>
      <c r="B22" s="28"/>
      <c r="C22" s="220">
        <v>49.67</v>
      </c>
      <c r="D22" s="138">
        <f>+'Modeling &amp; Presentation'!B$11</f>
        <v>49.67</v>
      </c>
      <c r="E22" s="8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S22" s="250">
        <f t="shared" si="0"/>
        <v>0</v>
      </c>
      <c r="T22" s="250">
        <f>S22</f>
        <v>0</v>
      </c>
      <c r="U22" s="295">
        <f>D22</f>
        <v>49.67</v>
      </c>
      <c r="V22" s="296">
        <f>U22*T22</f>
        <v>0</v>
      </c>
      <c r="W22" s="250"/>
      <c r="X22" s="296">
        <f>X10*$AC$7</f>
        <v>49.666666666666671</v>
      </c>
      <c r="Y22" s="296">
        <f>X22*T22</f>
        <v>0</v>
      </c>
      <c r="Z22" s="296">
        <f>Y22-V22</f>
        <v>0</v>
      </c>
      <c r="AA22" s="250"/>
      <c r="AB22" s="250"/>
      <c r="AC22" s="250"/>
    </row>
    <row r="23" spans="1:29" ht="15" x14ac:dyDescent="0.2">
      <c r="A23" s="2" t="s">
        <v>8</v>
      </c>
      <c r="B23" s="28"/>
      <c r="C23" s="220">
        <v>49.67</v>
      </c>
      <c r="D23" s="138">
        <f>+'Modeling &amp; Presentation'!B$11</f>
        <v>49.67</v>
      </c>
      <c r="E23" s="8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S23" s="250">
        <f t="shared" si="0"/>
        <v>0</v>
      </c>
      <c r="T23" s="250"/>
      <c r="U23" s="250"/>
      <c r="V23" s="250"/>
      <c r="W23" s="250"/>
      <c r="X23" s="250"/>
      <c r="Y23" s="250"/>
      <c r="Z23" s="250"/>
      <c r="AA23" s="250"/>
      <c r="AB23" s="250"/>
      <c r="AC23" s="250"/>
    </row>
    <row r="24" spans="1:29" ht="15" x14ac:dyDescent="0.2">
      <c r="A24" s="2" t="s">
        <v>8</v>
      </c>
      <c r="B24" s="28"/>
      <c r="C24" s="220">
        <v>49.67</v>
      </c>
      <c r="D24" s="138">
        <f>+'Modeling &amp; Presentation'!B$11</f>
        <v>49.67</v>
      </c>
      <c r="E24" s="8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S24" s="250">
        <f t="shared" si="0"/>
        <v>0</v>
      </c>
      <c r="T24" s="250"/>
      <c r="U24" s="250"/>
      <c r="V24" s="250"/>
      <c r="W24" s="250"/>
      <c r="X24" s="250"/>
      <c r="Y24" s="250"/>
      <c r="Z24" s="250"/>
      <c r="AA24" s="250"/>
      <c r="AB24" s="250"/>
      <c r="AC24" s="250"/>
    </row>
    <row r="25" spans="1:29" ht="15" x14ac:dyDescent="0.2">
      <c r="A25" s="2" t="s">
        <v>9</v>
      </c>
      <c r="B25" s="28"/>
      <c r="C25" s="220">
        <v>79.47</v>
      </c>
      <c r="D25" s="138">
        <f>+'Modeling &amp; Presentation'!B$12</f>
        <v>79.47</v>
      </c>
      <c r="E25" s="8"/>
      <c r="F25" s="147">
        <v>1</v>
      </c>
      <c r="G25" s="147">
        <v>1</v>
      </c>
      <c r="H25" s="147">
        <v>2</v>
      </c>
      <c r="I25" s="147">
        <v>2</v>
      </c>
      <c r="J25" s="147">
        <v>2</v>
      </c>
      <c r="K25" s="147">
        <v>1</v>
      </c>
      <c r="L25" s="147">
        <v>2</v>
      </c>
      <c r="M25" s="147">
        <v>2</v>
      </c>
      <c r="N25" s="147">
        <v>2</v>
      </c>
      <c r="O25" s="147">
        <v>2</v>
      </c>
      <c r="P25" s="147">
        <v>2</v>
      </c>
      <c r="Q25" s="147">
        <v>2</v>
      </c>
      <c r="S25" s="250">
        <f t="shared" si="0"/>
        <v>21</v>
      </c>
      <c r="T25" s="250">
        <f>S25</f>
        <v>21</v>
      </c>
      <c r="U25" s="295">
        <f>D25</f>
        <v>79.47</v>
      </c>
      <c r="V25" s="296">
        <f>U25*T25</f>
        <v>1668.87</v>
      </c>
      <c r="W25" s="250"/>
      <c r="X25" s="296">
        <f>X10*$AC$8</f>
        <v>79.466666666666669</v>
      </c>
      <c r="Y25" s="296">
        <f>X25*T25</f>
        <v>1668.8</v>
      </c>
      <c r="Z25" s="296">
        <f>Y25-V25</f>
        <v>-6.9999999999936335E-2</v>
      </c>
      <c r="AA25" s="250"/>
      <c r="AB25" s="250"/>
      <c r="AC25" s="250"/>
    </row>
    <row r="26" spans="1:29" ht="15" x14ac:dyDescent="0.2">
      <c r="A26" s="2" t="s">
        <v>9</v>
      </c>
      <c r="B26" s="28"/>
      <c r="C26" s="220">
        <v>79.47</v>
      </c>
      <c r="D26" s="138">
        <f>+'Modeling &amp; Presentation'!B$12</f>
        <v>79.47</v>
      </c>
      <c r="E26" s="8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S26" s="250">
        <f t="shared" si="0"/>
        <v>0</v>
      </c>
      <c r="T26" s="250"/>
      <c r="U26" s="250"/>
      <c r="V26" s="250"/>
      <c r="W26" s="250"/>
      <c r="X26" s="250"/>
      <c r="Y26" s="250"/>
      <c r="Z26" s="250"/>
      <c r="AA26" s="250"/>
      <c r="AB26" s="250"/>
      <c r="AC26" s="250"/>
    </row>
    <row r="27" spans="1:29" ht="15" x14ac:dyDescent="0.2">
      <c r="A27" s="2" t="s">
        <v>9</v>
      </c>
      <c r="B27" s="28"/>
      <c r="C27" s="220">
        <v>79.47</v>
      </c>
      <c r="D27" s="138">
        <f>+'Modeling &amp; Presentation'!B$12</f>
        <v>79.47</v>
      </c>
      <c r="E27" s="8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S27" s="250">
        <f t="shared" si="0"/>
        <v>0</v>
      </c>
      <c r="T27" s="250"/>
      <c r="U27" s="250"/>
      <c r="V27" s="250"/>
      <c r="W27" s="250"/>
      <c r="X27" s="250"/>
      <c r="Y27" s="250"/>
      <c r="Z27" s="250"/>
      <c r="AA27" s="250"/>
      <c r="AB27" s="250"/>
      <c r="AC27" s="250"/>
    </row>
    <row r="28" spans="1:29" ht="15" x14ac:dyDescent="0.2">
      <c r="A28" s="110" t="s">
        <v>86</v>
      </c>
      <c r="B28" s="28"/>
      <c r="C28" s="220">
        <v>248.33</v>
      </c>
      <c r="D28" s="138">
        <f>+'Modeling &amp; Presentation'!B$13</f>
        <v>248.33</v>
      </c>
      <c r="E28" s="8"/>
      <c r="F28" s="147">
        <v>1</v>
      </c>
      <c r="G28" s="147">
        <v>1</v>
      </c>
      <c r="H28" s="147">
        <v>1</v>
      </c>
      <c r="I28" s="147">
        <v>1</v>
      </c>
      <c r="J28" s="147">
        <v>1</v>
      </c>
      <c r="K28" s="147">
        <v>1</v>
      </c>
      <c r="L28" s="147">
        <v>1</v>
      </c>
      <c r="M28" s="147">
        <v>1</v>
      </c>
      <c r="N28" s="147">
        <v>1</v>
      </c>
      <c r="O28" s="147">
        <v>1</v>
      </c>
      <c r="P28" s="147">
        <v>1</v>
      </c>
      <c r="Q28" s="147">
        <v>1</v>
      </c>
      <c r="S28" s="250">
        <f t="shared" si="0"/>
        <v>12</v>
      </c>
      <c r="T28" s="250">
        <f>S28</f>
        <v>12</v>
      </c>
      <c r="U28" s="295">
        <f>D28</f>
        <v>248.33</v>
      </c>
      <c r="V28" s="296">
        <f>U28*T28</f>
        <v>2979.96</v>
      </c>
      <c r="W28" s="250"/>
      <c r="X28" s="296">
        <f>X10*$AC$10</f>
        <v>248.33333333333334</v>
      </c>
      <c r="Y28" s="296">
        <f>X28*T28</f>
        <v>2980</v>
      </c>
      <c r="Z28" s="296">
        <f>Y28-V28</f>
        <v>3.999999999996362E-2</v>
      </c>
      <c r="AA28" s="250"/>
      <c r="AB28" s="250"/>
      <c r="AC28" s="250"/>
    </row>
    <row r="29" spans="1:29" ht="15" x14ac:dyDescent="0.2">
      <c r="A29" s="110" t="s">
        <v>86</v>
      </c>
      <c r="B29" s="28"/>
      <c r="C29" s="220">
        <v>248.33</v>
      </c>
      <c r="D29" s="138">
        <f>+'Modeling &amp; Presentation'!B$13</f>
        <v>248.33</v>
      </c>
      <c r="E29" s="8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S29" s="250">
        <f t="shared" si="0"/>
        <v>0</v>
      </c>
      <c r="T29" s="250"/>
      <c r="U29" s="250"/>
      <c r="V29" s="250"/>
      <c r="W29" s="250"/>
      <c r="X29" s="250"/>
      <c r="Y29" s="250"/>
      <c r="Z29" s="250"/>
      <c r="AA29" s="250"/>
      <c r="AB29" s="250"/>
      <c r="AC29" s="250"/>
    </row>
    <row r="30" spans="1:29" ht="15" x14ac:dyDescent="0.2">
      <c r="A30" s="110" t="s">
        <v>86</v>
      </c>
      <c r="B30" s="28"/>
      <c r="C30" s="220">
        <v>248.33</v>
      </c>
      <c r="D30" s="138">
        <f>+'Modeling &amp; Presentation'!B$13</f>
        <v>248.33</v>
      </c>
      <c r="E30" s="8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S30" s="250">
        <f t="shared" si="0"/>
        <v>0</v>
      </c>
      <c r="T30" s="250"/>
      <c r="U30" s="250"/>
      <c r="V30" s="250"/>
      <c r="W30" s="250"/>
      <c r="X30" s="250"/>
      <c r="Y30" s="250"/>
      <c r="Z30" s="250"/>
      <c r="AA30" s="250"/>
      <c r="AB30" s="250"/>
      <c r="AC30" s="250"/>
    </row>
    <row r="31" spans="1:29" ht="15" x14ac:dyDescent="0.2">
      <c r="A31" s="2" t="s">
        <v>10</v>
      </c>
      <c r="B31" s="28"/>
      <c r="C31" s="220">
        <v>14.9</v>
      </c>
      <c r="D31" s="138">
        <f>+'Modeling &amp; Presentation'!B$17</f>
        <v>14.9</v>
      </c>
      <c r="E31" s="8"/>
      <c r="F31" s="147">
        <v>264</v>
      </c>
      <c r="G31" s="147">
        <v>265</v>
      </c>
      <c r="H31" s="147">
        <v>267</v>
      </c>
      <c r="I31" s="147">
        <v>264</v>
      </c>
      <c r="J31" s="147">
        <v>266</v>
      </c>
      <c r="K31" s="147">
        <v>265</v>
      </c>
      <c r="L31" s="147">
        <v>265</v>
      </c>
      <c r="M31" s="147">
        <v>265</v>
      </c>
      <c r="N31" s="147">
        <v>267</v>
      </c>
      <c r="O31" s="147">
        <v>265</v>
      </c>
      <c r="P31" s="147">
        <v>264</v>
      </c>
      <c r="Q31" s="147">
        <v>267</v>
      </c>
      <c r="S31" s="250">
        <f t="shared" si="0"/>
        <v>3184</v>
      </c>
      <c r="T31" s="250">
        <f>S31</f>
        <v>3184</v>
      </c>
      <c r="U31" s="295">
        <f>D31</f>
        <v>14.9</v>
      </c>
      <c r="V31" s="296">
        <f>U31*T31</f>
        <v>47441.599999999999</v>
      </c>
      <c r="W31" s="250"/>
      <c r="X31" s="296">
        <f>X13</f>
        <v>14.9</v>
      </c>
      <c r="Y31" s="296">
        <f>X31*T31</f>
        <v>47441.599999999999</v>
      </c>
      <c r="Z31" s="296">
        <f>Y31-V31</f>
        <v>0</v>
      </c>
      <c r="AA31" s="250"/>
      <c r="AB31" s="250"/>
      <c r="AC31" s="250"/>
    </row>
    <row r="32" spans="1:29" ht="15" x14ac:dyDescent="0.2">
      <c r="A32" s="2" t="s">
        <v>10</v>
      </c>
      <c r="B32" s="28"/>
      <c r="C32" s="220">
        <v>14.9</v>
      </c>
      <c r="D32" s="138">
        <f>+'Modeling &amp; Presentation'!B$17</f>
        <v>14.9</v>
      </c>
      <c r="E32" s="8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S32" s="250">
        <f t="shared" si="0"/>
        <v>0</v>
      </c>
      <c r="T32" s="250"/>
      <c r="U32" s="250"/>
      <c r="V32" s="250"/>
      <c r="W32" s="250"/>
      <c r="X32" s="250"/>
      <c r="Y32" s="250"/>
      <c r="Z32" s="250"/>
      <c r="AA32" s="250"/>
      <c r="AB32" s="250"/>
      <c r="AC32" s="250"/>
    </row>
    <row r="33" spans="1:29" ht="15" x14ac:dyDescent="0.2">
      <c r="A33" s="2" t="s">
        <v>10</v>
      </c>
      <c r="B33" s="28"/>
      <c r="C33" s="220">
        <v>14.9</v>
      </c>
      <c r="D33" s="138">
        <f>+'Modeling &amp; Presentation'!B$17</f>
        <v>14.9</v>
      </c>
      <c r="E33" s="8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S33" s="250">
        <f t="shared" si="0"/>
        <v>0</v>
      </c>
      <c r="T33" s="250"/>
      <c r="U33" s="250"/>
      <c r="V33" s="250"/>
      <c r="W33" s="250"/>
      <c r="X33" s="250"/>
      <c r="Y33" s="250"/>
      <c r="Z33" s="250"/>
      <c r="AA33" s="250"/>
      <c r="AB33" s="250"/>
      <c r="AC33" s="250"/>
    </row>
    <row r="34" spans="1:29" ht="15" x14ac:dyDescent="0.2">
      <c r="A34" s="2" t="s">
        <v>11</v>
      </c>
      <c r="B34" s="28"/>
      <c r="C34" s="220">
        <v>24.83</v>
      </c>
      <c r="D34" s="138">
        <f>+'Modeling &amp; Presentation'!B$18</f>
        <v>24.83</v>
      </c>
      <c r="E34" s="8"/>
      <c r="F34" s="147">
        <v>153</v>
      </c>
      <c r="G34" s="147">
        <v>153</v>
      </c>
      <c r="H34" s="147">
        <v>156</v>
      </c>
      <c r="I34" s="147">
        <v>153</v>
      </c>
      <c r="J34" s="147">
        <v>154</v>
      </c>
      <c r="K34" s="147">
        <v>154</v>
      </c>
      <c r="L34" s="147">
        <v>156</v>
      </c>
      <c r="M34" s="147">
        <v>155</v>
      </c>
      <c r="N34" s="147">
        <v>155</v>
      </c>
      <c r="O34" s="147">
        <v>155</v>
      </c>
      <c r="P34" s="147">
        <v>155</v>
      </c>
      <c r="Q34" s="147">
        <v>156</v>
      </c>
      <c r="S34" s="250">
        <f t="shared" si="0"/>
        <v>1855</v>
      </c>
      <c r="T34" s="250">
        <f>S34</f>
        <v>1855</v>
      </c>
      <c r="U34" s="295">
        <f>D34</f>
        <v>24.83</v>
      </c>
      <c r="V34" s="296">
        <f>U34*T34</f>
        <v>46059.649999999994</v>
      </c>
      <c r="W34" s="250"/>
      <c r="X34" s="296">
        <f>X19</f>
        <v>24.833333333333336</v>
      </c>
      <c r="Y34" s="296">
        <f>X34*T34</f>
        <v>46065.833333333336</v>
      </c>
      <c r="Z34" s="296">
        <f>Y34-V34</f>
        <v>6.1833333333415794</v>
      </c>
      <c r="AA34" s="250"/>
      <c r="AB34" s="250"/>
      <c r="AC34" s="250"/>
    </row>
    <row r="35" spans="1:29" ht="15" x14ac:dyDescent="0.2">
      <c r="A35" s="2" t="s">
        <v>11</v>
      </c>
      <c r="B35" s="28"/>
      <c r="C35" s="220">
        <v>24.83</v>
      </c>
      <c r="D35" s="138">
        <f>+'Modeling &amp; Presentation'!B$18</f>
        <v>24.83</v>
      </c>
      <c r="E35" s="8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S35" s="250">
        <f t="shared" si="0"/>
        <v>0</v>
      </c>
      <c r="T35" s="250"/>
      <c r="U35" s="250"/>
      <c r="V35" s="250"/>
      <c r="W35" s="250"/>
      <c r="X35" s="250"/>
      <c r="Y35" s="250"/>
      <c r="Z35" s="250"/>
      <c r="AA35" s="250"/>
      <c r="AB35" s="250"/>
      <c r="AC35" s="250"/>
    </row>
    <row r="36" spans="1:29" ht="15" x14ac:dyDescent="0.2">
      <c r="A36" s="2" t="s">
        <v>11</v>
      </c>
      <c r="B36" s="28"/>
      <c r="C36" s="220">
        <v>24.83</v>
      </c>
      <c r="D36" s="138">
        <f>+'Modeling &amp; Presentation'!B$18</f>
        <v>24.83</v>
      </c>
      <c r="E36" s="8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S36" s="250">
        <f t="shared" si="0"/>
        <v>0</v>
      </c>
      <c r="T36" s="250"/>
      <c r="U36" s="250"/>
      <c r="V36" s="250"/>
      <c r="W36" s="250"/>
      <c r="X36" s="250"/>
      <c r="Y36" s="250"/>
      <c r="Z36" s="250"/>
      <c r="AA36" s="250"/>
      <c r="AB36" s="250"/>
      <c r="AC36" s="250"/>
    </row>
    <row r="37" spans="1:29" ht="15" x14ac:dyDescent="0.2">
      <c r="A37" s="2" t="s">
        <v>12</v>
      </c>
      <c r="B37" s="28"/>
      <c r="C37" s="220">
        <v>49.67</v>
      </c>
      <c r="D37" s="138">
        <f>+'Modeling &amp; Presentation'!B$19</f>
        <v>49.67</v>
      </c>
      <c r="E37" s="8"/>
      <c r="F37" s="147">
        <v>33</v>
      </c>
      <c r="G37" s="147">
        <v>33</v>
      </c>
      <c r="H37" s="147">
        <v>33</v>
      </c>
      <c r="I37" s="147">
        <v>33</v>
      </c>
      <c r="J37" s="147">
        <v>33</v>
      </c>
      <c r="K37" s="147">
        <v>33</v>
      </c>
      <c r="L37" s="147">
        <v>33</v>
      </c>
      <c r="M37" s="147">
        <v>33</v>
      </c>
      <c r="N37" s="147">
        <v>33</v>
      </c>
      <c r="O37" s="147">
        <v>33</v>
      </c>
      <c r="P37" s="147">
        <v>33</v>
      </c>
      <c r="Q37" s="147">
        <v>33</v>
      </c>
      <c r="S37" s="250">
        <f t="shared" si="0"/>
        <v>396</v>
      </c>
      <c r="T37" s="250">
        <f>S37</f>
        <v>396</v>
      </c>
      <c r="U37" s="295">
        <f>D37</f>
        <v>49.67</v>
      </c>
      <c r="V37" s="296">
        <f>U37*T37</f>
        <v>19669.32</v>
      </c>
      <c r="W37" s="250"/>
      <c r="X37" s="296">
        <f>X22</f>
        <v>49.666666666666671</v>
      </c>
      <c r="Y37" s="296">
        <f>X37*T37</f>
        <v>19668.000000000004</v>
      </c>
      <c r="Z37" s="296">
        <f>Y37-V37</f>
        <v>-1.319999999996071</v>
      </c>
      <c r="AA37" s="250"/>
      <c r="AB37" s="250"/>
      <c r="AC37" s="250"/>
    </row>
    <row r="38" spans="1:29" ht="15" x14ac:dyDescent="0.2">
      <c r="A38" s="2" t="s">
        <v>12</v>
      </c>
      <c r="B38" s="28"/>
      <c r="C38" s="220">
        <v>49.67</v>
      </c>
      <c r="D38" s="138">
        <f>+'Modeling &amp; Presentation'!B$19</f>
        <v>49.67</v>
      </c>
      <c r="E38" s="8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S38" s="250">
        <f t="shared" si="0"/>
        <v>0</v>
      </c>
      <c r="T38" s="250"/>
      <c r="U38" s="250"/>
      <c r="V38" s="250"/>
      <c r="W38" s="250"/>
      <c r="X38" s="250"/>
      <c r="Y38" s="250"/>
      <c r="Z38" s="250"/>
      <c r="AA38" s="250"/>
      <c r="AB38" s="250"/>
      <c r="AC38" s="250"/>
    </row>
    <row r="39" spans="1:29" ht="15" x14ac:dyDescent="0.2">
      <c r="A39" s="2" t="s">
        <v>12</v>
      </c>
      <c r="B39" s="28"/>
      <c r="C39" s="220">
        <v>49.67</v>
      </c>
      <c r="D39" s="138">
        <f>+'Modeling &amp; Presentation'!B$19</f>
        <v>49.67</v>
      </c>
      <c r="E39" s="8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S39" s="250">
        <f t="shared" si="0"/>
        <v>0</v>
      </c>
      <c r="T39" s="250"/>
      <c r="U39" s="250"/>
      <c r="V39" s="250"/>
      <c r="W39" s="250"/>
      <c r="X39" s="250"/>
      <c r="Y39" s="250"/>
      <c r="Z39" s="250"/>
      <c r="AA39" s="250"/>
      <c r="AB39" s="250"/>
      <c r="AC39" s="250"/>
    </row>
    <row r="40" spans="1:29" ht="15" x14ac:dyDescent="0.2">
      <c r="A40" s="2" t="s">
        <v>13</v>
      </c>
      <c r="B40" s="28"/>
      <c r="C40" s="220">
        <v>79.47</v>
      </c>
      <c r="D40" s="138">
        <f>+'Modeling &amp; Presentation'!B$20</f>
        <v>79.47</v>
      </c>
      <c r="E40" s="8"/>
      <c r="F40" s="147">
        <v>111</v>
      </c>
      <c r="G40" s="147">
        <v>112</v>
      </c>
      <c r="H40" s="147">
        <v>113</v>
      </c>
      <c r="I40" s="147">
        <v>113</v>
      </c>
      <c r="J40" s="164">
        <v>114</v>
      </c>
      <c r="K40" s="164">
        <v>114</v>
      </c>
      <c r="L40" s="164">
        <v>114</v>
      </c>
      <c r="M40" s="164">
        <v>115</v>
      </c>
      <c r="N40" s="147">
        <v>115</v>
      </c>
      <c r="O40" s="147">
        <v>114</v>
      </c>
      <c r="P40" s="147">
        <v>114</v>
      </c>
      <c r="Q40" s="147">
        <v>114</v>
      </c>
      <c r="S40" s="250">
        <f t="shared" si="0"/>
        <v>1363</v>
      </c>
      <c r="T40" s="250">
        <f>S40+S41</f>
        <v>1363</v>
      </c>
      <c r="U40" s="295">
        <f>D40</f>
        <v>79.47</v>
      </c>
      <c r="V40" s="296">
        <f>U40*T40</f>
        <v>108317.61</v>
      </c>
      <c r="W40" s="250"/>
      <c r="X40" s="296">
        <f>X25</f>
        <v>79.466666666666669</v>
      </c>
      <c r="Y40" s="296">
        <f>X40*T40</f>
        <v>108313.06666666667</v>
      </c>
      <c r="Z40" s="296">
        <f>Y40-V40</f>
        <v>-4.5433333333348855</v>
      </c>
      <c r="AA40" s="250"/>
      <c r="AB40" s="250"/>
      <c r="AC40" s="250"/>
    </row>
    <row r="41" spans="1:29" ht="15" x14ac:dyDescent="0.2">
      <c r="A41" s="2" t="s">
        <v>13</v>
      </c>
      <c r="B41" s="28"/>
      <c r="C41" s="220">
        <v>79.47</v>
      </c>
      <c r="D41" s="138">
        <f>+'Modeling &amp; Presentation'!B$20</f>
        <v>79.47</v>
      </c>
      <c r="E41" s="8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S41" s="250">
        <f t="shared" si="0"/>
        <v>0</v>
      </c>
      <c r="T41" s="250"/>
      <c r="U41" s="250"/>
      <c r="V41" s="250"/>
      <c r="W41" s="250"/>
      <c r="X41" s="250"/>
      <c r="Y41" s="250"/>
      <c r="Z41" s="250"/>
      <c r="AA41" s="250"/>
      <c r="AB41" s="250"/>
      <c r="AC41" s="250"/>
    </row>
    <row r="42" spans="1:29" ht="15" x14ac:dyDescent="0.2">
      <c r="A42" s="2" t="s">
        <v>13</v>
      </c>
      <c r="B42" s="28"/>
      <c r="C42" s="220">
        <v>79.47</v>
      </c>
      <c r="D42" s="138">
        <f>+'Modeling &amp; Presentation'!B$20</f>
        <v>79.47</v>
      </c>
      <c r="E42" s="8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S42" s="250">
        <f t="shared" si="0"/>
        <v>0</v>
      </c>
      <c r="T42" s="250"/>
      <c r="U42" s="250"/>
      <c r="V42" s="250"/>
      <c r="W42" s="250"/>
      <c r="X42" s="250"/>
      <c r="Y42" s="250"/>
      <c r="Z42" s="250"/>
      <c r="AA42" s="250"/>
      <c r="AB42" s="250"/>
      <c r="AC42" s="250"/>
    </row>
    <row r="43" spans="1:29" ht="15" x14ac:dyDescent="0.2">
      <c r="A43" s="2" t="s">
        <v>14</v>
      </c>
      <c r="B43" s="28"/>
      <c r="C43" s="220">
        <v>149</v>
      </c>
      <c r="D43" s="138">
        <f>+'Modeling &amp; Presentation'!B$21</f>
        <v>149</v>
      </c>
      <c r="E43" s="8"/>
      <c r="F43" s="147">
        <v>16</v>
      </c>
      <c r="G43" s="147">
        <v>16</v>
      </c>
      <c r="H43" s="147">
        <v>16</v>
      </c>
      <c r="I43" s="147">
        <v>15</v>
      </c>
      <c r="J43" s="147">
        <v>15</v>
      </c>
      <c r="K43" s="147">
        <v>15</v>
      </c>
      <c r="L43" s="147">
        <v>15</v>
      </c>
      <c r="M43" s="147">
        <v>15</v>
      </c>
      <c r="N43" s="147">
        <v>15</v>
      </c>
      <c r="O43" s="147">
        <v>15</v>
      </c>
      <c r="P43" s="147">
        <v>15</v>
      </c>
      <c r="Q43" s="147">
        <v>15</v>
      </c>
      <c r="S43" s="250">
        <f t="shared" si="0"/>
        <v>183</v>
      </c>
      <c r="T43" s="250">
        <f>S43+S44</f>
        <v>183</v>
      </c>
      <c r="U43" s="295">
        <f>D43</f>
        <v>149</v>
      </c>
      <c r="V43" s="296">
        <f>U43*T43</f>
        <v>27267</v>
      </c>
      <c r="W43" s="250"/>
      <c r="X43" s="296">
        <f>X10*$AC$9</f>
        <v>149</v>
      </c>
      <c r="Y43" s="296">
        <f>X43*T43</f>
        <v>27267</v>
      </c>
      <c r="Z43" s="296">
        <f>Y43-V43</f>
        <v>0</v>
      </c>
      <c r="AA43" s="250"/>
      <c r="AB43" s="250"/>
      <c r="AC43" s="250"/>
    </row>
    <row r="44" spans="1:29" ht="15" x14ac:dyDescent="0.2">
      <c r="A44" s="2" t="s">
        <v>14</v>
      </c>
      <c r="B44" s="28"/>
      <c r="C44" s="220">
        <v>149</v>
      </c>
      <c r="D44" s="138">
        <f>+'Modeling &amp; Presentation'!B$21</f>
        <v>149</v>
      </c>
      <c r="E44" s="8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S44" s="250">
        <f t="shared" si="0"/>
        <v>0</v>
      </c>
      <c r="T44" s="250"/>
      <c r="U44" s="250"/>
      <c r="V44" s="250"/>
      <c r="W44" s="250"/>
      <c r="X44" s="250"/>
      <c r="Y44" s="250"/>
      <c r="Z44" s="250"/>
      <c r="AA44" s="250"/>
      <c r="AB44" s="250"/>
      <c r="AC44" s="250"/>
    </row>
    <row r="45" spans="1:29" ht="15" x14ac:dyDescent="0.2">
      <c r="A45" s="2" t="s">
        <v>14</v>
      </c>
      <c r="B45" s="28"/>
      <c r="C45" s="220">
        <v>149</v>
      </c>
      <c r="D45" s="138">
        <f>+'Modeling &amp; Presentation'!B$21</f>
        <v>149</v>
      </c>
      <c r="E45" s="8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S45" s="250">
        <f t="shared" si="0"/>
        <v>0</v>
      </c>
      <c r="T45" s="250"/>
      <c r="U45" s="250"/>
      <c r="V45" s="250"/>
      <c r="W45" s="250"/>
      <c r="X45" s="250"/>
      <c r="Y45" s="250"/>
      <c r="Z45" s="250"/>
      <c r="AA45" s="250"/>
      <c r="AB45" s="250"/>
      <c r="AC45" s="250"/>
    </row>
    <row r="46" spans="1:29" ht="15" x14ac:dyDescent="0.2">
      <c r="A46" s="118" t="s">
        <v>61</v>
      </c>
      <c r="B46" s="28"/>
      <c r="C46" s="220">
        <v>248.33</v>
      </c>
      <c r="D46" s="138">
        <f>+'Modeling &amp; Presentation'!B$22</f>
        <v>248.33</v>
      </c>
      <c r="E46" s="8"/>
      <c r="F46" s="147">
        <v>2</v>
      </c>
      <c r="G46" s="147">
        <v>2</v>
      </c>
      <c r="H46" s="147">
        <v>2</v>
      </c>
      <c r="I46" s="147">
        <v>2</v>
      </c>
      <c r="J46" s="147">
        <v>2</v>
      </c>
      <c r="K46" s="147">
        <v>2</v>
      </c>
      <c r="L46" s="147">
        <v>2</v>
      </c>
      <c r="M46" s="147">
        <v>2</v>
      </c>
      <c r="N46" s="147">
        <v>2</v>
      </c>
      <c r="O46" s="147">
        <v>2</v>
      </c>
      <c r="P46" s="147">
        <v>2</v>
      </c>
      <c r="Q46" s="147">
        <v>2</v>
      </c>
      <c r="S46" s="250">
        <f t="shared" si="0"/>
        <v>24</v>
      </c>
      <c r="T46" s="250">
        <f>S46+S47</f>
        <v>24</v>
      </c>
      <c r="U46" s="295">
        <f>D46</f>
        <v>248.33</v>
      </c>
      <c r="V46" s="296">
        <f>U46*T46</f>
        <v>5959.92</v>
      </c>
      <c r="W46" s="250"/>
      <c r="X46" s="296">
        <f>X28</f>
        <v>248.33333333333334</v>
      </c>
      <c r="Y46" s="296">
        <f>X46*T46</f>
        <v>5960</v>
      </c>
      <c r="Z46" s="296">
        <f>Y46-V46</f>
        <v>7.999999999992724E-2</v>
      </c>
      <c r="AA46" s="250"/>
      <c r="AB46" s="250"/>
      <c r="AC46" s="250"/>
    </row>
    <row r="47" spans="1:29" ht="15" x14ac:dyDescent="0.2">
      <c r="A47" s="118" t="s">
        <v>61</v>
      </c>
      <c r="B47" s="28"/>
      <c r="C47" s="220">
        <v>248.33</v>
      </c>
      <c r="D47" s="138">
        <f>+'Modeling &amp; Presentation'!B$22</f>
        <v>248.33</v>
      </c>
      <c r="E47" s="8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S47" s="250">
        <f t="shared" si="0"/>
        <v>0</v>
      </c>
      <c r="T47" s="250"/>
      <c r="U47" s="250"/>
      <c r="V47" s="250"/>
      <c r="W47" s="250"/>
      <c r="X47" s="250"/>
      <c r="Y47" s="250"/>
      <c r="Z47" s="250"/>
      <c r="AA47" s="250"/>
      <c r="AB47" s="250"/>
      <c r="AC47" s="250"/>
    </row>
    <row r="48" spans="1:29" ht="15" x14ac:dyDescent="0.2">
      <c r="A48" s="118" t="s">
        <v>61</v>
      </c>
      <c r="B48" s="28"/>
      <c r="C48" s="220">
        <v>248.33</v>
      </c>
      <c r="D48" s="138">
        <f>+'Modeling &amp; Presentation'!B$22</f>
        <v>248.33</v>
      </c>
      <c r="E48" s="8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S48" s="250">
        <f t="shared" si="0"/>
        <v>0</v>
      </c>
      <c r="T48" s="250"/>
      <c r="U48" s="250"/>
      <c r="V48" s="250"/>
      <c r="W48" s="250"/>
      <c r="X48" s="250"/>
      <c r="Y48" s="250"/>
      <c r="Z48" s="250"/>
      <c r="AA48" s="250"/>
      <c r="AB48" s="250"/>
      <c r="AC48" s="250"/>
    </row>
    <row r="49" spans="1:29" ht="15" x14ac:dyDescent="0.2">
      <c r="A49" s="2" t="s">
        <v>15</v>
      </c>
      <c r="B49" s="28"/>
      <c r="C49" s="220">
        <v>496.67</v>
      </c>
      <c r="D49" s="138">
        <f>+'Modeling &amp; Presentation'!B$23</f>
        <v>496.67</v>
      </c>
      <c r="E49" s="8"/>
      <c r="F49" s="147">
        <v>3</v>
      </c>
      <c r="G49" s="147">
        <v>3</v>
      </c>
      <c r="H49" s="147">
        <v>3</v>
      </c>
      <c r="I49" s="147">
        <v>3</v>
      </c>
      <c r="J49" s="147">
        <v>3</v>
      </c>
      <c r="K49" s="147">
        <v>3</v>
      </c>
      <c r="L49" s="147">
        <v>3</v>
      </c>
      <c r="M49" s="147">
        <v>3</v>
      </c>
      <c r="N49" s="147">
        <v>3</v>
      </c>
      <c r="O49" s="147">
        <v>3</v>
      </c>
      <c r="P49" s="147">
        <v>3</v>
      </c>
      <c r="Q49" s="147">
        <v>3</v>
      </c>
      <c r="S49" s="250">
        <f t="shared" si="0"/>
        <v>36</v>
      </c>
      <c r="T49" s="250">
        <f>S49+S50</f>
        <v>36</v>
      </c>
      <c r="U49" s="295">
        <f>D49</f>
        <v>496.67</v>
      </c>
      <c r="V49" s="296">
        <f>U49*T49</f>
        <v>17880.12</v>
      </c>
      <c r="W49" s="250"/>
      <c r="X49" s="296">
        <f>X10*$AC$11</f>
        <v>496.66666666666669</v>
      </c>
      <c r="Y49" s="296">
        <f>X49*T49</f>
        <v>17880</v>
      </c>
      <c r="Z49" s="296">
        <f>Y49-V49</f>
        <v>-0.11999999999898137</v>
      </c>
      <c r="AA49" s="250"/>
      <c r="AB49" s="250"/>
      <c r="AC49" s="250"/>
    </row>
    <row r="50" spans="1:29" ht="15" x14ac:dyDescent="0.2">
      <c r="A50" s="2" t="s">
        <v>15</v>
      </c>
      <c r="B50" s="28"/>
      <c r="C50" s="220">
        <v>496.67</v>
      </c>
      <c r="D50" s="138">
        <f>+'Modeling &amp; Presentation'!B$23</f>
        <v>496.67</v>
      </c>
      <c r="E50" s="8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S50" s="250">
        <f t="shared" si="0"/>
        <v>0</v>
      </c>
      <c r="T50" s="250"/>
      <c r="U50" s="250"/>
      <c r="V50" s="250"/>
      <c r="W50" s="250"/>
      <c r="X50" s="250"/>
      <c r="Y50" s="250"/>
      <c r="Z50" s="250"/>
      <c r="AA50" s="250"/>
      <c r="AB50" s="250"/>
      <c r="AC50" s="250"/>
    </row>
    <row r="51" spans="1:29" ht="15" x14ac:dyDescent="0.2">
      <c r="A51" s="2" t="s">
        <v>15</v>
      </c>
      <c r="B51" s="28"/>
      <c r="C51" s="220">
        <v>496.67</v>
      </c>
      <c r="D51" s="138">
        <f>+'Modeling &amp; Presentation'!B$23</f>
        <v>496.67</v>
      </c>
      <c r="E51" s="8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S51" s="250">
        <f t="shared" si="0"/>
        <v>0</v>
      </c>
      <c r="T51" s="250"/>
      <c r="U51" s="250"/>
      <c r="V51" s="250"/>
      <c r="W51" s="250"/>
      <c r="X51" s="250"/>
      <c r="Y51" s="250"/>
      <c r="Z51" s="250"/>
      <c r="AA51" s="250"/>
      <c r="AB51" s="250"/>
      <c r="AC51" s="250"/>
    </row>
    <row r="52" spans="1:29" ht="15" x14ac:dyDescent="0.2">
      <c r="A52" s="118" t="s">
        <v>73</v>
      </c>
      <c r="B52" s="28"/>
      <c r="C52" s="220">
        <v>28.68</v>
      </c>
      <c r="D52" s="138">
        <f>+'Modeling &amp; Presentation'!B29</f>
        <v>28.68</v>
      </c>
      <c r="E52" s="8"/>
      <c r="F52" s="147">
        <v>4</v>
      </c>
      <c r="G52" s="147">
        <v>4</v>
      </c>
      <c r="H52" s="147">
        <v>4</v>
      </c>
      <c r="I52" s="147">
        <v>4</v>
      </c>
      <c r="J52" s="147">
        <v>4</v>
      </c>
      <c r="K52" s="147">
        <v>4</v>
      </c>
      <c r="L52" s="147">
        <v>4</v>
      </c>
      <c r="M52" s="147">
        <v>4</v>
      </c>
      <c r="N52" s="147">
        <v>4</v>
      </c>
      <c r="O52" s="147">
        <v>4</v>
      </c>
      <c r="P52" s="147">
        <v>4</v>
      </c>
      <c r="Q52" s="147">
        <v>4</v>
      </c>
      <c r="S52" s="250">
        <f t="shared" si="0"/>
        <v>48</v>
      </c>
      <c r="T52" s="250">
        <f>S52</f>
        <v>48</v>
      </c>
      <c r="U52" s="295">
        <f>D52</f>
        <v>28.68</v>
      </c>
      <c r="V52" s="296">
        <f>U52*T52</f>
        <v>1376.6399999999999</v>
      </c>
      <c r="W52" s="250"/>
      <c r="X52" s="295">
        <f>X10+(600*CONSUMPTION!V67)+((CONSUMPTION!Z74-600)*CONSUMPTION!W67)</f>
        <v>27.222724752087682</v>
      </c>
      <c r="Y52" s="296">
        <f>X52*T52</f>
        <v>1306.6907881002087</v>
      </c>
      <c r="Z52" s="296">
        <f>Y52-V52</f>
        <v>-69.94921189979118</v>
      </c>
      <c r="AA52" s="250"/>
      <c r="AB52" s="250"/>
      <c r="AC52" s="250"/>
    </row>
    <row r="53" spans="1:29" ht="15" x14ac:dyDescent="0.2">
      <c r="A53" s="2" t="s">
        <v>17</v>
      </c>
      <c r="B53" s="28"/>
      <c r="C53" s="220">
        <v>0</v>
      </c>
      <c r="D53" s="138">
        <v>0</v>
      </c>
      <c r="E53" s="8"/>
      <c r="F53" s="147">
        <v>9</v>
      </c>
      <c r="G53" s="147">
        <v>9</v>
      </c>
      <c r="H53" s="147">
        <v>9</v>
      </c>
      <c r="I53" s="147">
        <v>9</v>
      </c>
      <c r="J53" s="147">
        <v>9</v>
      </c>
      <c r="K53" s="147">
        <v>9</v>
      </c>
      <c r="L53" s="147">
        <v>9</v>
      </c>
      <c r="M53" s="147">
        <v>9</v>
      </c>
      <c r="N53" s="147">
        <v>9</v>
      </c>
      <c r="O53" s="147">
        <v>9</v>
      </c>
      <c r="P53" s="147">
        <v>9</v>
      </c>
      <c r="Q53" s="147">
        <v>9</v>
      </c>
      <c r="S53" s="250"/>
      <c r="T53" s="250"/>
      <c r="U53" s="250" t="s">
        <v>62</v>
      </c>
      <c r="V53" s="296">
        <f>SUM(V10:V52)+'[1]Modeling &amp; Presentation'!B65</f>
        <v>3402648.45</v>
      </c>
      <c r="W53" s="250"/>
      <c r="X53" s="250"/>
      <c r="Y53" s="250"/>
      <c r="Z53" s="250"/>
      <c r="AA53" s="250"/>
      <c r="AB53" s="250"/>
      <c r="AC53" s="250"/>
    </row>
    <row r="54" spans="1:29" ht="15" x14ac:dyDescent="0.2">
      <c r="A54" s="2" t="s">
        <v>18</v>
      </c>
      <c r="B54" s="28"/>
      <c r="C54" s="220">
        <v>0</v>
      </c>
      <c r="D54" s="138">
        <v>0</v>
      </c>
      <c r="E54" s="8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S54" s="250"/>
      <c r="T54" s="250"/>
      <c r="U54" s="250"/>
      <c r="V54" s="250"/>
      <c r="W54" s="250"/>
      <c r="X54" s="250"/>
      <c r="Y54" s="296">
        <f>SUM(Y10:Y52)</f>
        <v>3438413.857454767</v>
      </c>
      <c r="Z54" s="296">
        <f>SUM(Z10:Z52)</f>
        <v>-68.372545233110941</v>
      </c>
      <c r="AA54" s="250"/>
      <c r="AB54" s="250"/>
      <c r="AC54" s="250"/>
    </row>
    <row r="55" spans="1:29" ht="15" x14ac:dyDescent="0.2">
      <c r="A55" s="2" t="s">
        <v>19</v>
      </c>
      <c r="B55" s="28"/>
      <c r="C55" s="220">
        <v>0</v>
      </c>
      <c r="D55" s="138">
        <v>0</v>
      </c>
      <c r="E55" s="8"/>
      <c r="F55" s="147"/>
      <c r="G55" s="147"/>
      <c r="H55" s="147"/>
      <c r="I55" s="147"/>
      <c r="J55" s="147"/>
      <c r="K55" s="147">
        <v>1</v>
      </c>
      <c r="L55" s="147"/>
      <c r="M55" s="147">
        <v>1</v>
      </c>
      <c r="N55" s="147"/>
      <c r="O55" s="147"/>
      <c r="P55" s="147">
        <v>1</v>
      </c>
      <c r="Q55" s="147">
        <v>0</v>
      </c>
    </row>
    <row r="56" spans="1:29" s="8" customFormat="1" x14ac:dyDescent="0.2">
      <c r="A56" s="134"/>
      <c r="B56" s="34"/>
      <c r="F56" s="161"/>
    </row>
    <row r="57" spans="1:29" s="13" customFormat="1" ht="15" x14ac:dyDescent="0.25">
      <c r="A57" s="13" t="s">
        <v>24</v>
      </c>
      <c r="B57" s="18"/>
      <c r="F57" s="22">
        <f>SUM(F3:F6)</f>
        <v>1</v>
      </c>
      <c r="G57" s="22">
        <f t="shared" ref="G57:Q57" si="1">SUM(G3:G6)</f>
        <v>1</v>
      </c>
      <c r="H57" s="22">
        <f t="shared" si="1"/>
        <v>1</v>
      </c>
      <c r="I57" s="22">
        <f t="shared" si="1"/>
        <v>1</v>
      </c>
      <c r="J57" s="22">
        <f t="shared" si="1"/>
        <v>1</v>
      </c>
      <c r="K57" s="22">
        <f t="shared" si="1"/>
        <v>1</v>
      </c>
      <c r="L57" s="22">
        <f t="shared" si="1"/>
        <v>1</v>
      </c>
      <c r="M57" s="22">
        <f t="shared" si="1"/>
        <v>1</v>
      </c>
      <c r="N57" s="22">
        <f t="shared" si="1"/>
        <v>1</v>
      </c>
      <c r="O57" s="22">
        <f t="shared" si="1"/>
        <v>1</v>
      </c>
      <c r="P57" s="22">
        <f t="shared" si="1"/>
        <v>1</v>
      </c>
      <c r="Q57" s="22">
        <f t="shared" si="1"/>
        <v>1</v>
      </c>
    </row>
    <row r="58" spans="1:29" s="13" customFormat="1" ht="15" x14ac:dyDescent="0.25">
      <c r="A58" s="13" t="s">
        <v>22</v>
      </c>
      <c r="B58" s="18"/>
      <c r="F58" s="22">
        <f>SUM(F7:F30)</f>
        <v>17593</v>
      </c>
      <c r="G58" s="22">
        <f t="shared" ref="G58:Q58" si="2">SUM(G7:G30)</f>
        <v>17566</v>
      </c>
      <c r="H58" s="22">
        <f t="shared" si="2"/>
        <v>17629</v>
      </c>
      <c r="I58" s="22">
        <f t="shared" si="2"/>
        <v>17652</v>
      </c>
      <c r="J58" s="22">
        <f t="shared" si="2"/>
        <v>17677</v>
      </c>
      <c r="K58" s="22">
        <f t="shared" si="2"/>
        <v>17711</v>
      </c>
      <c r="L58" s="22">
        <f t="shared" si="2"/>
        <v>17728</v>
      </c>
      <c r="M58" s="22">
        <f t="shared" si="2"/>
        <v>17731</v>
      </c>
      <c r="N58" s="22">
        <f t="shared" si="2"/>
        <v>17680</v>
      </c>
      <c r="O58" s="22">
        <f t="shared" si="2"/>
        <v>17696</v>
      </c>
      <c r="P58" s="22">
        <f t="shared" si="2"/>
        <v>17620</v>
      </c>
      <c r="Q58" s="22">
        <f t="shared" si="2"/>
        <v>17556</v>
      </c>
    </row>
    <row r="59" spans="1:29" s="13" customFormat="1" ht="15" x14ac:dyDescent="0.25">
      <c r="A59" s="13" t="s">
        <v>31</v>
      </c>
      <c r="B59" s="18"/>
      <c r="F59" s="22">
        <f>SUM(F31:F51)</f>
        <v>582</v>
      </c>
      <c r="G59" s="22">
        <f t="shared" ref="G59:Q59" si="3">SUM(G31:G51)</f>
        <v>584</v>
      </c>
      <c r="H59" s="22">
        <f t="shared" si="3"/>
        <v>590</v>
      </c>
      <c r="I59" s="22">
        <f t="shared" si="3"/>
        <v>583</v>
      </c>
      <c r="J59" s="22">
        <f t="shared" si="3"/>
        <v>587</v>
      </c>
      <c r="K59" s="22">
        <f t="shared" si="3"/>
        <v>586</v>
      </c>
      <c r="L59" s="22">
        <f t="shared" si="3"/>
        <v>588</v>
      </c>
      <c r="M59" s="22">
        <f t="shared" si="3"/>
        <v>588</v>
      </c>
      <c r="N59" s="22">
        <f t="shared" si="3"/>
        <v>590</v>
      </c>
      <c r="O59" s="22">
        <f t="shared" si="3"/>
        <v>587</v>
      </c>
      <c r="P59" s="22">
        <f t="shared" si="3"/>
        <v>586</v>
      </c>
      <c r="Q59" s="22">
        <f t="shared" si="3"/>
        <v>590</v>
      </c>
    </row>
    <row r="60" spans="1:29" s="13" customFormat="1" ht="15" x14ac:dyDescent="0.25">
      <c r="A60" s="13" t="s">
        <v>23</v>
      </c>
      <c r="B60" s="18"/>
      <c r="F60" s="22">
        <f>SUM(F52:F55)</f>
        <v>13</v>
      </c>
      <c r="G60" s="22">
        <f t="shared" ref="G60:Q60" si="4">SUM(G52:G55)</f>
        <v>13</v>
      </c>
      <c r="H60" s="22">
        <f t="shared" si="4"/>
        <v>13</v>
      </c>
      <c r="I60" s="22">
        <f t="shared" si="4"/>
        <v>13</v>
      </c>
      <c r="J60" s="22">
        <f t="shared" si="4"/>
        <v>13</v>
      </c>
      <c r="K60" s="22">
        <f t="shared" si="4"/>
        <v>14</v>
      </c>
      <c r="L60" s="22">
        <f t="shared" si="4"/>
        <v>13</v>
      </c>
      <c r="M60" s="22">
        <f t="shared" si="4"/>
        <v>14</v>
      </c>
      <c r="N60" s="22">
        <f t="shared" si="4"/>
        <v>13</v>
      </c>
      <c r="O60" s="22">
        <f t="shared" si="4"/>
        <v>13</v>
      </c>
      <c r="P60" s="22">
        <f t="shared" si="4"/>
        <v>14</v>
      </c>
      <c r="Q60" s="22">
        <f t="shared" si="4"/>
        <v>13</v>
      </c>
    </row>
    <row r="61" spans="1:29" s="11" customFormat="1" ht="15" x14ac:dyDescent="0.25">
      <c r="A61" s="10" t="s">
        <v>21</v>
      </c>
      <c r="B61" s="17"/>
      <c r="C61" s="10"/>
      <c r="D61" s="10"/>
      <c r="E61" s="23"/>
      <c r="F61" s="23">
        <f t="shared" ref="F61:Q61" si="5">SUM(F3:F56)</f>
        <v>18189</v>
      </c>
      <c r="G61" s="23">
        <f t="shared" si="5"/>
        <v>18164</v>
      </c>
      <c r="H61" s="23">
        <f t="shared" si="5"/>
        <v>18233</v>
      </c>
      <c r="I61" s="23">
        <f t="shared" si="5"/>
        <v>18249</v>
      </c>
      <c r="J61" s="23">
        <f t="shared" si="5"/>
        <v>18278</v>
      </c>
      <c r="K61" s="23">
        <f t="shared" si="5"/>
        <v>18312</v>
      </c>
      <c r="L61" s="23">
        <f t="shared" si="5"/>
        <v>18330</v>
      </c>
      <c r="M61" s="23">
        <f t="shared" si="5"/>
        <v>18334</v>
      </c>
      <c r="N61" s="23">
        <f t="shared" si="5"/>
        <v>18284</v>
      </c>
      <c r="O61" s="23">
        <f t="shared" si="5"/>
        <v>18297</v>
      </c>
      <c r="P61" s="23">
        <f t="shared" si="5"/>
        <v>18221</v>
      </c>
      <c r="Q61" s="23">
        <f t="shared" si="5"/>
        <v>18160</v>
      </c>
    </row>
    <row r="62" spans="1:29" s="16" customFormat="1" ht="11.25" x14ac:dyDescent="0.2">
      <c r="A62" s="15" t="s">
        <v>25</v>
      </c>
      <c r="B62" s="21"/>
      <c r="F62" s="16">
        <f>SUM(F57:F60)-F61</f>
        <v>0</v>
      </c>
      <c r="G62" s="16">
        <f t="shared" ref="G62:Q62" si="6">SUM(G57:G60)-G61</f>
        <v>0</v>
      </c>
      <c r="H62" s="16">
        <f t="shared" si="6"/>
        <v>0</v>
      </c>
      <c r="I62" s="16">
        <f t="shared" si="6"/>
        <v>0</v>
      </c>
      <c r="J62" s="16">
        <f t="shared" si="6"/>
        <v>0</v>
      </c>
      <c r="K62" s="16">
        <f t="shared" si="6"/>
        <v>0</v>
      </c>
      <c r="L62" s="16">
        <f t="shared" si="6"/>
        <v>0</v>
      </c>
      <c r="M62" s="16">
        <f t="shared" si="6"/>
        <v>0</v>
      </c>
      <c r="N62" s="16">
        <f t="shared" si="6"/>
        <v>0</v>
      </c>
      <c r="O62" s="16">
        <f t="shared" si="6"/>
        <v>0</v>
      </c>
      <c r="P62" s="16">
        <f t="shared" si="6"/>
        <v>0</v>
      </c>
      <c r="Q62" s="16">
        <f t="shared" si="6"/>
        <v>0</v>
      </c>
    </row>
    <row r="63" spans="1:29" s="130" customFormat="1" ht="15" x14ac:dyDescent="0.25">
      <c r="A63" s="13" t="s">
        <v>69</v>
      </c>
      <c r="B63" s="132"/>
      <c r="C63" s="132"/>
      <c r="D63" s="132"/>
      <c r="E63" s="132"/>
      <c r="F63" s="149">
        <v>2</v>
      </c>
      <c r="G63" s="149">
        <v>2</v>
      </c>
      <c r="H63" s="149">
        <v>2</v>
      </c>
      <c r="I63" s="149">
        <v>2</v>
      </c>
      <c r="J63" s="149">
        <v>2</v>
      </c>
      <c r="K63" s="149">
        <v>2</v>
      </c>
      <c r="L63" s="149">
        <v>2</v>
      </c>
      <c r="M63" s="149">
        <v>2</v>
      </c>
      <c r="N63" s="149">
        <v>2</v>
      </c>
      <c r="O63" s="149">
        <v>2</v>
      </c>
      <c r="P63" s="149">
        <v>2</v>
      </c>
      <c r="Q63" s="149">
        <v>2</v>
      </c>
    </row>
    <row r="64" spans="1:29" s="130" customFormat="1" ht="15" x14ac:dyDescent="0.25">
      <c r="A64" s="13" t="s">
        <v>70</v>
      </c>
      <c r="B64" s="132"/>
      <c r="C64" s="132"/>
      <c r="D64" s="132"/>
      <c r="E64" s="132"/>
      <c r="F64" s="162">
        <f>-F52</f>
        <v>-4</v>
      </c>
      <c r="G64" s="162">
        <f t="shared" ref="G64:K64" si="7">+-G52</f>
        <v>-4</v>
      </c>
      <c r="H64" s="162">
        <f t="shared" si="7"/>
        <v>-4</v>
      </c>
      <c r="I64" s="162">
        <f t="shared" si="7"/>
        <v>-4</v>
      </c>
      <c r="J64" s="162">
        <f t="shared" si="7"/>
        <v>-4</v>
      </c>
      <c r="K64" s="162">
        <f t="shared" si="7"/>
        <v>-4</v>
      </c>
      <c r="L64" s="162">
        <f t="shared" ref="L64:Q64" si="8">-L52</f>
        <v>-4</v>
      </c>
      <c r="M64" s="162">
        <f t="shared" si="8"/>
        <v>-4</v>
      </c>
      <c r="N64" s="162">
        <f t="shared" si="8"/>
        <v>-4</v>
      </c>
      <c r="O64" s="162">
        <f t="shared" si="8"/>
        <v>-4</v>
      </c>
      <c r="P64" s="162">
        <f t="shared" si="8"/>
        <v>-4</v>
      </c>
      <c r="Q64" s="162">
        <f t="shared" si="8"/>
        <v>-4</v>
      </c>
    </row>
    <row r="65" spans="1:17" s="130" customFormat="1" ht="15" x14ac:dyDescent="0.25">
      <c r="A65" s="13" t="s">
        <v>71</v>
      </c>
      <c r="B65" s="132"/>
      <c r="C65" s="132"/>
      <c r="D65" s="132"/>
      <c r="E65" s="132"/>
      <c r="F65" s="133">
        <f t="shared" ref="F65:O65" si="9">SUM(F61:F64)</f>
        <v>18187</v>
      </c>
      <c r="G65" s="133">
        <f t="shared" si="9"/>
        <v>18162</v>
      </c>
      <c r="H65" s="133">
        <f t="shared" si="9"/>
        <v>18231</v>
      </c>
      <c r="I65" s="133">
        <f>SUM(I61:I64)</f>
        <v>18247</v>
      </c>
      <c r="J65" s="133">
        <f>SUM(J61:J64)</f>
        <v>18276</v>
      </c>
      <c r="K65" s="133">
        <f t="shared" si="9"/>
        <v>18310</v>
      </c>
      <c r="L65" s="133">
        <f t="shared" si="9"/>
        <v>18328</v>
      </c>
      <c r="M65" s="133">
        <f t="shared" si="9"/>
        <v>18332</v>
      </c>
      <c r="N65" s="133">
        <f t="shared" si="9"/>
        <v>18282</v>
      </c>
      <c r="O65" s="133">
        <f t="shared" si="9"/>
        <v>18295</v>
      </c>
      <c r="P65" s="133">
        <f>SUM(P61:P64)</f>
        <v>18219</v>
      </c>
      <c r="Q65" s="133">
        <f>SUM(Q61:Q64)</f>
        <v>18158</v>
      </c>
    </row>
    <row r="66" spans="1:17" ht="15" x14ac:dyDescent="0.25">
      <c r="A66" s="131" t="s">
        <v>76</v>
      </c>
      <c r="E66" s="17"/>
      <c r="F66" s="148">
        <f>18176+9+2</f>
        <v>18187</v>
      </c>
      <c r="G66" s="148">
        <f>18151+4-2+9</f>
        <v>18162</v>
      </c>
      <c r="H66" s="148">
        <f>18220+4-2+9</f>
        <v>18231</v>
      </c>
      <c r="I66" s="148">
        <f>18236+4-2+9</f>
        <v>18247</v>
      </c>
      <c r="J66" s="148">
        <f>18265-2+4+9</f>
        <v>18276</v>
      </c>
      <c r="K66" s="148">
        <f>18299-2+4+9</f>
        <v>18310</v>
      </c>
      <c r="L66" s="148">
        <f>18317-2+9+4</f>
        <v>18328</v>
      </c>
      <c r="M66" s="148">
        <f>18320-2+1+9+4</f>
        <v>18332</v>
      </c>
      <c r="N66" s="148">
        <f>18271+-2+4+9</f>
        <v>18282</v>
      </c>
      <c r="O66" s="148">
        <f>18283+1-2+4+9</f>
        <v>18295</v>
      </c>
      <c r="P66" s="148">
        <f>18207-2+4+9+1</f>
        <v>18219</v>
      </c>
      <c r="Q66" s="148">
        <f>18147-2+4+9</f>
        <v>18158</v>
      </c>
    </row>
    <row r="67" spans="1:17" ht="15" x14ac:dyDescent="0.25">
      <c r="A67" s="131" t="s">
        <v>68</v>
      </c>
      <c r="E67" s="17"/>
      <c r="F67" s="17">
        <f>+F66-F65</f>
        <v>0</v>
      </c>
      <c r="G67" s="17">
        <f t="shared" ref="G67:Q67" si="10">+G66-G65</f>
        <v>0</v>
      </c>
      <c r="H67" s="17">
        <f t="shared" si="10"/>
        <v>0</v>
      </c>
      <c r="I67" s="17">
        <f>+I66-I65</f>
        <v>0</v>
      </c>
      <c r="J67" s="17">
        <f>+J66-J65</f>
        <v>0</v>
      </c>
      <c r="K67" s="17">
        <f t="shared" si="10"/>
        <v>0</v>
      </c>
      <c r="L67" s="17">
        <f t="shared" si="10"/>
        <v>0</v>
      </c>
      <c r="M67" s="17">
        <f t="shared" si="10"/>
        <v>0</v>
      </c>
      <c r="N67" s="17">
        <f t="shared" si="10"/>
        <v>0</v>
      </c>
      <c r="O67" s="17">
        <f t="shared" si="10"/>
        <v>0</v>
      </c>
      <c r="P67" s="17">
        <f t="shared" si="10"/>
        <v>0</v>
      </c>
      <c r="Q67" s="17">
        <f t="shared" si="10"/>
        <v>0</v>
      </c>
    </row>
    <row r="69" spans="1:17" x14ac:dyDescent="0.2">
      <c r="A69" s="188" t="s">
        <v>88</v>
      </c>
      <c r="B69" s="8"/>
      <c r="C69" s="8"/>
      <c r="D69" s="8"/>
      <c r="E69" s="8"/>
      <c r="F69" s="172">
        <f t="shared" ref="F69:I69" si="11">SUM(F57:F59)</f>
        <v>18176</v>
      </c>
      <c r="G69" s="172">
        <f t="shared" si="11"/>
        <v>18151</v>
      </c>
      <c r="H69" s="172">
        <f t="shared" si="11"/>
        <v>18220</v>
      </c>
      <c r="I69" s="172">
        <f t="shared" si="11"/>
        <v>18236</v>
      </c>
      <c r="J69" s="172">
        <f>SUM(J57:J59)</f>
        <v>18265</v>
      </c>
      <c r="K69" s="172">
        <f t="shared" ref="K69:Q69" si="12">SUM(K57:K59)</f>
        <v>18298</v>
      </c>
      <c r="L69" s="172">
        <f t="shared" si="12"/>
        <v>18317</v>
      </c>
      <c r="M69" s="172">
        <f t="shared" si="12"/>
        <v>18320</v>
      </c>
      <c r="N69" s="172">
        <f t="shared" si="12"/>
        <v>18271</v>
      </c>
      <c r="O69" s="172">
        <f t="shared" si="12"/>
        <v>18284</v>
      </c>
      <c r="P69" s="172">
        <f t="shared" si="12"/>
        <v>18207</v>
      </c>
      <c r="Q69" s="172">
        <f t="shared" si="12"/>
        <v>18147</v>
      </c>
    </row>
    <row r="70" spans="1:17" x14ac:dyDescent="0.2">
      <c r="A70" s="190" t="s">
        <v>89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189">
        <f>+Q61</f>
        <v>18160</v>
      </c>
    </row>
    <row r="71" spans="1:17" x14ac:dyDescent="0.2">
      <c r="A71" s="190" t="s">
        <v>90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>
        <f>-Q53-Q54</f>
        <v>-9</v>
      </c>
    </row>
    <row r="72" spans="1:17" x14ac:dyDescent="0.2">
      <c r="A72" s="190" t="s">
        <v>91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189">
        <f>SUM(Q70:Q71)</f>
        <v>18151</v>
      </c>
    </row>
    <row r="73" spans="1:17" x14ac:dyDescent="0.2">
      <c r="A73" s="165"/>
    </row>
    <row r="74" spans="1:17" x14ac:dyDescent="0.2">
      <c r="A74" s="165" t="s">
        <v>87</v>
      </c>
    </row>
  </sheetData>
  <mergeCells count="1">
    <mergeCell ref="AB1:AC1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77"/>
  <sheetViews>
    <sheetView zoomScaleNormal="100" workbookViewId="0">
      <pane xSplit="1" ySplit="1" topLeftCell="H29" activePane="bottomRight" state="frozen"/>
      <selection activeCell="B55" sqref="B55"/>
      <selection pane="topRight" activeCell="B55" sqref="B55"/>
      <selection pane="bottomLeft" activeCell="B55" sqref="B55"/>
      <selection pane="bottomRight" activeCell="F64" sqref="F64"/>
    </sheetView>
  </sheetViews>
  <sheetFormatPr defaultRowHeight="12.75" x14ac:dyDescent="0.2"/>
  <cols>
    <col min="1" max="1" width="42.5703125" customWidth="1"/>
    <col min="2" max="3" width="14" customWidth="1"/>
    <col min="4" max="4" width="15.42578125" customWidth="1"/>
    <col min="5" max="17" width="14" customWidth="1"/>
    <col min="18" max="18" width="11.28515625" customWidth="1"/>
  </cols>
  <sheetData>
    <row r="1" spans="1:18" s="4" customFormat="1" ht="45" x14ac:dyDescent="0.2">
      <c r="A1" s="3" t="s">
        <v>0</v>
      </c>
      <c r="B1" s="3" t="s">
        <v>1</v>
      </c>
      <c r="C1" s="3" t="s">
        <v>2</v>
      </c>
      <c r="D1" s="3" t="s">
        <v>3</v>
      </c>
      <c r="E1" s="24" t="s">
        <v>30</v>
      </c>
      <c r="F1" s="5">
        <f>+CONSUMPTION!F1</f>
        <v>43112</v>
      </c>
      <c r="G1" s="5">
        <f>+CONSUMPTION!G1</f>
        <v>43143</v>
      </c>
      <c r="H1" s="5">
        <f>+CONSUMPTION!H1</f>
        <v>43171</v>
      </c>
      <c r="I1" s="5">
        <f>+CONSUMPTION!I1</f>
        <v>43202</v>
      </c>
      <c r="J1" s="5">
        <f>+CONSUMPTION!J1</f>
        <v>43232</v>
      </c>
      <c r="K1" s="5">
        <f>+CONSUMPTION!K1</f>
        <v>43263</v>
      </c>
      <c r="L1" s="5">
        <f>+CONSUMPTION!L1</f>
        <v>43293</v>
      </c>
      <c r="M1" s="5">
        <f>+CONSUMPTION!M1</f>
        <v>43324</v>
      </c>
      <c r="N1" s="5">
        <f>+CONSUMPTION!N1</f>
        <v>43355</v>
      </c>
      <c r="O1" s="5">
        <f>+CONSUMPTION!O1</f>
        <v>43385</v>
      </c>
      <c r="P1" s="5">
        <f>+CONSUMPTION!P1</f>
        <v>43416</v>
      </c>
      <c r="Q1" s="5">
        <f>+CONSUMPTION!Q1</f>
        <v>43446</v>
      </c>
    </row>
    <row r="2" spans="1:18" s="4" customFormat="1" ht="15" x14ac:dyDescent="0.2">
      <c r="A2" s="29"/>
      <c r="B2" s="29"/>
      <c r="C2" s="33"/>
      <c r="D2" s="29"/>
      <c r="E2" s="29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2"/>
    </row>
    <row r="3" spans="1:18" ht="15" x14ac:dyDescent="0.25">
      <c r="A3" s="27" t="s">
        <v>4</v>
      </c>
      <c r="B3" s="135">
        <f>+CONSUMPTION!B3</f>
        <v>0</v>
      </c>
      <c r="C3" s="150">
        <f>+CONSUMPTION!D3</f>
        <v>10000</v>
      </c>
      <c r="D3" s="154">
        <f>+CONSUMPTION!E3</f>
        <v>49600</v>
      </c>
      <c r="E3" s="155">
        <f>SUM(F3:Q3)</f>
        <v>0</v>
      </c>
      <c r="F3" s="221">
        <f>+CONSUMPTION!F3*CONSUMPTION!$B3</f>
        <v>0</v>
      </c>
      <c r="G3" s="221">
        <f>+CONSUMPTION!G3*CONSUMPTION!$B3</f>
        <v>0</v>
      </c>
      <c r="H3" s="221">
        <f>+CONSUMPTION!H3*CONSUMPTION!$B3</f>
        <v>0</v>
      </c>
      <c r="I3" s="221">
        <f>+CONSUMPTION!I3*CONSUMPTION!$B3</f>
        <v>0</v>
      </c>
      <c r="J3" s="221">
        <f>+CONSUMPTION!J3*CONSUMPTION!$B3</f>
        <v>0</v>
      </c>
      <c r="K3" s="221">
        <f>+CONSUMPTION!K3*CONSUMPTION!$B3</f>
        <v>0</v>
      </c>
      <c r="L3" s="221">
        <f>+CONSUMPTION!L3*CONSUMPTION!$B3</f>
        <v>0</v>
      </c>
      <c r="M3" s="221">
        <f>+CONSUMPTION!M3*CONSUMPTION!$B3</f>
        <v>0</v>
      </c>
      <c r="N3" s="221">
        <f>+CONSUMPTION!N3*CONSUMPTION!$B3</f>
        <v>0</v>
      </c>
      <c r="O3" s="221">
        <f>+CONSUMPTION!O3*CONSUMPTION!$B3</f>
        <v>0</v>
      </c>
      <c r="P3" s="221">
        <f>+CONSUMPTION!P3*CONSUMPTION!$B3</f>
        <v>0</v>
      </c>
      <c r="Q3" s="221">
        <f>+CONSUMPTION!Q3*CONSUMPTION!$B3</f>
        <v>0</v>
      </c>
    </row>
    <row r="4" spans="1:18" ht="15" x14ac:dyDescent="0.25">
      <c r="A4" s="1" t="s">
        <v>4</v>
      </c>
      <c r="B4" s="135">
        <f>+CONSUMPTION!B4</f>
        <v>8.5000000000000006E-3</v>
      </c>
      <c r="C4" s="150">
        <f>+CONSUMPTION!D4</f>
        <v>60000</v>
      </c>
      <c r="D4" s="154">
        <f>+CONSUMPTION!E4</f>
        <v>4700</v>
      </c>
      <c r="E4" s="155">
        <f t="shared" ref="E4:E55" si="0">SUM(F4:Q4)</f>
        <v>39.950000000000003</v>
      </c>
      <c r="F4" s="221">
        <f>+CONSUMPTION!F4*CONSUMPTION!$B4</f>
        <v>0</v>
      </c>
      <c r="G4" s="221">
        <f>+CONSUMPTION!G4*CONSUMPTION!$B4</f>
        <v>0</v>
      </c>
      <c r="H4" s="221">
        <f>+CONSUMPTION!H4*CONSUMPTION!$B4</f>
        <v>0</v>
      </c>
      <c r="I4" s="221">
        <f>+CONSUMPTION!I4*CONSUMPTION!$B4</f>
        <v>0</v>
      </c>
      <c r="J4" s="221">
        <f>+CONSUMPTION!J4*CONSUMPTION!$B4</f>
        <v>39.950000000000003</v>
      </c>
      <c r="K4" s="221">
        <f>+CONSUMPTION!K4*CONSUMPTION!$B4</f>
        <v>0</v>
      </c>
      <c r="L4" s="221">
        <f>+CONSUMPTION!L4*CONSUMPTION!$B4</f>
        <v>0</v>
      </c>
      <c r="M4" s="221">
        <f>+CONSUMPTION!M4*CONSUMPTION!$B4</f>
        <v>0</v>
      </c>
      <c r="N4" s="221">
        <f>+CONSUMPTION!N4*CONSUMPTION!$B4</f>
        <v>0</v>
      </c>
      <c r="O4" s="221">
        <f>+CONSUMPTION!O4*CONSUMPTION!$B4</f>
        <v>0</v>
      </c>
      <c r="P4" s="221">
        <f>+CONSUMPTION!P4*CONSUMPTION!$B4</f>
        <v>0</v>
      </c>
      <c r="Q4" s="221">
        <f>+CONSUMPTION!Q4*CONSUMPTION!$B4</f>
        <v>0</v>
      </c>
    </row>
    <row r="5" spans="1:18" ht="15" x14ac:dyDescent="0.25">
      <c r="A5" s="1" t="s">
        <v>4</v>
      </c>
      <c r="B5" s="135">
        <f>+CONSUMPTION!B5</f>
        <v>0.05</v>
      </c>
      <c r="C5" s="150">
        <f>+CONSUMPTION!D5</f>
        <v>999999999</v>
      </c>
      <c r="D5" s="154">
        <f>+CONSUMPTION!E5</f>
        <v>0</v>
      </c>
      <c r="E5" s="155">
        <f t="shared" si="0"/>
        <v>0</v>
      </c>
      <c r="F5" s="221">
        <f>+CONSUMPTION!F5*CONSUMPTION!$B5</f>
        <v>0</v>
      </c>
      <c r="G5" s="221">
        <f>+CONSUMPTION!G5*CONSUMPTION!$B5</f>
        <v>0</v>
      </c>
      <c r="H5" s="221">
        <f>+CONSUMPTION!H5*CONSUMPTION!$B5</f>
        <v>0</v>
      </c>
      <c r="I5" s="221">
        <f>+CONSUMPTION!I5*CONSUMPTION!$B5</f>
        <v>0</v>
      </c>
      <c r="J5" s="221">
        <f>+CONSUMPTION!J5*CONSUMPTION!$B5</f>
        <v>0</v>
      </c>
      <c r="K5" s="221">
        <f>+CONSUMPTION!K5*CONSUMPTION!$B5</f>
        <v>0</v>
      </c>
      <c r="L5" s="221">
        <f>+CONSUMPTION!L5*CONSUMPTION!$B5</f>
        <v>0</v>
      </c>
      <c r="M5" s="221">
        <f>+CONSUMPTION!M5*CONSUMPTION!$B5</f>
        <v>0</v>
      </c>
      <c r="N5" s="221">
        <f>+CONSUMPTION!N5*CONSUMPTION!$B5</f>
        <v>0</v>
      </c>
      <c r="O5" s="221">
        <f>+CONSUMPTION!O5*CONSUMPTION!$B5</f>
        <v>0</v>
      </c>
      <c r="P5" s="221">
        <f>+CONSUMPTION!P5*CONSUMPTION!$B5</f>
        <v>0</v>
      </c>
      <c r="Q5" s="221">
        <f>+CONSUMPTION!Q5*CONSUMPTION!$B5</f>
        <v>0</v>
      </c>
    </row>
    <row r="6" spans="1:18" ht="18" customHeight="1" x14ac:dyDescent="0.25">
      <c r="A6" s="1" t="s">
        <v>5</v>
      </c>
      <c r="B6" s="135">
        <f>+CONSUMPTION!B6</f>
        <v>2.1839999999999998E-2</v>
      </c>
      <c r="C6" s="150">
        <f>+CONSUMPTION!D6</f>
        <v>999999999</v>
      </c>
      <c r="D6" s="154">
        <f>+CONSUMPTION!E6</f>
        <v>143500</v>
      </c>
      <c r="E6" s="155">
        <f t="shared" si="0"/>
        <v>3134.04</v>
      </c>
      <c r="F6" s="221">
        <f>+CONSUMPTION!F6*CONSUMPTION!$B6</f>
        <v>0</v>
      </c>
      <c r="G6" s="221">
        <f>+CONSUMPTION!G6*CONSUMPTION!$B6</f>
        <v>0</v>
      </c>
      <c r="H6" s="221">
        <f>+CONSUMPTION!H6*CONSUMPTION!$B6</f>
        <v>0</v>
      </c>
      <c r="I6" s="221">
        <f>+CONSUMPTION!I6*CONSUMPTION!$B6</f>
        <v>0</v>
      </c>
      <c r="J6" s="221">
        <f>+CONSUMPTION!J6*CONSUMPTION!$B6</f>
        <v>0</v>
      </c>
      <c r="K6" s="221">
        <f>+CONSUMPTION!K6*CONSUMPTION!$B6</f>
        <v>585.3119999999999</v>
      </c>
      <c r="L6" s="221">
        <f>+CONSUMPTION!L6*CONSUMPTION!$B6</f>
        <v>805.89599999999996</v>
      </c>
      <c r="M6" s="221">
        <f>+CONSUMPTION!M6*CONSUMPTION!$B6</f>
        <v>908.54399999999998</v>
      </c>
      <c r="N6" s="221">
        <f>+CONSUMPTION!N6*CONSUMPTION!$B6</f>
        <v>834.2879999999999</v>
      </c>
      <c r="O6" s="221">
        <f>+CONSUMPTION!O6*CONSUMPTION!$B6</f>
        <v>0</v>
      </c>
      <c r="P6" s="221">
        <f>+CONSUMPTION!P6*CONSUMPTION!$B6</f>
        <v>0</v>
      </c>
      <c r="Q6" s="221">
        <f>+CONSUMPTION!Q6*CONSUMPTION!$B6</f>
        <v>0</v>
      </c>
      <c r="R6" s="85"/>
    </row>
    <row r="7" spans="1:18" ht="15" x14ac:dyDescent="0.25">
      <c r="A7" s="1" t="s">
        <v>98</v>
      </c>
      <c r="B7" s="135">
        <f>+CONSUMPTION!B7</f>
        <v>0.01</v>
      </c>
      <c r="C7" s="150">
        <f>+CONSUMPTION!D7</f>
        <v>500</v>
      </c>
      <c r="D7" s="154">
        <f>+CONSUMPTION!E7</f>
        <v>0</v>
      </c>
      <c r="E7" s="155">
        <f t="shared" si="0"/>
        <v>0</v>
      </c>
      <c r="F7" s="221">
        <f>+CONSUMPTION!F7*CONSUMPTION!$B7</f>
        <v>0</v>
      </c>
      <c r="G7" s="221">
        <f>+CONSUMPTION!G7*CONSUMPTION!$B7</f>
        <v>0</v>
      </c>
      <c r="H7" s="221">
        <f>+CONSUMPTION!H7*CONSUMPTION!$B7</f>
        <v>0</v>
      </c>
      <c r="I7" s="221">
        <f>+CONSUMPTION!I7*CONSUMPTION!$B7</f>
        <v>0</v>
      </c>
      <c r="J7" s="221">
        <f>+CONSUMPTION!J7*CONSUMPTION!$B7</f>
        <v>0</v>
      </c>
      <c r="K7" s="221">
        <f>+CONSUMPTION!K7*CONSUMPTION!$B7</f>
        <v>0</v>
      </c>
      <c r="L7" s="221">
        <f>+CONSUMPTION!L7*CONSUMPTION!$B7</f>
        <v>0</v>
      </c>
      <c r="M7" s="221">
        <f>+CONSUMPTION!M7*CONSUMPTION!$B7</f>
        <v>0</v>
      </c>
      <c r="N7" s="221">
        <f>+CONSUMPTION!N7*CONSUMPTION!$B7</f>
        <v>0</v>
      </c>
      <c r="O7" s="221">
        <f>+CONSUMPTION!O7*CONSUMPTION!$B7</f>
        <v>0</v>
      </c>
      <c r="P7" s="221">
        <f>+CONSUMPTION!P7*CONSUMPTION!$B7</f>
        <v>0</v>
      </c>
      <c r="Q7" s="221">
        <f>+CONSUMPTION!Q7*CONSUMPTION!$B7</f>
        <v>0</v>
      </c>
    </row>
    <row r="8" spans="1:18" ht="15" x14ac:dyDescent="0.25">
      <c r="A8" s="1" t="s">
        <v>98</v>
      </c>
      <c r="B8" s="135">
        <f>+CONSUMPTION!B8</f>
        <v>1.2500000000000001E-2</v>
      </c>
      <c r="C8" s="150">
        <f>+CONSUMPTION!D8</f>
        <v>500</v>
      </c>
      <c r="D8" s="154">
        <f>+CONSUMPTION!E8</f>
        <v>0</v>
      </c>
      <c r="E8" s="155">
        <f t="shared" si="0"/>
        <v>0</v>
      </c>
      <c r="F8" s="221">
        <f>+CONSUMPTION!F8*CONSUMPTION!$B8</f>
        <v>0</v>
      </c>
      <c r="G8" s="221">
        <f>+CONSUMPTION!G8*CONSUMPTION!$B8</f>
        <v>0</v>
      </c>
      <c r="H8" s="221">
        <f>+CONSUMPTION!H8*CONSUMPTION!$B8</f>
        <v>0</v>
      </c>
      <c r="I8" s="221">
        <f>+CONSUMPTION!I8*CONSUMPTION!$B8</f>
        <v>0</v>
      </c>
      <c r="J8" s="221">
        <f>+CONSUMPTION!J8*CONSUMPTION!$B8</f>
        <v>0</v>
      </c>
      <c r="K8" s="221">
        <f>+CONSUMPTION!K8*CONSUMPTION!$B8</f>
        <v>0</v>
      </c>
      <c r="L8" s="221">
        <f>+CONSUMPTION!L8*CONSUMPTION!$B8</f>
        <v>0</v>
      </c>
      <c r="M8" s="221">
        <f>+CONSUMPTION!M8*CONSUMPTION!$B8</f>
        <v>0</v>
      </c>
      <c r="N8" s="221">
        <f>+CONSUMPTION!N8*CONSUMPTION!$B8</f>
        <v>0</v>
      </c>
      <c r="O8" s="221">
        <f>+CONSUMPTION!O8*CONSUMPTION!$B8</f>
        <v>0</v>
      </c>
      <c r="P8" s="221">
        <f>+CONSUMPTION!P8*CONSUMPTION!$B8</f>
        <v>0</v>
      </c>
      <c r="Q8" s="221">
        <f>+CONSUMPTION!Q8*CONSUMPTION!$B8</f>
        <v>0</v>
      </c>
    </row>
    <row r="9" spans="1:18" ht="15" x14ac:dyDescent="0.25">
      <c r="A9" s="1" t="s">
        <v>98</v>
      </c>
      <c r="B9" s="135">
        <f>+CONSUMPTION!B9</f>
        <v>1.6E-2</v>
      </c>
      <c r="C9" s="150">
        <f>+CONSUMPTION!D9</f>
        <v>999999999</v>
      </c>
      <c r="D9" s="154">
        <f>+CONSUMPTION!E9</f>
        <v>0</v>
      </c>
      <c r="E9" s="155">
        <f t="shared" si="0"/>
        <v>0</v>
      </c>
      <c r="F9" s="221">
        <f>+CONSUMPTION!F9*CONSUMPTION!$B9</f>
        <v>0</v>
      </c>
      <c r="G9" s="221">
        <f>+CONSUMPTION!G9*CONSUMPTION!$B9</f>
        <v>0</v>
      </c>
      <c r="H9" s="221">
        <f>+CONSUMPTION!H9*CONSUMPTION!$B9</f>
        <v>0</v>
      </c>
      <c r="I9" s="221">
        <f>+CONSUMPTION!I9*CONSUMPTION!$B9</f>
        <v>0</v>
      </c>
      <c r="J9" s="221">
        <f>+CONSUMPTION!J9*CONSUMPTION!$B9</f>
        <v>0</v>
      </c>
      <c r="K9" s="221">
        <f>+CONSUMPTION!K9*CONSUMPTION!$B9</f>
        <v>0</v>
      </c>
      <c r="L9" s="221">
        <f>+CONSUMPTION!L9*CONSUMPTION!$B9</f>
        <v>0</v>
      </c>
      <c r="M9" s="221">
        <f>+CONSUMPTION!M9*CONSUMPTION!$B9</f>
        <v>0</v>
      </c>
      <c r="N9" s="221">
        <f>+CONSUMPTION!N9*CONSUMPTION!$B9</f>
        <v>0</v>
      </c>
      <c r="O9" s="221">
        <f>+CONSUMPTION!O9*CONSUMPTION!$B9</f>
        <v>0</v>
      </c>
      <c r="P9" s="221">
        <f>+CONSUMPTION!P9*CONSUMPTION!$B9</f>
        <v>0</v>
      </c>
      <c r="Q9" s="221">
        <f>+CONSUMPTION!Q9*CONSUMPTION!$B9</f>
        <v>0</v>
      </c>
      <c r="R9" s="85"/>
    </row>
    <row r="10" spans="1:18" ht="15" x14ac:dyDescent="0.25">
      <c r="A10" s="200" t="s">
        <v>104</v>
      </c>
      <c r="B10" s="135">
        <f>+CONSUMPTION!B10</f>
        <v>0.01</v>
      </c>
      <c r="C10" s="150">
        <f>+CONSUMPTION!D10</f>
        <v>600</v>
      </c>
      <c r="D10" s="154">
        <f>+CONSUMPTION!E10</f>
        <v>45945000</v>
      </c>
      <c r="E10" s="155">
        <f t="shared" si="0"/>
        <v>459450</v>
      </c>
      <c r="F10" s="221">
        <f>+CONSUMPTION!F10*CONSUMPTION!$B10</f>
        <v>0</v>
      </c>
      <c r="G10" s="221">
        <f>+CONSUMPTION!G10*CONSUMPTION!$B10</f>
        <v>0</v>
      </c>
      <c r="H10" s="221">
        <f>+CONSUMPTION!H10*CONSUMPTION!$B10</f>
        <v>0</v>
      </c>
      <c r="I10" s="221">
        <f>+CONSUMPTION!I10*CONSUMPTION!$B10</f>
        <v>0</v>
      </c>
      <c r="J10" s="221">
        <f>+CONSUMPTION!J10*CONSUMPTION!$B10</f>
        <v>82479</v>
      </c>
      <c r="K10" s="221">
        <f>+CONSUMPTION!K10*CONSUMPTION!$B10</f>
        <v>92102</v>
      </c>
      <c r="L10" s="221">
        <f>+CONSUMPTION!L10*CONSUMPTION!$B10</f>
        <v>94052</v>
      </c>
      <c r="M10" s="221">
        <f>+CONSUMPTION!M10*CONSUMPTION!$B10</f>
        <v>95883</v>
      </c>
      <c r="N10" s="221">
        <f>+CONSUMPTION!N10*CONSUMPTION!$B10</f>
        <v>94934</v>
      </c>
      <c r="O10" s="221">
        <f>+CONSUMPTION!O10*CONSUMPTION!$B10</f>
        <v>0</v>
      </c>
      <c r="P10" s="221">
        <f>+CONSUMPTION!P10*CONSUMPTION!$B10</f>
        <v>0</v>
      </c>
      <c r="Q10" s="221">
        <f>+CONSUMPTION!Q10*CONSUMPTION!$B10</f>
        <v>0</v>
      </c>
    </row>
    <row r="11" spans="1:18" ht="15" x14ac:dyDescent="0.25">
      <c r="A11" s="200" t="s">
        <v>104</v>
      </c>
      <c r="B11" s="135">
        <f>+CONSUMPTION!B11</f>
        <v>1.15E-2</v>
      </c>
      <c r="C11" s="150">
        <f>+CONSUMPTION!D11</f>
        <v>2400</v>
      </c>
      <c r="D11" s="154">
        <f>+CONSUMPTION!E11</f>
        <v>60606400</v>
      </c>
      <c r="E11" s="155">
        <f t="shared" si="0"/>
        <v>696973.6</v>
      </c>
      <c r="F11" s="221">
        <f>+CONSUMPTION!F11*CONSUMPTION!$B11</f>
        <v>0</v>
      </c>
      <c r="G11" s="221">
        <f>+CONSUMPTION!G11*CONSUMPTION!$B11</f>
        <v>0</v>
      </c>
      <c r="H11" s="221">
        <f>+CONSUMPTION!H11*CONSUMPTION!$B11</f>
        <v>0</v>
      </c>
      <c r="I11" s="221">
        <f>+CONSUMPTION!I11*CONSUMPTION!$B11</f>
        <v>0</v>
      </c>
      <c r="J11" s="221">
        <f>+CONSUMPTION!J11*CONSUMPTION!$B11</f>
        <v>41857.699999999997</v>
      </c>
      <c r="K11" s="221">
        <f>+CONSUMPTION!K11*CONSUMPTION!$B11</f>
        <v>114908</v>
      </c>
      <c r="L11" s="221">
        <f>+CONSUMPTION!L11*CONSUMPTION!$B11</f>
        <v>163047</v>
      </c>
      <c r="M11" s="221">
        <f>+CONSUMPTION!M11*CONSUMPTION!$B11</f>
        <v>209244.79999999999</v>
      </c>
      <c r="N11" s="221">
        <f>+CONSUMPTION!N11*CONSUMPTION!$B11</f>
        <v>167916.1</v>
      </c>
      <c r="O11" s="221">
        <f>+CONSUMPTION!O11*CONSUMPTION!$B11</f>
        <v>0</v>
      </c>
      <c r="P11" s="221">
        <f>+CONSUMPTION!P11*CONSUMPTION!$B11</f>
        <v>0</v>
      </c>
      <c r="Q11" s="221">
        <f>+CONSUMPTION!Q11*CONSUMPTION!$B11</f>
        <v>0</v>
      </c>
    </row>
    <row r="12" spans="1:18" ht="15" x14ac:dyDescent="0.25">
      <c r="A12" s="200" t="s">
        <v>104</v>
      </c>
      <c r="B12" s="135">
        <f>+CONSUMPTION!B12</f>
        <v>0.05</v>
      </c>
      <c r="C12" s="150">
        <f>+CONSUMPTION!D12</f>
        <v>999999999</v>
      </c>
      <c r="D12" s="154">
        <f>+CONSUMPTION!E12</f>
        <v>13262600</v>
      </c>
      <c r="E12" s="155">
        <f t="shared" si="0"/>
        <v>663130</v>
      </c>
      <c r="F12" s="221">
        <f>+CONSUMPTION!F12*CONSUMPTION!$B12</f>
        <v>0</v>
      </c>
      <c r="G12" s="221">
        <f>+CONSUMPTION!G12*CONSUMPTION!$B12</f>
        <v>0</v>
      </c>
      <c r="H12" s="221">
        <f>+CONSUMPTION!H12*CONSUMPTION!$B12</f>
        <v>0</v>
      </c>
      <c r="I12" s="221">
        <f>+CONSUMPTION!I12*CONSUMPTION!$B12</f>
        <v>0</v>
      </c>
      <c r="J12" s="221">
        <f>+CONSUMPTION!J12*CONSUMPTION!$B12</f>
        <v>12995</v>
      </c>
      <c r="K12" s="221">
        <f>+CONSUMPTION!K12*CONSUMPTION!$B12</f>
        <v>72960</v>
      </c>
      <c r="L12" s="221">
        <f>+CONSUMPTION!L12*CONSUMPTION!$B12</f>
        <v>140990</v>
      </c>
      <c r="M12" s="221">
        <f>+CONSUMPTION!M12*CONSUMPTION!$B12</f>
        <v>270835</v>
      </c>
      <c r="N12" s="221">
        <f>+CONSUMPTION!N12*CONSUMPTION!$B12</f>
        <v>165350</v>
      </c>
      <c r="O12" s="221">
        <f>+CONSUMPTION!O12*CONSUMPTION!$B12</f>
        <v>0</v>
      </c>
      <c r="P12" s="221">
        <f>+CONSUMPTION!P12*CONSUMPTION!$B12</f>
        <v>0</v>
      </c>
      <c r="Q12" s="221">
        <f>+CONSUMPTION!Q12*CONSUMPTION!$B12</f>
        <v>0</v>
      </c>
      <c r="R12" s="85"/>
    </row>
    <row r="13" spans="1:18" ht="15" x14ac:dyDescent="0.25">
      <c r="A13" s="2" t="s">
        <v>6</v>
      </c>
      <c r="B13" s="135">
        <f>+CONSUMPTION!B13</f>
        <v>0.01</v>
      </c>
      <c r="C13" s="150">
        <f>+CONSUMPTION!D13</f>
        <v>600</v>
      </c>
      <c r="D13" s="154">
        <f>+CONSUMPTION!E13</f>
        <v>56328200</v>
      </c>
      <c r="E13" s="155">
        <f t="shared" si="0"/>
        <v>563282</v>
      </c>
      <c r="F13" s="221">
        <f>+CONSUMPTION!F13*CONSUMPTION!$B13</f>
        <v>80915</v>
      </c>
      <c r="G13" s="221">
        <f>+CONSUMPTION!G13*CONSUMPTION!$B13</f>
        <v>79543</v>
      </c>
      <c r="H13" s="221">
        <f>+CONSUMPTION!H13*CONSUMPTION!$B13</f>
        <v>75894</v>
      </c>
      <c r="I13" s="221">
        <f>+CONSUMPTION!I13*CONSUMPTION!$B13</f>
        <v>82473</v>
      </c>
      <c r="J13" s="221">
        <f>+CONSUMPTION!J13*CONSUMPTION!$B13</f>
        <v>0</v>
      </c>
      <c r="K13" s="221">
        <f>+CONSUMPTION!K13*CONSUMPTION!$B13</f>
        <v>0</v>
      </c>
      <c r="L13" s="221">
        <f>+CONSUMPTION!L13*CONSUMPTION!$B13</f>
        <v>0</v>
      </c>
      <c r="M13" s="221">
        <f>+CONSUMPTION!M13*CONSUMPTION!$B13</f>
        <v>0</v>
      </c>
      <c r="N13" s="221">
        <f>+CONSUMPTION!N13*CONSUMPTION!$B13</f>
        <v>0</v>
      </c>
      <c r="O13" s="221">
        <f>+CONSUMPTION!O13*CONSUMPTION!$B13</f>
        <v>80616</v>
      </c>
      <c r="P13" s="221">
        <f>+CONSUMPTION!P13*CONSUMPTION!$B13</f>
        <v>82214</v>
      </c>
      <c r="Q13" s="221">
        <f>+CONSUMPTION!Q13*CONSUMPTION!$B13</f>
        <v>81627</v>
      </c>
    </row>
    <row r="14" spans="1:18" ht="15" x14ac:dyDescent="0.25">
      <c r="A14" s="2" t="s">
        <v>6</v>
      </c>
      <c r="B14" s="135">
        <f>+CONSUMPTION!B14</f>
        <v>1.15E-2</v>
      </c>
      <c r="C14" s="150">
        <f>+CONSUMPTION!D14</f>
        <v>2400</v>
      </c>
      <c r="D14" s="154">
        <f>+CONSUMPTION!E14</f>
        <v>21381800</v>
      </c>
      <c r="E14" s="155">
        <f t="shared" si="0"/>
        <v>245890.7</v>
      </c>
      <c r="F14" s="221">
        <f>+CONSUMPTION!F14*CONSUMPTION!$B14</f>
        <v>34186.050000000003</v>
      </c>
      <c r="G14" s="221">
        <f>+CONSUMPTION!G14*CONSUMPTION!$B14</f>
        <v>31759.55</v>
      </c>
      <c r="H14" s="221">
        <f>+CONSUMPTION!H14*CONSUMPTION!$B14</f>
        <v>25135.55</v>
      </c>
      <c r="I14" s="221">
        <f>+CONSUMPTION!I14*CONSUMPTION!$B14</f>
        <v>36691.9</v>
      </c>
      <c r="J14" s="221">
        <f>+CONSUMPTION!J14*CONSUMPTION!$B14</f>
        <v>0</v>
      </c>
      <c r="K14" s="221">
        <f>+CONSUMPTION!K14*CONSUMPTION!$B14</f>
        <v>0</v>
      </c>
      <c r="L14" s="221">
        <f>+CONSUMPTION!L14*CONSUMPTION!$B14</f>
        <v>0</v>
      </c>
      <c r="M14" s="221">
        <f>+CONSUMPTION!M14*CONSUMPTION!$B14</f>
        <v>0</v>
      </c>
      <c r="N14" s="221">
        <f>+CONSUMPTION!N14*CONSUMPTION!$B14</f>
        <v>0</v>
      </c>
      <c r="O14" s="221">
        <f>+CONSUMPTION!O14*CONSUMPTION!$B14</f>
        <v>43450.45</v>
      </c>
      <c r="P14" s="221">
        <f>+CONSUMPTION!P14*CONSUMPTION!$B14</f>
        <v>39451.9</v>
      </c>
      <c r="Q14" s="221">
        <f>+CONSUMPTION!Q14*CONSUMPTION!$B14</f>
        <v>35215.300000000003</v>
      </c>
    </row>
    <row r="15" spans="1:18" ht="15" x14ac:dyDescent="0.25">
      <c r="A15" s="2" t="s">
        <v>6</v>
      </c>
      <c r="B15" s="135">
        <f>+CONSUMPTION!B15</f>
        <v>2.4199999999999999E-2</v>
      </c>
      <c r="C15" s="150">
        <f>+CONSUMPTION!D15</f>
        <v>999999999</v>
      </c>
      <c r="D15" s="154">
        <f>+CONSUMPTION!E15</f>
        <v>1672400</v>
      </c>
      <c r="E15" s="155">
        <f t="shared" si="0"/>
        <v>40472.079999999994</v>
      </c>
      <c r="F15" s="221">
        <f>+CONSUMPTION!F15*CONSUMPTION!$B15</f>
        <v>5340.94</v>
      </c>
      <c r="G15" s="221">
        <f>+CONSUMPTION!G15*CONSUMPTION!$B15</f>
        <v>6076.62</v>
      </c>
      <c r="H15" s="221">
        <f>+CONSUMPTION!H15*CONSUMPTION!$B15</f>
        <v>3453.3399999999997</v>
      </c>
      <c r="I15" s="221">
        <f>+CONSUMPTION!I15*CONSUMPTION!$B15</f>
        <v>5036.0199999999995</v>
      </c>
      <c r="J15" s="221">
        <f>+CONSUMPTION!J15*CONSUMPTION!$B15</f>
        <v>0</v>
      </c>
      <c r="K15" s="221">
        <f>+CONSUMPTION!K15*CONSUMPTION!$B15</f>
        <v>0</v>
      </c>
      <c r="L15" s="221">
        <f>+CONSUMPTION!L15*CONSUMPTION!$B15</f>
        <v>0</v>
      </c>
      <c r="M15" s="221">
        <f>+CONSUMPTION!M15*CONSUMPTION!$B15</f>
        <v>0</v>
      </c>
      <c r="N15" s="221">
        <f>+CONSUMPTION!N15*CONSUMPTION!$B15</f>
        <v>0</v>
      </c>
      <c r="O15" s="221">
        <f>+CONSUMPTION!O15*CONSUMPTION!$B15</f>
        <v>9004.82</v>
      </c>
      <c r="P15" s="221">
        <f>+CONSUMPTION!P15*CONSUMPTION!$B15</f>
        <v>6415.42</v>
      </c>
      <c r="Q15" s="221">
        <f>+CONSUMPTION!Q15*CONSUMPTION!$B15</f>
        <v>5144.92</v>
      </c>
      <c r="R15" s="85"/>
    </row>
    <row r="16" spans="1:18" ht="15" x14ac:dyDescent="0.25">
      <c r="A16" s="2" t="s">
        <v>7</v>
      </c>
      <c r="B16" s="135">
        <f>+CONSUMPTION!B16</f>
        <v>0.01</v>
      </c>
      <c r="C16" s="150">
        <f>+CONSUMPTION!D16</f>
        <v>1500</v>
      </c>
      <c r="D16" s="154">
        <f>+CONSUMPTION!E16</f>
        <v>160100</v>
      </c>
      <c r="E16" s="155">
        <f t="shared" si="0"/>
        <v>1601</v>
      </c>
      <c r="F16" s="221">
        <f>+CONSUMPTION!F16*CONSUMPTION!$B16</f>
        <v>228</v>
      </c>
      <c r="G16" s="221">
        <f>+CONSUMPTION!G16*CONSUMPTION!$B16</f>
        <v>199</v>
      </c>
      <c r="H16" s="221">
        <f>+CONSUMPTION!H16*CONSUMPTION!$B16</f>
        <v>189</v>
      </c>
      <c r="I16" s="221">
        <f>+CONSUMPTION!I16*CONSUMPTION!$B16</f>
        <v>201</v>
      </c>
      <c r="J16" s="221">
        <f>+CONSUMPTION!J16*CONSUMPTION!$B16</f>
        <v>0</v>
      </c>
      <c r="K16" s="221">
        <f>+CONSUMPTION!K16*CONSUMPTION!$B16</f>
        <v>0</v>
      </c>
      <c r="L16" s="221">
        <f>+CONSUMPTION!L16*CONSUMPTION!$B16</f>
        <v>0</v>
      </c>
      <c r="M16" s="221">
        <f>+CONSUMPTION!M16*CONSUMPTION!$B16</f>
        <v>0</v>
      </c>
      <c r="N16" s="221">
        <f>+CONSUMPTION!N16*CONSUMPTION!$B16</f>
        <v>0</v>
      </c>
      <c r="O16" s="221">
        <f>+CONSUMPTION!O16*CONSUMPTION!$B16</f>
        <v>312</v>
      </c>
      <c r="P16" s="221">
        <f>+CONSUMPTION!P16*CONSUMPTION!$B16</f>
        <v>234</v>
      </c>
      <c r="Q16" s="221">
        <f>+CONSUMPTION!Q16*CONSUMPTION!$B16</f>
        <v>238</v>
      </c>
    </row>
    <row r="17" spans="1:18" ht="15" x14ac:dyDescent="0.25">
      <c r="A17" s="2" t="s">
        <v>7</v>
      </c>
      <c r="B17" s="135">
        <f>+CONSUMPTION!B17</f>
        <v>1.15E-2</v>
      </c>
      <c r="C17" s="150">
        <f>+CONSUMPTION!D17</f>
        <v>6000</v>
      </c>
      <c r="D17" s="154">
        <f>+CONSUMPTION!E17</f>
        <v>61700</v>
      </c>
      <c r="E17" s="155">
        <f t="shared" si="0"/>
        <v>709.55</v>
      </c>
      <c r="F17" s="221">
        <f>+CONSUMPTION!F17*CONSUMPTION!$B17</f>
        <v>86.25</v>
      </c>
      <c r="G17" s="221">
        <f>+CONSUMPTION!G17*CONSUMPTION!$B17</f>
        <v>136.85</v>
      </c>
      <c r="H17" s="221">
        <f>+CONSUMPTION!H17*CONSUMPTION!$B17</f>
        <v>72.45</v>
      </c>
      <c r="I17" s="221">
        <f>+CONSUMPTION!I17*CONSUMPTION!$B17</f>
        <v>149.5</v>
      </c>
      <c r="J17" s="221">
        <f>+CONSUMPTION!J17*CONSUMPTION!$B17</f>
        <v>0</v>
      </c>
      <c r="K17" s="221">
        <f>+CONSUMPTION!K17*CONSUMPTION!$B17</f>
        <v>0</v>
      </c>
      <c r="L17" s="221">
        <f>+CONSUMPTION!L17*CONSUMPTION!$B17</f>
        <v>0</v>
      </c>
      <c r="M17" s="221">
        <f>+CONSUMPTION!M17*CONSUMPTION!$B17</f>
        <v>0</v>
      </c>
      <c r="N17" s="221">
        <f>+CONSUMPTION!N17*CONSUMPTION!$B17</f>
        <v>0</v>
      </c>
      <c r="O17" s="221">
        <f>+CONSUMPTION!O17*CONSUMPTION!$B17</f>
        <v>161</v>
      </c>
      <c r="P17" s="221">
        <f>+CONSUMPTION!P17*CONSUMPTION!$B17</f>
        <v>54.05</v>
      </c>
      <c r="Q17" s="221">
        <f>+CONSUMPTION!Q17*CONSUMPTION!$B17</f>
        <v>49.449999999999996</v>
      </c>
    </row>
    <row r="18" spans="1:18" ht="15" x14ac:dyDescent="0.25">
      <c r="A18" s="2" t="s">
        <v>7</v>
      </c>
      <c r="B18" s="135">
        <f>+CONSUMPTION!B18</f>
        <v>2.4199999999999999E-2</v>
      </c>
      <c r="C18" s="150">
        <f>+CONSUMPTION!D18</f>
        <v>999999999</v>
      </c>
      <c r="D18" s="154">
        <f>+CONSUMPTION!E18</f>
        <v>2500</v>
      </c>
      <c r="E18" s="155">
        <f t="shared" si="0"/>
        <v>60.5</v>
      </c>
      <c r="F18" s="221">
        <f>+CONSUMPTION!F18*CONSUMPTION!$B18</f>
        <v>0</v>
      </c>
      <c r="G18" s="221">
        <f>+CONSUMPTION!G18*CONSUMPTION!$B18</f>
        <v>21.78</v>
      </c>
      <c r="H18" s="221">
        <f>+CONSUMPTION!H18*CONSUMPTION!$B18</f>
        <v>0</v>
      </c>
      <c r="I18" s="221">
        <f>+CONSUMPTION!I18*CONSUMPTION!$B18</f>
        <v>38.72</v>
      </c>
      <c r="J18" s="221">
        <f>+CONSUMPTION!J18*CONSUMPTION!$B18</f>
        <v>0</v>
      </c>
      <c r="K18" s="221">
        <f>+CONSUMPTION!K18*CONSUMPTION!$B18</f>
        <v>0</v>
      </c>
      <c r="L18" s="221">
        <f>+CONSUMPTION!L18*CONSUMPTION!$B18</f>
        <v>0</v>
      </c>
      <c r="M18" s="221">
        <f>+CONSUMPTION!M18*CONSUMPTION!$B18</f>
        <v>0</v>
      </c>
      <c r="N18" s="221">
        <f>+CONSUMPTION!N18*CONSUMPTION!$B18</f>
        <v>0</v>
      </c>
      <c r="O18" s="221">
        <f>+CONSUMPTION!O18*CONSUMPTION!$B18</f>
        <v>0</v>
      </c>
      <c r="P18" s="221">
        <f>+CONSUMPTION!P18*CONSUMPTION!$B18</f>
        <v>0</v>
      </c>
      <c r="Q18" s="221">
        <f>+CONSUMPTION!Q18*CONSUMPTION!$B18</f>
        <v>0</v>
      </c>
      <c r="R18" s="85"/>
    </row>
    <row r="19" spans="1:18" ht="15" x14ac:dyDescent="0.25">
      <c r="A19" s="200" t="s">
        <v>106</v>
      </c>
      <c r="B19" s="135">
        <f>+CONSUMPTION!B19</f>
        <v>0.01</v>
      </c>
      <c r="C19" s="150">
        <f>+CONSUMPTION!D19</f>
        <v>1500</v>
      </c>
      <c r="D19" s="154">
        <f>+CONSUMPTION!E19</f>
        <v>188000</v>
      </c>
      <c r="E19" s="155">
        <f t="shared" si="0"/>
        <v>1880</v>
      </c>
      <c r="F19" s="221">
        <f>+CONSUMPTION!F19*CONSUMPTION!$B19</f>
        <v>0</v>
      </c>
      <c r="G19" s="221">
        <f>+CONSUMPTION!G19*CONSUMPTION!$B19</f>
        <v>0</v>
      </c>
      <c r="H19" s="221">
        <f>+CONSUMPTION!H19*CONSUMPTION!$B19</f>
        <v>0</v>
      </c>
      <c r="I19" s="221">
        <f>+CONSUMPTION!I19*CONSUMPTION!$B19</f>
        <v>0</v>
      </c>
      <c r="J19" s="221">
        <f>+CONSUMPTION!J19*CONSUMPTION!$B19</f>
        <v>289</v>
      </c>
      <c r="K19" s="221">
        <f>+CONSUMPTION!K19*CONSUMPTION!$B19</f>
        <v>383</v>
      </c>
      <c r="L19" s="221">
        <f>+CONSUMPTION!L19*CONSUMPTION!$B19</f>
        <v>407</v>
      </c>
      <c r="M19" s="221">
        <f>+CONSUMPTION!M19*CONSUMPTION!$B19</f>
        <v>414</v>
      </c>
      <c r="N19" s="221">
        <f>+CONSUMPTION!N19*CONSUMPTION!$B19</f>
        <v>387</v>
      </c>
      <c r="O19" s="221">
        <f>+CONSUMPTION!O19*CONSUMPTION!$B19</f>
        <v>0</v>
      </c>
      <c r="P19" s="221">
        <f>+CONSUMPTION!P19*CONSUMPTION!$B19</f>
        <v>0</v>
      </c>
      <c r="Q19" s="221">
        <f>+CONSUMPTION!Q19*CONSUMPTION!$B19</f>
        <v>0</v>
      </c>
    </row>
    <row r="20" spans="1:18" ht="15" x14ac:dyDescent="0.25">
      <c r="A20" s="200" t="s">
        <v>106</v>
      </c>
      <c r="B20" s="135">
        <f>+CONSUMPTION!B20</f>
        <v>1.15E-2</v>
      </c>
      <c r="C20" s="150">
        <f>+CONSUMPTION!D20</f>
        <v>1500</v>
      </c>
      <c r="D20" s="154">
        <f>+CONSUMPTION!E20</f>
        <v>315300</v>
      </c>
      <c r="E20" s="155">
        <f t="shared" si="0"/>
        <v>3625.95</v>
      </c>
      <c r="F20" s="221">
        <f>+CONSUMPTION!F20*CONSUMPTION!$B20</f>
        <v>0</v>
      </c>
      <c r="G20" s="221">
        <f>+CONSUMPTION!G20*CONSUMPTION!$B20</f>
        <v>0</v>
      </c>
      <c r="H20" s="221">
        <f>+CONSUMPTION!H20*CONSUMPTION!$B20</f>
        <v>0</v>
      </c>
      <c r="I20" s="221">
        <f>+CONSUMPTION!I20*CONSUMPTION!$B20</f>
        <v>0</v>
      </c>
      <c r="J20" s="221">
        <f>+CONSUMPTION!J20*CONSUMPTION!$B20</f>
        <v>172.5</v>
      </c>
      <c r="K20" s="221">
        <f>+CONSUMPTION!K20*CONSUMPTION!$B20</f>
        <v>837.19999999999993</v>
      </c>
      <c r="L20" s="221">
        <f>+CONSUMPTION!L20*CONSUMPTION!$B20</f>
        <v>964.85</v>
      </c>
      <c r="M20" s="221">
        <f>+CONSUMPTION!M20*CONSUMPTION!$B20</f>
        <v>1028.0999999999999</v>
      </c>
      <c r="N20" s="221">
        <f>+CONSUMPTION!N20*CONSUMPTION!$B20</f>
        <v>623.29999999999995</v>
      </c>
      <c r="O20" s="221">
        <f>+CONSUMPTION!O20*CONSUMPTION!$B20</f>
        <v>0</v>
      </c>
      <c r="P20" s="221">
        <f>+CONSUMPTION!P20*CONSUMPTION!$B20</f>
        <v>0</v>
      </c>
      <c r="Q20" s="221">
        <f>+CONSUMPTION!Q20*CONSUMPTION!$B20</f>
        <v>0</v>
      </c>
    </row>
    <row r="21" spans="1:18" ht="15" x14ac:dyDescent="0.25">
      <c r="A21" s="200" t="s">
        <v>106</v>
      </c>
      <c r="B21" s="135">
        <f>+CONSUMPTION!B21</f>
        <v>0.05</v>
      </c>
      <c r="C21" s="150">
        <f>+CONSUMPTION!D21</f>
        <v>999999999</v>
      </c>
      <c r="D21" s="154">
        <f>+CONSUMPTION!E21</f>
        <v>92500</v>
      </c>
      <c r="E21" s="155">
        <f t="shared" si="0"/>
        <v>4625</v>
      </c>
      <c r="F21" s="221">
        <f>+CONSUMPTION!F21*CONSUMPTION!$B21</f>
        <v>0</v>
      </c>
      <c r="G21" s="221">
        <f>+CONSUMPTION!G21*CONSUMPTION!$B21</f>
        <v>0</v>
      </c>
      <c r="H21" s="221">
        <f>+CONSUMPTION!H21*CONSUMPTION!$B21</f>
        <v>0</v>
      </c>
      <c r="I21" s="221">
        <f>+CONSUMPTION!I21*CONSUMPTION!$B21</f>
        <v>0</v>
      </c>
      <c r="J21" s="221">
        <f>+CONSUMPTION!J21*CONSUMPTION!$B21</f>
        <v>80</v>
      </c>
      <c r="K21" s="221">
        <f>+CONSUMPTION!K21*CONSUMPTION!$B21</f>
        <v>1410</v>
      </c>
      <c r="L21" s="221">
        <f>+CONSUMPTION!L21*CONSUMPTION!$B21</f>
        <v>1120</v>
      </c>
      <c r="M21" s="221">
        <f>+CONSUMPTION!M21*CONSUMPTION!$B21</f>
        <v>1745</v>
      </c>
      <c r="N21" s="221">
        <f>+CONSUMPTION!N21*CONSUMPTION!$B21</f>
        <v>310</v>
      </c>
      <c r="O21" s="221">
        <f>+CONSUMPTION!O21*CONSUMPTION!$B21</f>
        <v>0</v>
      </c>
      <c r="P21" s="221">
        <f>+CONSUMPTION!P21*CONSUMPTION!$B21</f>
        <v>0</v>
      </c>
      <c r="Q21" s="221">
        <f>+CONSUMPTION!Q21*CONSUMPTION!$B21</f>
        <v>-40</v>
      </c>
      <c r="R21" s="85"/>
    </row>
    <row r="22" spans="1:18" ht="15" x14ac:dyDescent="0.25">
      <c r="A22" s="1" t="s">
        <v>8</v>
      </c>
      <c r="B22" s="135">
        <f>+CONSUMPTION!B22</f>
        <v>0.01</v>
      </c>
      <c r="C22" s="150">
        <f>+CONSUMPTION!D22</f>
        <v>3000</v>
      </c>
      <c r="D22" s="154">
        <f>+CONSUMPTION!E22</f>
        <v>0</v>
      </c>
      <c r="E22" s="155">
        <f t="shared" si="0"/>
        <v>0</v>
      </c>
      <c r="F22" s="221">
        <f>+CONSUMPTION!F22*CONSUMPTION!$B22</f>
        <v>0</v>
      </c>
      <c r="G22" s="221">
        <f>+CONSUMPTION!G22*CONSUMPTION!$B22</f>
        <v>0</v>
      </c>
      <c r="H22" s="221">
        <f>+CONSUMPTION!H22*CONSUMPTION!$B22</f>
        <v>0</v>
      </c>
      <c r="I22" s="221">
        <f>+CONSUMPTION!I22*CONSUMPTION!$B22</f>
        <v>0</v>
      </c>
      <c r="J22" s="221">
        <f>+CONSUMPTION!J22*CONSUMPTION!$B22</f>
        <v>0</v>
      </c>
      <c r="K22" s="221">
        <f>+CONSUMPTION!K22*CONSUMPTION!$B22</f>
        <v>0</v>
      </c>
      <c r="L22" s="221">
        <f>+CONSUMPTION!L22*CONSUMPTION!$B22</f>
        <v>0</v>
      </c>
      <c r="M22" s="221">
        <f>+CONSUMPTION!M22*CONSUMPTION!$B22</f>
        <v>0</v>
      </c>
      <c r="N22" s="221">
        <f>+CONSUMPTION!N22*CONSUMPTION!$B22</f>
        <v>0</v>
      </c>
      <c r="O22" s="221">
        <f>+CONSUMPTION!O22*CONSUMPTION!$B22</f>
        <v>0</v>
      </c>
      <c r="P22" s="221">
        <f>+CONSUMPTION!P22*CONSUMPTION!$B22</f>
        <v>0</v>
      </c>
      <c r="Q22" s="221">
        <f>+CONSUMPTION!Q22*CONSUMPTION!$B22</f>
        <v>0</v>
      </c>
    </row>
    <row r="23" spans="1:18" ht="15" x14ac:dyDescent="0.25">
      <c r="A23" s="1" t="s">
        <v>8</v>
      </c>
      <c r="B23" s="135">
        <f>+CONSUMPTION!B23</f>
        <v>1.15E-2</v>
      </c>
      <c r="C23" s="150">
        <f>+CONSUMPTION!D23</f>
        <v>12000</v>
      </c>
      <c r="D23" s="154">
        <f>+CONSUMPTION!E23</f>
        <v>0</v>
      </c>
      <c r="E23" s="155">
        <f t="shared" si="0"/>
        <v>0</v>
      </c>
      <c r="F23" s="221">
        <f>+CONSUMPTION!F23*CONSUMPTION!$B23</f>
        <v>0</v>
      </c>
      <c r="G23" s="221">
        <f>+CONSUMPTION!G23*CONSUMPTION!$B23</f>
        <v>0</v>
      </c>
      <c r="H23" s="221">
        <f>+CONSUMPTION!H23*CONSUMPTION!$B23</f>
        <v>0</v>
      </c>
      <c r="I23" s="221">
        <f>+CONSUMPTION!I23*CONSUMPTION!$B23</f>
        <v>0</v>
      </c>
      <c r="J23" s="221">
        <f>+CONSUMPTION!J23*CONSUMPTION!$B23</f>
        <v>0</v>
      </c>
      <c r="K23" s="221">
        <f>+CONSUMPTION!K23*CONSUMPTION!$B23</f>
        <v>0</v>
      </c>
      <c r="L23" s="221">
        <f>+CONSUMPTION!L23*CONSUMPTION!$B23</f>
        <v>0</v>
      </c>
      <c r="M23" s="221">
        <f>+CONSUMPTION!M23*CONSUMPTION!$B23</f>
        <v>0</v>
      </c>
      <c r="N23" s="221">
        <f>+CONSUMPTION!N23*CONSUMPTION!$B23</f>
        <v>0</v>
      </c>
      <c r="O23" s="221">
        <f>+CONSUMPTION!O23*CONSUMPTION!$B23</f>
        <v>0</v>
      </c>
      <c r="P23" s="221">
        <f>+CONSUMPTION!P23*CONSUMPTION!$B23</f>
        <v>0</v>
      </c>
      <c r="Q23" s="221">
        <f>+CONSUMPTION!Q23*CONSUMPTION!$B23</f>
        <v>0</v>
      </c>
    </row>
    <row r="24" spans="1:18" ht="15" x14ac:dyDescent="0.25">
      <c r="A24" s="1" t="s">
        <v>8</v>
      </c>
      <c r="B24" s="135">
        <f>+CONSUMPTION!B24</f>
        <v>2.4199999999999999E-2</v>
      </c>
      <c r="C24" s="150">
        <f>+CONSUMPTION!D24</f>
        <v>999999999</v>
      </c>
      <c r="D24" s="154">
        <f>+CONSUMPTION!E24</f>
        <v>0</v>
      </c>
      <c r="E24" s="155">
        <f t="shared" si="0"/>
        <v>0</v>
      </c>
      <c r="F24" s="221">
        <f>+CONSUMPTION!F24*CONSUMPTION!$B24</f>
        <v>0</v>
      </c>
      <c r="G24" s="221">
        <f>+CONSUMPTION!G24*CONSUMPTION!$B24</f>
        <v>0</v>
      </c>
      <c r="H24" s="221">
        <f>+CONSUMPTION!H24*CONSUMPTION!$B24</f>
        <v>0</v>
      </c>
      <c r="I24" s="221">
        <f>+CONSUMPTION!I24*CONSUMPTION!$B24</f>
        <v>0</v>
      </c>
      <c r="J24" s="221">
        <f>+CONSUMPTION!J24*CONSUMPTION!$B24</f>
        <v>0</v>
      </c>
      <c r="K24" s="221">
        <f>+CONSUMPTION!K24*CONSUMPTION!$B24</f>
        <v>0</v>
      </c>
      <c r="L24" s="221">
        <f>+CONSUMPTION!L24*CONSUMPTION!$B24</f>
        <v>0</v>
      </c>
      <c r="M24" s="221">
        <f>+CONSUMPTION!M24*CONSUMPTION!$B24</f>
        <v>0</v>
      </c>
      <c r="N24" s="221">
        <f>+CONSUMPTION!N24*CONSUMPTION!$B24</f>
        <v>0</v>
      </c>
      <c r="O24" s="221">
        <f>+CONSUMPTION!O24*CONSUMPTION!$B24</f>
        <v>0</v>
      </c>
      <c r="P24" s="221">
        <f>+CONSUMPTION!P24*CONSUMPTION!$B24</f>
        <v>0</v>
      </c>
      <c r="Q24" s="221">
        <f>+CONSUMPTION!Q24*CONSUMPTION!$B24</f>
        <v>0</v>
      </c>
      <c r="R24" s="85"/>
    </row>
    <row r="25" spans="1:18" ht="15" x14ac:dyDescent="0.25">
      <c r="A25" s="1" t="s">
        <v>9</v>
      </c>
      <c r="B25" s="135">
        <f>+CONSUMPTION!B25</f>
        <v>0.01</v>
      </c>
      <c r="C25" s="150">
        <f>+CONSUMPTION!D25</f>
        <v>4800</v>
      </c>
      <c r="D25" s="154">
        <f>+CONSUMPTION!E25</f>
        <v>163200</v>
      </c>
      <c r="E25" s="155">
        <f t="shared" si="0"/>
        <v>1632</v>
      </c>
      <c r="F25" s="221">
        <f>+CONSUMPTION!F25*CONSUMPTION!$B25</f>
        <v>96</v>
      </c>
      <c r="G25" s="221">
        <f>+CONSUMPTION!G25*CONSUMPTION!$B25</f>
        <v>96</v>
      </c>
      <c r="H25" s="221">
        <f>+CONSUMPTION!H25*CONSUMPTION!$B25</f>
        <v>144</v>
      </c>
      <c r="I25" s="221">
        <f>+CONSUMPTION!I25*CONSUMPTION!$B25</f>
        <v>144</v>
      </c>
      <c r="J25" s="221">
        <f>+CONSUMPTION!J25*CONSUMPTION!$B25</f>
        <v>144</v>
      </c>
      <c r="K25" s="221">
        <f>+CONSUMPTION!K25*CONSUMPTION!$B25</f>
        <v>144</v>
      </c>
      <c r="L25" s="221">
        <f>+CONSUMPTION!L25*CONSUMPTION!$B25</f>
        <v>144</v>
      </c>
      <c r="M25" s="221">
        <f>+CONSUMPTION!M25*CONSUMPTION!$B25</f>
        <v>144</v>
      </c>
      <c r="N25" s="221">
        <f>+CONSUMPTION!N25*CONSUMPTION!$B25</f>
        <v>144</v>
      </c>
      <c r="O25" s="221">
        <f>+CONSUMPTION!O25*CONSUMPTION!$B25</f>
        <v>144</v>
      </c>
      <c r="P25" s="221">
        <f>+CONSUMPTION!P25*CONSUMPTION!$B25</f>
        <v>144</v>
      </c>
      <c r="Q25" s="221">
        <f>+CONSUMPTION!Q25*CONSUMPTION!$B25</f>
        <v>144</v>
      </c>
    </row>
    <row r="26" spans="1:18" ht="15" x14ac:dyDescent="0.25">
      <c r="A26" s="1" t="s">
        <v>9</v>
      </c>
      <c r="B26" s="135">
        <f>+CONSUMPTION!B26</f>
        <v>1.15E-2</v>
      </c>
      <c r="C26" s="150">
        <f>+CONSUMPTION!D26</f>
        <v>19200</v>
      </c>
      <c r="D26" s="154">
        <f>+CONSUMPTION!E26</f>
        <v>501400</v>
      </c>
      <c r="E26" s="155">
        <f t="shared" si="0"/>
        <v>5766.0999999999995</v>
      </c>
      <c r="F26" s="221">
        <f>+CONSUMPTION!F26*CONSUMPTION!$B26</f>
        <v>359.95</v>
      </c>
      <c r="G26" s="221">
        <f>+CONSUMPTION!G26*CONSUMPTION!$B26</f>
        <v>331.2</v>
      </c>
      <c r="H26" s="221">
        <f>+CONSUMPTION!H26*CONSUMPTION!$B26</f>
        <v>389.84999999999997</v>
      </c>
      <c r="I26" s="221">
        <f>+CONSUMPTION!I26*CONSUMPTION!$B26</f>
        <v>462.3</v>
      </c>
      <c r="J26" s="221">
        <f>+CONSUMPTION!J26*CONSUMPTION!$B26</f>
        <v>438.15</v>
      </c>
      <c r="K26" s="221">
        <f>+CONSUMPTION!K26*CONSUMPTION!$B26</f>
        <v>531.29999999999995</v>
      </c>
      <c r="L26" s="221">
        <f>+CONSUMPTION!L26*CONSUMPTION!$B26</f>
        <v>534.75</v>
      </c>
      <c r="M26" s="221">
        <f>+CONSUMPTION!M26*CONSUMPTION!$B26</f>
        <v>619.85</v>
      </c>
      <c r="N26" s="221">
        <f>+CONSUMPTION!N26*CONSUMPTION!$B26</f>
        <v>602.6</v>
      </c>
      <c r="O26" s="221">
        <f>+CONSUMPTION!O26*CONSUMPTION!$B26</f>
        <v>487.59999999999997</v>
      </c>
      <c r="P26" s="221">
        <f>+CONSUMPTION!P26*CONSUMPTION!$B26</f>
        <v>489.9</v>
      </c>
      <c r="Q26" s="221">
        <f>+CONSUMPTION!Q26*CONSUMPTION!$B26</f>
        <v>518.65</v>
      </c>
    </row>
    <row r="27" spans="1:18" ht="15" x14ac:dyDescent="0.25">
      <c r="A27" s="1" t="s">
        <v>9</v>
      </c>
      <c r="B27" s="135">
        <f>+CONSUMPTION!B27</f>
        <v>2.4199999999999999E-2</v>
      </c>
      <c r="C27" s="150">
        <f>+CONSUMPTION!D27</f>
        <v>999999999</v>
      </c>
      <c r="D27" s="154">
        <f>+CONSUMPTION!E27</f>
        <v>836100</v>
      </c>
      <c r="E27" s="155">
        <f t="shared" si="0"/>
        <v>20233.62</v>
      </c>
      <c r="F27" s="221">
        <f>+CONSUMPTION!F27*CONSUMPTION!$B27</f>
        <v>1449.58</v>
      </c>
      <c r="G27" s="221">
        <f>+CONSUMPTION!G27*CONSUMPTION!$B27</f>
        <v>1360.04</v>
      </c>
      <c r="H27" s="221">
        <f>+CONSUMPTION!H27*CONSUMPTION!$B27</f>
        <v>1452</v>
      </c>
      <c r="I27" s="221">
        <f>+CONSUMPTION!I27*CONSUMPTION!$B27</f>
        <v>2190.1</v>
      </c>
      <c r="J27" s="221">
        <f>+CONSUMPTION!J27*CONSUMPTION!$B27</f>
        <v>1706.1</v>
      </c>
      <c r="K27" s="221">
        <f>+CONSUMPTION!K27*CONSUMPTION!$B27</f>
        <v>2618.44</v>
      </c>
      <c r="L27" s="221">
        <f>+CONSUMPTION!L27*CONSUMPTION!$B27</f>
        <v>1565.74</v>
      </c>
      <c r="M27" s="221">
        <f>+CONSUMPTION!M27*CONSUMPTION!$B27</f>
        <v>2424.84</v>
      </c>
      <c r="N27" s="221">
        <f>+CONSUMPTION!N27*CONSUMPTION!$B27</f>
        <v>1401.18</v>
      </c>
      <c r="O27" s="221">
        <f>+CONSUMPTION!O27*CONSUMPTION!$B27</f>
        <v>827.64</v>
      </c>
      <c r="P27" s="221">
        <f>+CONSUMPTION!P27*CONSUMPTION!$B27</f>
        <v>1805.32</v>
      </c>
      <c r="Q27" s="221">
        <f>+CONSUMPTION!Q27*CONSUMPTION!$B27</f>
        <v>1432.6399999999999</v>
      </c>
      <c r="R27" s="85"/>
    </row>
    <row r="28" spans="1:18" ht="15" x14ac:dyDescent="0.25">
      <c r="A28" s="110" t="s">
        <v>86</v>
      </c>
      <c r="B28" s="135">
        <f>+CONSUMPTION!B28</f>
        <v>0.01</v>
      </c>
      <c r="C28" s="150">
        <f>+CONSUMPTION!D28</f>
        <v>15000</v>
      </c>
      <c r="D28" s="154">
        <f>+CONSUMPTION!E28</f>
        <v>180000</v>
      </c>
      <c r="E28" s="155">
        <f t="shared" si="0"/>
        <v>1800</v>
      </c>
      <c r="F28" s="221">
        <f>+CONSUMPTION!F28*CONSUMPTION!$B28</f>
        <v>150</v>
      </c>
      <c r="G28" s="221">
        <f>+CONSUMPTION!G28*CONSUMPTION!$B28</f>
        <v>150</v>
      </c>
      <c r="H28" s="221">
        <f>+CONSUMPTION!H28*CONSUMPTION!$B28</f>
        <v>150</v>
      </c>
      <c r="I28" s="221">
        <f>+CONSUMPTION!I28*CONSUMPTION!$B28</f>
        <v>150</v>
      </c>
      <c r="J28" s="221">
        <f>+CONSUMPTION!J28*CONSUMPTION!$B28</f>
        <v>150</v>
      </c>
      <c r="K28" s="221">
        <f>+CONSUMPTION!K28*CONSUMPTION!$B28</f>
        <v>150</v>
      </c>
      <c r="L28" s="221">
        <f>+CONSUMPTION!L28*CONSUMPTION!$B28</f>
        <v>150</v>
      </c>
      <c r="M28" s="221">
        <f>+CONSUMPTION!M28*CONSUMPTION!$B28</f>
        <v>150</v>
      </c>
      <c r="N28" s="221">
        <f>+CONSUMPTION!N28*CONSUMPTION!$B28</f>
        <v>150</v>
      </c>
      <c r="O28" s="221">
        <f>+CONSUMPTION!O28*CONSUMPTION!$B28</f>
        <v>150</v>
      </c>
      <c r="P28" s="221">
        <f>+CONSUMPTION!P28*CONSUMPTION!$B28</f>
        <v>150</v>
      </c>
      <c r="Q28" s="221">
        <f>+CONSUMPTION!Q28*CONSUMPTION!$B28</f>
        <v>150</v>
      </c>
    </row>
    <row r="29" spans="1:18" ht="15" x14ac:dyDescent="0.25">
      <c r="A29" s="110" t="s">
        <v>86</v>
      </c>
      <c r="B29" s="135">
        <f>+CONSUMPTION!B29</f>
        <v>1.15E-2</v>
      </c>
      <c r="C29" s="150">
        <f>+CONSUMPTION!D29</f>
        <v>60000</v>
      </c>
      <c r="D29" s="154">
        <f>+CONSUMPTION!E29</f>
        <v>339000</v>
      </c>
      <c r="E29" s="155">
        <f t="shared" si="0"/>
        <v>3898.5</v>
      </c>
      <c r="F29" s="221">
        <f>+CONSUMPTION!F29*CONSUMPTION!$B29</f>
        <v>178.25</v>
      </c>
      <c r="G29" s="221">
        <f>+CONSUMPTION!G29*CONSUMPTION!$B29</f>
        <v>80.5</v>
      </c>
      <c r="H29" s="221">
        <f>+CONSUMPTION!H29*CONSUMPTION!$B29</f>
        <v>155.25</v>
      </c>
      <c r="I29" s="221">
        <f>+CONSUMPTION!I29*CONSUMPTION!$B29</f>
        <v>198.95</v>
      </c>
      <c r="J29" s="221">
        <f>+CONSUMPTION!J29*CONSUMPTION!$B29</f>
        <v>188.6</v>
      </c>
      <c r="K29" s="221">
        <f>+CONSUMPTION!K29*CONSUMPTION!$B29</f>
        <v>603.75</v>
      </c>
      <c r="L29" s="221">
        <f>+CONSUMPTION!L29*CONSUMPTION!$B29</f>
        <v>690</v>
      </c>
      <c r="M29" s="221">
        <f>+CONSUMPTION!M29*CONSUMPTION!$B29</f>
        <v>690</v>
      </c>
      <c r="N29" s="221">
        <f>+CONSUMPTION!N29*CONSUMPTION!$B29</f>
        <v>690</v>
      </c>
      <c r="O29" s="221">
        <f>+CONSUMPTION!O29*CONSUMPTION!$B29</f>
        <v>125.35</v>
      </c>
      <c r="P29" s="221">
        <f>+CONSUMPTION!P29*CONSUMPTION!$B29</f>
        <v>170.2</v>
      </c>
      <c r="Q29" s="221">
        <f>+CONSUMPTION!Q29*CONSUMPTION!$B29</f>
        <v>127.64999999999999</v>
      </c>
    </row>
    <row r="30" spans="1:18" ht="15" x14ac:dyDescent="0.25">
      <c r="A30" s="110" t="s">
        <v>86</v>
      </c>
      <c r="B30" s="135">
        <f>+CONSUMPTION!B30</f>
        <v>2.4199999999999999E-2</v>
      </c>
      <c r="C30" s="150">
        <f>+CONSUMPTION!D30</f>
        <v>999999999</v>
      </c>
      <c r="D30" s="154">
        <f>+CONSUMPTION!E30</f>
        <v>255200</v>
      </c>
      <c r="E30" s="155">
        <f t="shared" si="0"/>
        <v>6175.8399999999992</v>
      </c>
      <c r="F30" s="221">
        <f>+CONSUMPTION!F30*CONSUMPTION!$B30</f>
        <v>0</v>
      </c>
      <c r="G30" s="221">
        <f>+CONSUMPTION!G30*CONSUMPTION!$B30</f>
        <v>0</v>
      </c>
      <c r="H30" s="221">
        <f>+CONSUMPTION!H30*CONSUMPTION!$B30</f>
        <v>0</v>
      </c>
      <c r="I30" s="221">
        <f>+CONSUMPTION!I30*CONSUMPTION!$B30</f>
        <v>0</v>
      </c>
      <c r="J30" s="221">
        <f>+CONSUMPTION!J30*CONSUMPTION!$B30</f>
        <v>0</v>
      </c>
      <c r="K30" s="221">
        <f>+CONSUMPTION!K30*CONSUMPTION!$B30</f>
        <v>0</v>
      </c>
      <c r="L30" s="221">
        <f>+CONSUMPTION!L30*CONSUMPTION!$B30</f>
        <v>1243.8799999999999</v>
      </c>
      <c r="M30" s="221">
        <f>+CONSUMPTION!M30*CONSUMPTION!$B30</f>
        <v>3392.8399999999997</v>
      </c>
      <c r="N30" s="221">
        <f>+CONSUMPTION!N30*CONSUMPTION!$B30</f>
        <v>1539.12</v>
      </c>
      <c r="O30" s="221">
        <f>+CONSUMPTION!O30*CONSUMPTION!$B30</f>
        <v>0</v>
      </c>
      <c r="P30" s="221">
        <f>+CONSUMPTION!P30*CONSUMPTION!$B30</f>
        <v>0</v>
      </c>
      <c r="Q30" s="221">
        <f>+CONSUMPTION!Q30*CONSUMPTION!$B30</f>
        <v>0</v>
      </c>
      <c r="R30" s="85"/>
    </row>
    <row r="31" spans="1:18" ht="15" x14ac:dyDescent="0.25">
      <c r="A31" s="1" t="s">
        <v>10</v>
      </c>
      <c r="B31" s="135">
        <f>+CONSUMPTION!B31</f>
        <v>0.01</v>
      </c>
      <c r="C31" s="150">
        <f>+CONSUMPTION!D31</f>
        <v>600</v>
      </c>
      <c r="D31" s="154">
        <f>+CONSUMPTION!E31</f>
        <v>981600</v>
      </c>
      <c r="E31" s="155">
        <f t="shared" si="0"/>
        <v>9816</v>
      </c>
      <c r="F31" s="221">
        <f>+CONSUMPTION!F31*CONSUMPTION!$B31</f>
        <v>577</v>
      </c>
      <c r="G31" s="221">
        <f>+CONSUMPTION!G31*CONSUMPTION!$B31</f>
        <v>583</v>
      </c>
      <c r="H31" s="221">
        <f>+CONSUMPTION!H31*CONSUMPTION!$B31</f>
        <v>536</v>
      </c>
      <c r="I31" s="221">
        <f>+CONSUMPTION!I31*CONSUMPTION!$B31</f>
        <v>593</v>
      </c>
      <c r="J31" s="221">
        <f>+CONSUMPTION!J31*CONSUMPTION!$B31</f>
        <v>673</v>
      </c>
      <c r="K31" s="221">
        <f>+CONSUMPTION!K31*CONSUMPTION!$B31</f>
        <v>1039</v>
      </c>
      <c r="L31" s="221">
        <f>+CONSUMPTION!L31*CONSUMPTION!$B31</f>
        <v>1134</v>
      </c>
      <c r="M31" s="221">
        <f>+CONSUMPTION!M31*CONSUMPTION!$B31</f>
        <v>1160</v>
      </c>
      <c r="N31" s="221">
        <f>+CONSUMPTION!N31*CONSUMPTION!$B31</f>
        <v>1202</v>
      </c>
      <c r="O31" s="221">
        <f>+CONSUMPTION!O31*CONSUMPTION!$B31</f>
        <v>1025</v>
      </c>
      <c r="P31" s="221">
        <f>+CONSUMPTION!P31*CONSUMPTION!$B31</f>
        <v>691</v>
      </c>
      <c r="Q31" s="221">
        <f>+CONSUMPTION!Q31*CONSUMPTION!$B31</f>
        <v>603</v>
      </c>
    </row>
    <row r="32" spans="1:18" ht="15" x14ac:dyDescent="0.25">
      <c r="A32" s="1" t="s">
        <v>10</v>
      </c>
      <c r="B32" s="135">
        <f>+CONSUMPTION!B32</f>
        <v>1.15E-2</v>
      </c>
      <c r="C32" s="150">
        <f>+CONSUMPTION!D32</f>
        <v>2400</v>
      </c>
      <c r="D32" s="154">
        <f>+CONSUMPTION!E32</f>
        <v>1718200</v>
      </c>
      <c r="E32" s="155">
        <f t="shared" si="0"/>
        <v>19759.299999999996</v>
      </c>
      <c r="F32" s="221">
        <f>+CONSUMPTION!F32*CONSUMPTION!$B32</f>
        <v>733.69999999999993</v>
      </c>
      <c r="G32" s="221">
        <f>+CONSUMPTION!G32*CONSUMPTION!$B32</f>
        <v>719.9</v>
      </c>
      <c r="H32" s="221">
        <f>+CONSUMPTION!H32*CONSUMPTION!$B32</f>
        <v>561.20000000000005</v>
      </c>
      <c r="I32" s="221">
        <f>+CONSUMPTION!I32*CONSUMPTION!$B32</f>
        <v>838.35</v>
      </c>
      <c r="J32" s="221">
        <f>+CONSUMPTION!J32*CONSUMPTION!$B32</f>
        <v>908.5</v>
      </c>
      <c r="K32" s="221">
        <f>+CONSUMPTION!K32*CONSUMPTION!$B32</f>
        <v>2317.25</v>
      </c>
      <c r="L32" s="221">
        <f>+CONSUMPTION!L32*CONSUMPTION!$B32</f>
        <v>2852</v>
      </c>
      <c r="M32" s="221">
        <f>+CONSUMPTION!M32*CONSUMPTION!$B32</f>
        <v>3211.95</v>
      </c>
      <c r="N32" s="221">
        <f>+CONSUMPTION!N32*CONSUMPTION!$B32</f>
        <v>3443.1</v>
      </c>
      <c r="O32" s="221">
        <f>+CONSUMPTION!O32*CONSUMPTION!$B32</f>
        <v>2202.25</v>
      </c>
      <c r="P32" s="221">
        <f>+CONSUMPTION!P32*CONSUMPTION!$B32</f>
        <v>1123.55</v>
      </c>
      <c r="Q32" s="221">
        <f>+CONSUMPTION!Q32*CONSUMPTION!$B32</f>
        <v>847.55</v>
      </c>
    </row>
    <row r="33" spans="1:18" ht="15" x14ac:dyDescent="0.25">
      <c r="A33" s="1" t="s">
        <v>10</v>
      </c>
      <c r="B33" s="135">
        <f>+CONSUMPTION!B33</f>
        <v>2.4199999999999999E-2</v>
      </c>
      <c r="C33" s="150">
        <f>+CONSUMPTION!D33</f>
        <v>999999999</v>
      </c>
      <c r="D33" s="154">
        <f>+CONSUMPTION!E33</f>
        <v>1934700</v>
      </c>
      <c r="E33" s="155">
        <f t="shared" si="0"/>
        <v>46819.74</v>
      </c>
      <c r="F33" s="221">
        <f>+CONSUMPTION!F33*CONSUMPTION!$B33</f>
        <v>1154.3399999999999</v>
      </c>
      <c r="G33" s="221">
        <f>+CONSUMPTION!G33*CONSUMPTION!$B33</f>
        <v>4297.92</v>
      </c>
      <c r="H33" s="221">
        <f>+CONSUMPTION!H33*CONSUMPTION!$B33</f>
        <v>220.22</v>
      </c>
      <c r="I33" s="221">
        <f>+CONSUMPTION!I33*CONSUMPTION!$B33</f>
        <v>1493.1399999999999</v>
      </c>
      <c r="J33" s="221">
        <f>+CONSUMPTION!J33*CONSUMPTION!$B33</f>
        <v>544.5</v>
      </c>
      <c r="K33" s="221">
        <f>+CONSUMPTION!K33*CONSUMPTION!$B33</f>
        <v>3574.3399999999997</v>
      </c>
      <c r="L33" s="221">
        <f>+CONSUMPTION!L33*CONSUMPTION!$B33</f>
        <v>7339.86</v>
      </c>
      <c r="M33" s="221">
        <f>+CONSUMPTION!M33*CONSUMPTION!$B33</f>
        <v>9075</v>
      </c>
      <c r="N33" s="221">
        <f>+CONSUMPTION!N33*CONSUMPTION!$B33</f>
        <v>11388.52</v>
      </c>
      <c r="O33" s="221">
        <f>+CONSUMPTION!O33*CONSUMPTION!$B33</f>
        <v>4697.22</v>
      </c>
      <c r="P33" s="221">
        <f>+CONSUMPTION!P33*CONSUMPTION!$B33</f>
        <v>2144.12</v>
      </c>
      <c r="Q33" s="221">
        <f>+CONSUMPTION!Q33*CONSUMPTION!$B33</f>
        <v>890.56</v>
      </c>
      <c r="R33" s="85"/>
    </row>
    <row r="34" spans="1:18" ht="15" x14ac:dyDescent="0.25">
      <c r="A34" s="1" t="s">
        <v>11</v>
      </c>
      <c r="B34" s="135">
        <f>+CONSUMPTION!B34</f>
        <v>0.01</v>
      </c>
      <c r="C34" s="150">
        <f>+CONSUMPTION!D34</f>
        <v>1500</v>
      </c>
      <c r="D34" s="154">
        <f>+CONSUMPTION!E34</f>
        <v>1476900</v>
      </c>
      <c r="E34" s="155">
        <f t="shared" si="0"/>
        <v>14769</v>
      </c>
      <c r="F34" s="221">
        <f>+CONSUMPTION!F34*CONSUMPTION!$B34</f>
        <v>859</v>
      </c>
      <c r="G34" s="221">
        <f>+CONSUMPTION!G34*CONSUMPTION!$B34</f>
        <v>851</v>
      </c>
      <c r="H34" s="221">
        <f>+CONSUMPTION!H34*CONSUMPTION!$B34</f>
        <v>841</v>
      </c>
      <c r="I34" s="221">
        <f>+CONSUMPTION!I34*CONSUMPTION!$B34</f>
        <v>890</v>
      </c>
      <c r="J34" s="221">
        <f>+CONSUMPTION!J34*CONSUMPTION!$B34</f>
        <v>992</v>
      </c>
      <c r="K34" s="221">
        <f>+CONSUMPTION!K34*CONSUMPTION!$B34</f>
        <v>1469</v>
      </c>
      <c r="L34" s="221">
        <f>+CONSUMPTION!L34*CONSUMPTION!$B34</f>
        <v>1795</v>
      </c>
      <c r="M34" s="221">
        <f>+CONSUMPTION!M34*CONSUMPTION!$B34</f>
        <v>1792</v>
      </c>
      <c r="N34" s="221">
        <f>+CONSUMPTION!N34*CONSUMPTION!$B34</f>
        <v>1834</v>
      </c>
      <c r="O34" s="221">
        <f>+CONSUMPTION!O34*CONSUMPTION!$B34</f>
        <v>1456</v>
      </c>
      <c r="P34" s="221">
        <f>+CONSUMPTION!P34*CONSUMPTION!$B34</f>
        <v>1091</v>
      </c>
      <c r="Q34" s="221">
        <f>+CONSUMPTION!Q34*CONSUMPTION!$B34</f>
        <v>899</v>
      </c>
    </row>
    <row r="35" spans="1:18" ht="15" x14ac:dyDescent="0.25">
      <c r="A35" s="1" t="s">
        <v>11</v>
      </c>
      <c r="B35" s="135">
        <f>+CONSUMPTION!B35</f>
        <v>1.15E-2</v>
      </c>
      <c r="C35" s="150">
        <f>+CONSUMPTION!D35</f>
        <v>6000</v>
      </c>
      <c r="D35" s="154">
        <f>+CONSUMPTION!E35</f>
        <v>2470700</v>
      </c>
      <c r="E35" s="155">
        <f t="shared" si="0"/>
        <v>28413.05</v>
      </c>
      <c r="F35" s="221">
        <f>+CONSUMPTION!F35*CONSUMPTION!$B35</f>
        <v>1159.2</v>
      </c>
      <c r="G35" s="221">
        <f>+CONSUMPTION!G35*CONSUMPTION!$B35</f>
        <v>980.94999999999993</v>
      </c>
      <c r="H35" s="221">
        <f>+CONSUMPTION!H35*CONSUMPTION!$B35</f>
        <v>975.19999999999993</v>
      </c>
      <c r="I35" s="221">
        <f>+CONSUMPTION!I35*CONSUMPTION!$B35</f>
        <v>1148.8499999999999</v>
      </c>
      <c r="J35" s="221">
        <f>+CONSUMPTION!J35*CONSUMPTION!$B35</f>
        <v>1307.55</v>
      </c>
      <c r="K35" s="221">
        <f>+CONSUMPTION!K35*CONSUMPTION!$B35</f>
        <v>3217.7</v>
      </c>
      <c r="L35" s="221">
        <f>+CONSUMPTION!L35*CONSUMPTION!$B35</f>
        <v>4844.95</v>
      </c>
      <c r="M35" s="221">
        <f>+CONSUMPTION!M35*CONSUMPTION!$B35</f>
        <v>4977.2</v>
      </c>
      <c r="N35" s="221">
        <f>+CONSUMPTION!N35*CONSUMPTION!$B35</f>
        <v>5108.3</v>
      </c>
      <c r="O35" s="221">
        <f>+CONSUMPTION!O35*CONSUMPTION!$B35</f>
        <v>2321.85</v>
      </c>
      <c r="P35" s="221">
        <f>+CONSUMPTION!P35*CONSUMPTION!$B35</f>
        <v>1361.6</v>
      </c>
      <c r="Q35" s="221">
        <f>+CONSUMPTION!Q35*CONSUMPTION!$B35</f>
        <v>1009.6999999999999</v>
      </c>
    </row>
    <row r="36" spans="1:18" ht="15" x14ac:dyDescent="0.25">
      <c r="A36" s="1" t="s">
        <v>11</v>
      </c>
      <c r="B36" s="135">
        <f>+CONSUMPTION!B36</f>
        <v>2.4199999999999999E-2</v>
      </c>
      <c r="C36" s="150">
        <f>+CONSUMPTION!D36</f>
        <v>999999999</v>
      </c>
      <c r="D36" s="154">
        <f>+CONSUMPTION!E36</f>
        <v>2330700</v>
      </c>
      <c r="E36" s="155">
        <f t="shared" si="0"/>
        <v>56402.939999999995</v>
      </c>
      <c r="F36" s="221">
        <f>+CONSUMPTION!F36*CONSUMPTION!$B36</f>
        <v>892.98</v>
      </c>
      <c r="G36" s="221">
        <f>+CONSUMPTION!G36*CONSUMPTION!$B36</f>
        <v>834.9</v>
      </c>
      <c r="H36" s="221">
        <f>+CONSUMPTION!H36*CONSUMPTION!$B36</f>
        <v>713.9</v>
      </c>
      <c r="I36" s="221">
        <f>+CONSUMPTION!I36*CONSUMPTION!$B36</f>
        <v>1188.22</v>
      </c>
      <c r="J36" s="221">
        <f>+CONSUMPTION!J36*CONSUMPTION!$B36</f>
        <v>1326.1599999999999</v>
      </c>
      <c r="K36" s="221">
        <f>+CONSUMPTION!K36*CONSUMPTION!$B36</f>
        <v>4982.78</v>
      </c>
      <c r="L36" s="221">
        <f>+CONSUMPTION!L36*CONSUMPTION!$B36</f>
        <v>9762.2799999999988</v>
      </c>
      <c r="M36" s="221">
        <f>+CONSUMPTION!M36*CONSUMPTION!$B36</f>
        <v>15250.84</v>
      </c>
      <c r="N36" s="221">
        <f>+CONSUMPTION!N36*CONSUMPTION!$B36</f>
        <v>18021.739999999998</v>
      </c>
      <c r="O36" s="221">
        <f>+CONSUMPTION!O36*CONSUMPTION!$B36</f>
        <v>2369.1799999999998</v>
      </c>
      <c r="P36" s="221">
        <f>+CONSUMPTION!P36*CONSUMPTION!$B36</f>
        <v>713.9</v>
      </c>
      <c r="Q36" s="221">
        <f>+CONSUMPTION!Q36*CONSUMPTION!$B36</f>
        <v>346.06</v>
      </c>
      <c r="R36" s="85"/>
    </row>
    <row r="37" spans="1:18" ht="15" x14ac:dyDescent="0.25">
      <c r="A37" s="1" t="s">
        <v>12</v>
      </c>
      <c r="B37" s="135">
        <f>+CONSUMPTION!B37</f>
        <v>0.01</v>
      </c>
      <c r="C37" s="150">
        <f>+CONSUMPTION!D37</f>
        <v>3000</v>
      </c>
      <c r="D37" s="154">
        <f>+CONSUMPTION!E37</f>
        <v>542700</v>
      </c>
      <c r="E37" s="155">
        <f t="shared" si="0"/>
        <v>5427</v>
      </c>
      <c r="F37" s="221">
        <f>+CONSUMPTION!F37*CONSUMPTION!$B37</f>
        <v>253</v>
      </c>
      <c r="G37" s="221">
        <f>+CONSUMPTION!G37*CONSUMPTION!$B37</f>
        <v>234</v>
      </c>
      <c r="H37" s="221">
        <f>+CONSUMPTION!H37*CONSUMPTION!$B37</f>
        <v>179</v>
      </c>
      <c r="I37" s="221">
        <f>+CONSUMPTION!I37*CONSUMPTION!$B37</f>
        <v>277</v>
      </c>
      <c r="J37" s="221">
        <f>+CONSUMPTION!J37*CONSUMPTION!$B37</f>
        <v>294</v>
      </c>
      <c r="K37" s="221">
        <f>+CONSUMPTION!K37*CONSUMPTION!$B37</f>
        <v>703</v>
      </c>
      <c r="L37" s="221">
        <f>+CONSUMPTION!L37*CONSUMPTION!$B37</f>
        <v>770</v>
      </c>
      <c r="M37" s="221">
        <f>+CONSUMPTION!M37*CONSUMPTION!$B37</f>
        <v>798</v>
      </c>
      <c r="N37" s="221">
        <f>+CONSUMPTION!N37*CONSUMPTION!$B37</f>
        <v>786</v>
      </c>
      <c r="O37" s="221">
        <f>+CONSUMPTION!O37*CONSUMPTION!$B37</f>
        <v>594</v>
      </c>
      <c r="P37" s="221">
        <f>+CONSUMPTION!P37*CONSUMPTION!$B37</f>
        <v>290</v>
      </c>
      <c r="Q37" s="221">
        <f>+CONSUMPTION!Q37*CONSUMPTION!$B37</f>
        <v>249</v>
      </c>
    </row>
    <row r="38" spans="1:18" ht="15" x14ac:dyDescent="0.25">
      <c r="A38" s="1" t="s">
        <v>12</v>
      </c>
      <c r="B38" s="135">
        <f>+CONSUMPTION!B38</f>
        <v>1.15E-2</v>
      </c>
      <c r="C38" s="150">
        <f>+CONSUMPTION!D38</f>
        <v>12000</v>
      </c>
      <c r="D38" s="154">
        <f>+CONSUMPTION!E38</f>
        <v>958200</v>
      </c>
      <c r="E38" s="155">
        <f t="shared" si="0"/>
        <v>11019.3</v>
      </c>
      <c r="F38" s="221">
        <f>+CONSUMPTION!F38*CONSUMPTION!$B38</f>
        <v>240.35</v>
      </c>
      <c r="G38" s="221">
        <f>+CONSUMPTION!G38*CONSUMPTION!$B38</f>
        <v>124.2</v>
      </c>
      <c r="H38" s="221">
        <f>+CONSUMPTION!H38*CONSUMPTION!$B38</f>
        <v>104.64999999999999</v>
      </c>
      <c r="I38" s="221">
        <f>+CONSUMPTION!I38*CONSUMPTION!$B38</f>
        <v>149.5</v>
      </c>
      <c r="J38" s="221">
        <f>+CONSUMPTION!J38*CONSUMPTION!$B38</f>
        <v>115</v>
      </c>
      <c r="K38" s="221">
        <f>+CONSUMPTION!K38*CONSUMPTION!$B38</f>
        <v>1727.3</v>
      </c>
      <c r="L38" s="221">
        <f>+CONSUMPTION!L38*CONSUMPTION!$B38</f>
        <v>2053.9</v>
      </c>
      <c r="M38" s="221">
        <f>+CONSUMPTION!M38*CONSUMPTION!$B38</f>
        <v>2226.4</v>
      </c>
      <c r="N38" s="221">
        <f>+CONSUMPTION!N38*CONSUMPTION!$B38</f>
        <v>2427.65</v>
      </c>
      <c r="O38" s="221">
        <f>+CONSUMPTION!O38*CONSUMPTION!$B38</f>
        <v>1449</v>
      </c>
      <c r="P38" s="221">
        <f>+CONSUMPTION!P38*CONSUMPTION!$B38</f>
        <v>133.4</v>
      </c>
      <c r="Q38" s="221">
        <f>+CONSUMPTION!Q38*CONSUMPTION!$B38</f>
        <v>267.95</v>
      </c>
    </row>
    <row r="39" spans="1:18" ht="15" x14ac:dyDescent="0.25">
      <c r="A39" s="1" t="s">
        <v>12</v>
      </c>
      <c r="B39" s="135">
        <f>+CONSUMPTION!B39</f>
        <v>2.4199999999999999E-2</v>
      </c>
      <c r="C39" s="150">
        <f>+CONSUMPTION!D39</f>
        <v>999999999</v>
      </c>
      <c r="D39" s="154">
        <f>+CONSUMPTION!E39</f>
        <v>1435500</v>
      </c>
      <c r="E39" s="155">
        <f t="shared" si="0"/>
        <v>34739.099999999991</v>
      </c>
      <c r="F39" s="221">
        <f>+CONSUMPTION!F39*CONSUMPTION!$B39</f>
        <v>0</v>
      </c>
      <c r="G39" s="221">
        <f>+CONSUMPTION!G39*CONSUMPTION!$B39</f>
        <v>0</v>
      </c>
      <c r="H39" s="221">
        <f>+CONSUMPTION!H39*CONSUMPTION!$B39</f>
        <v>0</v>
      </c>
      <c r="I39" s="221">
        <f>+CONSUMPTION!I39*CONSUMPTION!$B39</f>
        <v>0</v>
      </c>
      <c r="J39" s="221">
        <f>+CONSUMPTION!J39*CONSUMPTION!$B39</f>
        <v>0</v>
      </c>
      <c r="K39" s="221">
        <f>+CONSUMPTION!K39*CONSUMPTION!$B39</f>
        <v>3017.74</v>
      </c>
      <c r="L39" s="221">
        <f>+CONSUMPTION!L39*CONSUMPTION!$B39</f>
        <v>6964.76</v>
      </c>
      <c r="M39" s="221">
        <f>+CONSUMPTION!M39*CONSUMPTION!$B39</f>
        <v>8915.2799999999988</v>
      </c>
      <c r="N39" s="221">
        <f>+CONSUMPTION!N39*CONSUMPTION!$B39</f>
        <v>13343.88</v>
      </c>
      <c r="O39" s="221">
        <f>+CONSUMPTION!O39*CONSUMPTION!$B39</f>
        <v>2422.42</v>
      </c>
      <c r="P39" s="221">
        <f>+CONSUMPTION!P39*CONSUMPTION!$B39</f>
        <v>0</v>
      </c>
      <c r="Q39" s="221">
        <f>+CONSUMPTION!Q39*CONSUMPTION!$B39</f>
        <v>75.02</v>
      </c>
      <c r="R39" s="85"/>
    </row>
    <row r="40" spans="1:18" ht="15" x14ac:dyDescent="0.25">
      <c r="A40" s="1" t="s">
        <v>13</v>
      </c>
      <c r="B40" s="135">
        <f>+CONSUMPTION!B40</f>
        <v>0.01</v>
      </c>
      <c r="C40" s="150">
        <f>+CONSUMPTION!D40</f>
        <v>4800</v>
      </c>
      <c r="D40" s="154">
        <f>+CONSUMPTION!E40</f>
        <v>4072300</v>
      </c>
      <c r="E40" s="155">
        <f t="shared" si="0"/>
        <v>40723</v>
      </c>
      <c r="F40" s="221">
        <f>+CONSUMPTION!F40*CONSUMPTION!$B40</f>
        <v>2791</v>
      </c>
      <c r="G40" s="221">
        <f>+CONSUMPTION!G40*CONSUMPTION!$B40</f>
        <v>2943</v>
      </c>
      <c r="H40" s="221">
        <f>+CONSUMPTION!H40*CONSUMPTION!$B40</f>
        <v>2584</v>
      </c>
      <c r="I40" s="221">
        <f>+CONSUMPTION!I40*CONSUMPTION!$B40</f>
        <v>3033</v>
      </c>
      <c r="J40" s="221">
        <f>+CONSUMPTION!J40*CONSUMPTION!$B40</f>
        <v>3196</v>
      </c>
      <c r="K40" s="221">
        <f>+CONSUMPTION!K40*CONSUMPTION!$B40</f>
        <v>4021</v>
      </c>
      <c r="L40" s="221">
        <f>+CONSUMPTION!L40*CONSUMPTION!$B40</f>
        <v>3982</v>
      </c>
      <c r="M40" s="221">
        <f>+CONSUMPTION!M40*CONSUMPTION!$B40</f>
        <v>3845</v>
      </c>
      <c r="N40" s="221">
        <f>+CONSUMPTION!N40*CONSUMPTION!$B40</f>
        <v>4115</v>
      </c>
      <c r="O40" s="221">
        <f>+CONSUMPTION!O40*CONSUMPTION!$B40</f>
        <v>3712</v>
      </c>
      <c r="P40" s="221">
        <f>+CONSUMPTION!P40*CONSUMPTION!$B40</f>
        <v>3258</v>
      </c>
      <c r="Q40" s="221">
        <f>+CONSUMPTION!Q40*CONSUMPTION!$B40</f>
        <v>3243</v>
      </c>
    </row>
    <row r="41" spans="1:18" ht="15" x14ac:dyDescent="0.25">
      <c r="A41" s="1" t="s">
        <v>13</v>
      </c>
      <c r="B41" s="135">
        <f>+CONSUMPTION!B41</f>
        <v>1.15E-2</v>
      </c>
      <c r="C41" s="150">
        <f>+CONSUMPTION!D41</f>
        <v>19200</v>
      </c>
      <c r="D41" s="154">
        <f>+CONSUMPTION!E41</f>
        <v>5118600</v>
      </c>
      <c r="E41" s="155">
        <f t="shared" si="0"/>
        <v>58863.899999999994</v>
      </c>
      <c r="F41" s="221">
        <f>+CONSUMPTION!F41*CONSUMPTION!$B41</f>
        <v>3232.65</v>
      </c>
      <c r="G41" s="221">
        <f>+CONSUMPTION!G41*CONSUMPTION!$B41</f>
        <v>3381</v>
      </c>
      <c r="H41" s="221">
        <f>+CONSUMPTION!H41*CONSUMPTION!$B41</f>
        <v>2747.35</v>
      </c>
      <c r="I41" s="221">
        <f>+CONSUMPTION!I41*CONSUMPTION!$B41</f>
        <v>3865.15</v>
      </c>
      <c r="J41" s="221">
        <f>+CONSUMPTION!J41*CONSUMPTION!$B41</f>
        <v>4157.25</v>
      </c>
      <c r="K41" s="221">
        <f>+CONSUMPTION!K41*CONSUMPTION!$B41</f>
        <v>6828.7</v>
      </c>
      <c r="L41" s="221">
        <f>+CONSUMPTION!L41*CONSUMPTION!$B41</f>
        <v>7759.05</v>
      </c>
      <c r="M41" s="221">
        <f>+CONSUMPTION!M41*CONSUMPTION!$B41</f>
        <v>7341.5999999999995</v>
      </c>
      <c r="N41" s="221">
        <f>+CONSUMPTION!N41*CONSUMPTION!$B41</f>
        <v>7878.65</v>
      </c>
      <c r="O41" s="221">
        <f>+CONSUMPTION!O41*CONSUMPTION!$B41</f>
        <v>4379.2</v>
      </c>
      <c r="P41" s="221">
        <f>+CONSUMPTION!P41*CONSUMPTION!$B41</f>
        <v>3775.45</v>
      </c>
      <c r="Q41" s="221">
        <f>+CONSUMPTION!Q41*CONSUMPTION!$B41</f>
        <v>3517.85</v>
      </c>
    </row>
    <row r="42" spans="1:18" ht="15" x14ac:dyDescent="0.25">
      <c r="A42" s="1" t="s">
        <v>13</v>
      </c>
      <c r="B42" s="135">
        <f>+CONSUMPTION!B42</f>
        <v>2.4199999999999999E-2</v>
      </c>
      <c r="C42" s="150">
        <f>+CONSUMPTION!D42</f>
        <v>999999999</v>
      </c>
      <c r="D42" s="154">
        <f>+CONSUMPTION!E42</f>
        <v>4374600</v>
      </c>
      <c r="E42" s="155">
        <f t="shared" si="0"/>
        <v>105865.32</v>
      </c>
      <c r="F42" s="221">
        <f>+CONSUMPTION!F42*CONSUMPTION!$B42</f>
        <v>808.28</v>
      </c>
      <c r="G42" s="221">
        <f>+CONSUMPTION!G42*CONSUMPTION!$B42</f>
        <v>2347.4</v>
      </c>
      <c r="H42" s="221">
        <f>+CONSUMPTION!H42*CONSUMPTION!$B42</f>
        <v>3146</v>
      </c>
      <c r="I42" s="221">
        <f>+CONSUMPTION!I42*CONSUMPTION!$B42</f>
        <v>3148.42</v>
      </c>
      <c r="J42" s="221">
        <f>+CONSUMPTION!J42*CONSUMPTION!$B42</f>
        <v>3538.04</v>
      </c>
      <c r="K42" s="221">
        <f>+CONSUMPTION!K42*CONSUMPTION!$B42</f>
        <v>13610.08</v>
      </c>
      <c r="L42" s="221">
        <f>+CONSUMPTION!L42*CONSUMPTION!$B42</f>
        <v>20645.02</v>
      </c>
      <c r="M42" s="221">
        <f>+CONSUMPTION!M42*CONSUMPTION!$B42</f>
        <v>25192.2</v>
      </c>
      <c r="N42" s="221">
        <f>+CONSUMPTION!N42*CONSUMPTION!$B42</f>
        <v>24454.1</v>
      </c>
      <c r="O42" s="221">
        <f>+CONSUMPTION!O42*CONSUMPTION!$B42</f>
        <v>3271.8399999999997</v>
      </c>
      <c r="P42" s="221">
        <f>+CONSUMPTION!P42*CONSUMPTION!$B42</f>
        <v>2860.44</v>
      </c>
      <c r="Q42" s="221">
        <f>+CONSUMPTION!Q42*CONSUMPTION!$B42</f>
        <v>2843.5</v>
      </c>
      <c r="R42" s="85"/>
    </row>
    <row r="43" spans="1:18" ht="15" x14ac:dyDescent="0.25">
      <c r="A43" s="1" t="s">
        <v>14</v>
      </c>
      <c r="B43" s="135">
        <f>+CONSUMPTION!B43</f>
        <v>0.01</v>
      </c>
      <c r="C43" s="150">
        <f>+CONSUMPTION!D43</f>
        <v>9000</v>
      </c>
      <c r="D43" s="154">
        <f>+CONSUMPTION!E43</f>
        <v>1345600</v>
      </c>
      <c r="E43" s="155">
        <f t="shared" si="0"/>
        <v>13456</v>
      </c>
      <c r="F43" s="221">
        <f>+CONSUMPTION!F43*CONSUMPTION!$B43</f>
        <v>841</v>
      </c>
      <c r="G43" s="221">
        <f>+CONSUMPTION!G43*CONSUMPTION!$B43</f>
        <v>1086</v>
      </c>
      <c r="H43" s="221">
        <f>+CONSUMPTION!H43*CONSUMPTION!$B43</f>
        <v>979</v>
      </c>
      <c r="I43" s="221">
        <f>+CONSUMPTION!I43*CONSUMPTION!$B43</f>
        <v>1132</v>
      </c>
      <c r="J43" s="221">
        <f>+CONSUMPTION!J43*CONSUMPTION!$B43</f>
        <v>1195</v>
      </c>
      <c r="K43" s="221">
        <f>+CONSUMPTION!K43*CONSUMPTION!$B43</f>
        <v>1304</v>
      </c>
      <c r="L43" s="221">
        <f>+CONSUMPTION!L43*CONSUMPTION!$B43</f>
        <v>1166</v>
      </c>
      <c r="M43" s="221">
        <f>+CONSUMPTION!M43*CONSUMPTION!$B43</f>
        <v>1026</v>
      </c>
      <c r="N43" s="221">
        <f>+CONSUMPTION!N43*CONSUMPTION!$B43</f>
        <v>1184</v>
      </c>
      <c r="O43" s="221">
        <f>+CONSUMPTION!O43*CONSUMPTION!$B43</f>
        <v>1179</v>
      </c>
      <c r="P43" s="221">
        <f>+CONSUMPTION!P43*CONSUMPTION!$B43</f>
        <v>1202</v>
      </c>
      <c r="Q43" s="221">
        <f>+CONSUMPTION!Q43*CONSUMPTION!$B43</f>
        <v>1162</v>
      </c>
    </row>
    <row r="44" spans="1:18" ht="15" x14ac:dyDescent="0.25">
      <c r="A44" s="1" t="s">
        <v>14</v>
      </c>
      <c r="B44" s="135">
        <f>+CONSUMPTION!B44</f>
        <v>1.15E-2</v>
      </c>
      <c r="C44" s="150">
        <f>+CONSUMPTION!D44</f>
        <v>36000</v>
      </c>
      <c r="D44" s="154">
        <f>+CONSUMPTION!E44</f>
        <v>1823500</v>
      </c>
      <c r="E44" s="155">
        <f t="shared" si="0"/>
        <v>20970.25</v>
      </c>
      <c r="F44" s="221">
        <f>+CONSUMPTION!F44*CONSUMPTION!$B44</f>
        <v>1083.3</v>
      </c>
      <c r="G44" s="221">
        <f>+CONSUMPTION!G44*CONSUMPTION!$B44</f>
        <v>1135.05</v>
      </c>
      <c r="H44" s="221">
        <f>+CONSUMPTION!H44*CONSUMPTION!$B44</f>
        <v>1286.8499999999999</v>
      </c>
      <c r="I44" s="221">
        <f>+CONSUMPTION!I44*CONSUMPTION!$B44</f>
        <v>1711.2</v>
      </c>
      <c r="J44" s="221">
        <f>+CONSUMPTION!J44*CONSUMPTION!$B44</f>
        <v>2038.95</v>
      </c>
      <c r="K44" s="221">
        <f>+CONSUMPTION!K44*CONSUMPTION!$B44</f>
        <v>2498.9499999999998</v>
      </c>
      <c r="L44" s="221">
        <f>+CONSUMPTION!L44*CONSUMPTION!$B44</f>
        <v>2159.6999999999998</v>
      </c>
      <c r="M44" s="221">
        <f>+CONSUMPTION!M44*CONSUMPTION!$B44</f>
        <v>2237.9</v>
      </c>
      <c r="N44" s="221">
        <f>+CONSUMPTION!N44*CONSUMPTION!$B44</f>
        <v>2639.25</v>
      </c>
      <c r="O44" s="221">
        <f>+CONSUMPTION!O44*CONSUMPTION!$B44</f>
        <v>1223.5999999999999</v>
      </c>
      <c r="P44" s="221">
        <f>+CONSUMPTION!P44*CONSUMPTION!$B44</f>
        <v>1493.85</v>
      </c>
      <c r="Q44" s="221">
        <f>+CONSUMPTION!Q44*CONSUMPTION!$B44</f>
        <v>1461.6499999999999</v>
      </c>
    </row>
    <row r="45" spans="1:18" ht="15" x14ac:dyDescent="0.25">
      <c r="A45" s="1" t="s">
        <v>14</v>
      </c>
      <c r="B45" s="135">
        <f>+CONSUMPTION!B45</f>
        <v>2.4199999999999999E-2</v>
      </c>
      <c r="C45" s="150">
        <f>+CONSUMPTION!D45</f>
        <v>999999999</v>
      </c>
      <c r="D45" s="154">
        <f>+CONSUMPTION!E45</f>
        <v>731300</v>
      </c>
      <c r="E45" s="155">
        <f t="shared" si="0"/>
        <v>17697.46</v>
      </c>
      <c r="F45" s="221">
        <f>+CONSUMPTION!F45*CONSUMPTION!$B45</f>
        <v>309.76</v>
      </c>
      <c r="G45" s="221">
        <f>+CONSUMPTION!G45*CONSUMPTION!$B45</f>
        <v>0</v>
      </c>
      <c r="H45" s="221">
        <f>+CONSUMPTION!H45*CONSUMPTION!$B45</f>
        <v>0</v>
      </c>
      <c r="I45" s="221">
        <f>+CONSUMPTION!I45*CONSUMPTION!$B45</f>
        <v>0</v>
      </c>
      <c r="J45" s="221">
        <f>+CONSUMPTION!J45*CONSUMPTION!$B45</f>
        <v>1212.42</v>
      </c>
      <c r="K45" s="221">
        <f>+CONSUMPTION!K45*CONSUMPTION!$B45</f>
        <v>5425.6399999999994</v>
      </c>
      <c r="L45" s="221">
        <f>+CONSUMPTION!L45*CONSUMPTION!$B45</f>
        <v>2599.08</v>
      </c>
      <c r="M45" s="221">
        <f>+CONSUMPTION!M45*CONSUMPTION!$B45</f>
        <v>3063.72</v>
      </c>
      <c r="N45" s="221">
        <f>+CONSUMPTION!N45*CONSUMPTION!$B45</f>
        <v>4547.18</v>
      </c>
      <c r="O45" s="221">
        <f>+CONSUMPTION!O45*CONSUMPTION!$B45</f>
        <v>193.6</v>
      </c>
      <c r="P45" s="221">
        <f>+CONSUMPTION!P45*CONSUMPTION!$B45</f>
        <v>346.06</v>
      </c>
      <c r="Q45" s="221">
        <f>+CONSUMPTION!Q45*CONSUMPTION!$B45</f>
        <v>0</v>
      </c>
      <c r="R45" s="85"/>
    </row>
    <row r="46" spans="1:18" ht="15" x14ac:dyDescent="0.25">
      <c r="A46" s="117" t="s">
        <v>61</v>
      </c>
      <c r="B46" s="135">
        <f>+CONSUMPTION!B46</f>
        <v>0.01</v>
      </c>
      <c r="C46" s="150">
        <f>+CONSUMPTION!D46</f>
        <v>15000</v>
      </c>
      <c r="D46" s="154">
        <f>+CONSUMPTION!E46</f>
        <v>181100</v>
      </c>
      <c r="E46" s="155">
        <f t="shared" si="0"/>
        <v>1811</v>
      </c>
      <c r="F46" s="221">
        <f>+CONSUMPTION!F46*CONSUMPTION!$B46</f>
        <v>149</v>
      </c>
      <c r="G46" s="221">
        <f>+CONSUMPTION!G46*CONSUMPTION!$B46</f>
        <v>151</v>
      </c>
      <c r="H46" s="221">
        <f>+CONSUMPTION!H46*CONSUMPTION!$B46</f>
        <v>151</v>
      </c>
      <c r="I46" s="221">
        <f>+CONSUMPTION!I46*CONSUMPTION!$B46</f>
        <v>151</v>
      </c>
      <c r="J46" s="221">
        <f>+CONSUMPTION!J46*CONSUMPTION!$B46</f>
        <v>151</v>
      </c>
      <c r="K46" s="221">
        <f>+CONSUMPTION!K46*CONSUMPTION!$B46</f>
        <v>153</v>
      </c>
      <c r="L46" s="221">
        <f>+CONSUMPTION!L46*CONSUMPTION!$B46</f>
        <v>152</v>
      </c>
      <c r="M46" s="221">
        <f>+CONSUMPTION!M46*CONSUMPTION!$B46</f>
        <v>152</v>
      </c>
      <c r="N46" s="221">
        <f>+CONSUMPTION!N46*CONSUMPTION!$B46</f>
        <v>151</v>
      </c>
      <c r="O46" s="221">
        <f>+CONSUMPTION!O46*CONSUMPTION!$B46</f>
        <v>150</v>
      </c>
      <c r="P46" s="221">
        <f>+CONSUMPTION!P46*CONSUMPTION!$B46</f>
        <v>150</v>
      </c>
      <c r="Q46" s="221">
        <f>+CONSUMPTION!Q46*CONSUMPTION!$B46</f>
        <v>150</v>
      </c>
    </row>
    <row r="47" spans="1:18" ht="15" x14ac:dyDescent="0.25">
      <c r="A47" s="117" t="s">
        <v>61</v>
      </c>
      <c r="B47" s="135">
        <f>+CONSUMPTION!B47</f>
        <v>1.15E-2</v>
      </c>
      <c r="C47" s="150">
        <f>+CONSUMPTION!D47</f>
        <v>60000</v>
      </c>
      <c r="D47" s="154">
        <f>+CONSUMPTION!E47</f>
        <v>367500</v>
      </c>
      <c r="E47" s="155">
        <f t="shared" si="0"/>
        <v>4226.25</v>
      </c>
      <c r="F47" s="221">
        <f>+CONSUMPTION!F47*CONSUMPTION!$B47</f>
        <v>0</v>
      </c>
      <c r="G47" s="221">
        <f>+CONSUMPTION!G47*CONSUMPTION!$B47</f>
        <v>106.95</v>
      </c>
      <c r="H47" s="221">
        <f>+CONSUMPTION!H47*CONSUMPTION!$B47</f>
        <v>31.05</v>
      </c>
      <c r="I47" s="221">
        <f>+CONSUMPTION!I47*CONSUMPTION!$B47</f>
        <v>112.7</v>
      </c>
      <c r="J47" s="221">
        <f>+CONSUMPTION!J47*CONSUMPTION!$B47</f>
        <v>311.64999999999998</v>
      </c>
      <c r="K47" s="221">
        <f>+CONSUMPTION!K47*CONSUMPTION!$B47</f>
        <v>690</v>
      </c>
      <c r="L47" s="221">
        <f>+CONSUMPTION!L47*CONSUMPTION!$B47</f>
        <v>690</v>
      </c>
      <c r="M47" s="221">
        <f>+CONSUMPTION!M47*CONSUMPTION!$B47</f>
        <v>690</v>
      </c>
      <c r="N47" s="221">
        <f>+CONSUMPTION!N47*CONSUMPTION!$B47</f>
        <v>690</v>
      </c>
      <c r="O47" s="221">
        <f>+CONSUMPTION!O47*CONSUMPTION!$B47</f>
        <v>607.20000000000005</v>
      </c>
      <c r="P47" s="221">
        <f>+CONSUMPTION!P47*CONSUMPTION!$B47</f>
        <v>216.2</v>
      </c>
      <c r="Q47" s="221">
        <f>+CONSUMPTION!Q47*CONSUMPTION!$B47</f>
        <v>80.5</v>
      </c>
    </row>
    <row r="48" spans="1:18" ht="15" x14ac:dyDescent="0.25">
      <c r="A48" s="117" t="s">
        <v>61</v>
      </c>
      <c r="B48" s="135">
        <f>+CONSUMPTION!B48</f>
        <v>2.4199999999999999E-2</v>
      </c>
      <c r="C48" s="150">
        <f>+CONSUMPTION!D48</f>
        <v>999999999</v>
      </c>
      <c r="D48" s="154">
        <f>+CONSUMPTION!E48</f>
        <v>707600</v>
      </c>
      <c r="E48" s="155">
        <f t="shared" si="0"/>
        <v>17123.919999999998</v>
      </c>
      <c r="F48" s="221">
        <f>+CONSUMPTION!F48*CONSUMPTION!$B48</f>
        <v>0</v>
      </c>
      <c r="G48" s="221">
        <f>+CONSUMPTION!G48*CONSUMPTION!$B48</f>
        <v>0</v>
      </c>
      <c r="H48" s="221">
        <f>+CONSUMPTION!H48*CONSUMPTION!$B48</f>
        <v>0</v>
      </c>
      <c r="I48" s="221">
        <f>+CONSUMPTION!I48*CONSUMPTION!$B48</f>
        <v>0</v>
      </c>
      <c r="J48" s="221">
        <f>+CONSUMPTION!J48*CONSUMPTION!$B48</f>
        <v>0</v>
      </c>
      <c r="K48" s="221">
        <f>+CONSUMPTION!K48*CONSUMPTION!$B48</f>
        <v>2966.92</v>
      </c>
      <c r="L48" s="221">
        <f>+CONSUMPTION!L48*CONSUMPTION!$B48</f>
        <v>4218.0599999999995</v>
      </c>
      <c r="M48" s="221">
        <f>+CONSUMPTION!M48*CONSUMPTION!$B48</f>
        <v>5219.9399999999996</v>
      </c>
      <c r="N48" s="221">
        <f>+CONSUMPTION!N48*CONSUMPTION!$B48</f>
        <v>4719</v>
      </c>
      <c r="O48" s="221">
        <f>+CONSUMPTION!O48*CONSUMPTION!$B48</f>
        <v>0</v>
      </c>
      <c r="P48" s="221">
        <f>+CONSUMPTION!P48*CONSUMPTION!$B48</f>
        <v>0</v>
      </c>
      <c r="Q48" s="221">
        <f>+CONSUMPTION!Q48*CONSUMPTION!$B48</f>
        <v>0</v>
      </c>
      <c r="R48" s="85"/>
    </row>
    <row r="49" spans="1:18" ht="15" x14ac:dyDescent="0.25">
      <c r="A49" s="1" t="s">
        <v>15</v>
      </c>
      <c r="B49" s="135">
        <f>+CONSUMPTION!B49</f>
        <v>0.01</v>
      </c>
      <c r="C49" s="150">
        <f>+CONSUMPTION!D49</f>
        <v>30000</v>
      </c>
      <c r="D49" s="154">
        <f>+CONSUMPTION!E49</f>
        <v>450500</v>
      </c>
      <c r="E49" s="155">
        <f t="shared" si="0"/>
        <v>4505</v>
      </c>
      <c r="F49" s="221">
        <f>+CONSUMPTION!F49*CONSUMPTION!$B49</f>
        <v>29</v>
      </c>
      <c r="G49" s="221">
        <f>+CONSUMPTION!G49*CONSUMPTION!$B49</f>
        <v>242</v>
      </c>
      <c r="H49" s="221">
        <f>+CONSUMPTION!H49*CONSUMPTION!$B49</f>
        <v>165</v>
      </c>
      <c r="I49" s="221">
        <f>+CONSUMPTION!I49*CONSUMPTION!$B49</f>
        <v>221</v>
      </c>
      <c r="J49" s="221">
        <f>+CONSUMPTION!J49*CONSUMPTION!$B49</f>
        <v>589</v>
      </c>
      <c r="K49" s="221">
        <f>+CONSUMPTION!K49*CONSUMPTION!$B49</f>
        <v>631</v>
      </c>
      <c r="L49" s="221">
        <f>+CONSUMPTION!L49*CONSUMPTION!$B49</f>
        <v>625</v>
      </c>
      <c r="M49" s="221">
        <f>+CONSUMPTION!M49*CONSUMPTION!$B49</f>
        <v>788</v>
      </c>
      <c r="N49" s="221">
        <f>+CONSUMPTION!N49*CONSUMPTION!$B49</f>
        <v>611</v>
      </c>
      <c r="O49" s="221">
        <f>+CONSUMPTION!O49*CONSUMPTION!$B49</f>
        <v>222</v>
      </c>
      <c r="P49" s="221">
        <f>+CONSUMPTION!P49*CONSUMPTION!$B49</f>
        <v>201</v>
      </c>
      <c r="Q49" s="221">
        <f>+CONSUMPTION!Q49*CONSUMPTION!$B49</f>
        <v>181</v>
      </c>
    </row>
    <row r="50" spans="1:18" ht="15" x14ac:dyDescent="0.25">
      <c r="A50" s="1" t="s">
        <v>15</v>
      </c>
      <c r="B50" s="135">
        <f>+CONSUMPTION!B50</f>
        <v>1.15E-2</v>
      </c>
      <c r="C50" s="150">
        <f>+CONSUMPTION!D50</f>
        <v>120000</v>
      </c>
      <c r="D50" s="154">
        <f>+CONSUMPTION!E50</f>
        <v>806900</v>
      </c>
      <c r="E50" s="155">
        <f t="shared" si="0"/>
        <v>9279.35</v>
      </c>
      <c r="F50" s="221">
        <f>+CONSUMPTION!F50*CONSUMPTION!$B50</f>
        <v>0</v>
      </c>
      <c r="G50" s="221">
        <f>+CONSUMPTION!G50*CONSUMPTION!$B50</f>
        <v>0</v>
      </c>
      <c r="H50" s="221">
        <f>+CONSUMPTION!H50*CONSUMPTION!$B50</f>
        <v>0</v>
      </c>
      <c r="I50" s="221">
        <f>+CONSUMPTION!I50*CONSUMPTION!$B50</f>
        <v>0</v>
      </c>
      <c r="J50" s="221">
        <f>+CONSUMPTION!J50*CONSUMPTION!$B50</f>
        <v>724.5</v>
      </c>
      <c r="K50" s="221">
        <f>+CONSUMPTION!K50*CONSUMPTION!$B50</f>
        <v>2095.3000000000002</v>
      </c>
      <c r="L50" s="221">
        <f>+CONSUMPTION!L50*CONSUMPTION!$B50</f>
        <v>1859.55</v>
      </c>
      <c r="M50" s="221">
        <f>+CONSUMPTION!M50*CONSUMPTION!$B50</f>
        <v>2423.0500000000002</v>
      </c>
      <c r="N50" s="221">
        <f>+CONSUMPTION!N50*CONSUMPTION!$B50</f>
        <v>2176.9499999999998</v>
      </c>
      <c r="O50" s="221">
        <f>+CONSUMPTION!O50*CONSUMPTION!$B50</f>
        <v>0</v>
      </c>
      <c r="P50" s="221">
        <f>+CONSUMPTION!P50*CONSUMPTION!$B50</f>
        <v>0</v>
      </c>
      <c r="Q50" s="221">
        <f>+CONSUMPTION!Q50*CONSUMPTION!$B50</f>
        <v>0</v>
      </c>
    </row>
    <row r="51" spans="1:18" ht="15" x14ac:dyDescent="0.25">
      <c r="A51" s="1" t="s">
        <v>15</v>
      </c>
      <c r="B51" s="135">
        <f>+CONSUMPTION!B51</f>
        <v>2.4199999999999999E-2</v>
      </c>
      <c r="C51" s="150">
        <f>+CONSUMPTION!D51</f>
        <v>999999999</v>
      </c>
      <c r="D51" s="154">
        <f>+CONSUMPTION!E51</f>
        <v>3000</v>
      </c>
      <c r="E51" s="155">
        <f t="shared" si="0"/>
        <v>72.599999999999994</v>
      </c>
      <c r="F51" s="221">
        <f>+CONSUMPTION!F51*CONSUMPTION!$B51</f>
        <v>0</v>
      </c>
      <c r="G51" s="221">
        <f>+CONSUMPTION!G51*CONSUMPTION!$B51</f>
        <v>0</v>
      </c>
      <c r="H51" s="221">
        <f>+CONSUMPTION!H51*CONSUMPTION!$B51</f>
        <v>0</v>
      </c>
      <c r="I51" s="221">
        <f>+CONSUMPTION!I51*CONSUMPTION!$B51</f>
        <v>0</v>
      </c>
      <c r="J51" s="221">
        <f>+CONSUMPTION!J51*CONSUMPTION!$B51</f>
        <v>0</v>
      </c>
      <c r="K51" s="221">
        <f>+CONSUMPTION!K51*CONSUMPTION!$B51</f>
        <v>0</v>
      </c>
      <c r="L51" s="221">
        <f>+CONSUMPTION!L51*CONSUMPTION!$B51</f>
        <v>0</v>
      </c>
      <c r="M51" s="221">
        <f>+CONSUMPTION!M51*CONSUMPTION!$B51</f>
        <v>0</v>
      </c>
      <c r="N51" s="221">
        <f>+CONSUMPTION!N51*CONSUMPTION!$B51</f>
        <v>72.599999999999994</v>
      </c>
      <c r="O51" s="221">
        <f>+CONSUMPTION!O51*CONSUMPTION!$B51</f>
        <v>0</v>
      </c>
      <c r="P51" s="221">
        <f>+CONSUMPTION!P51*CONSUMPTION!$B51</f>
        <v>0</v>
      </c>
      <c r="Q51" s="221">
        <f>+CONSUMPTION!Q51*CONSUMPTION!$B51</f>
        <v>0</v>
      </c>
      <c r="R51" s="85"/>
    </row>
    <row r="52" spans="1:18" ht="15" x14ac:dyDescent="0.25">
      <c r="A52" s="1" t="s">
        <v>16</v>
      </c>
      <c r="B52" s="135">
        <f>+CONSUMPTION!B52</f>
        <v>0</v>
      </c>
      <c r="C52" s="150">
        <f>+CONSUMPTION!D52</f>
        <v>999999999</v>
      </c>
      <c r="D52" s="154">
        <f>+CONSUMPTION!E52</f>
        <v>0</v>
      </c>
      <c r="E52" s="155">
        <f t="shared" si="0"/>
        <v>0</v>
      </c>
      <c r="F52" s="221">
        <f>+CONSUMPTION!F52*CONSUMPTION!$B52</f>
        <v>0</v>
      </c>
      <c r="G52" s="221">
        <f>+CONSUMPTION!G52*CONSUMPTION!$B52</f>
        <v>0</v>
      </c>
      <c r="H52" s="221">
        <f>+CONSUMPTION!H52*CONSUMPTION!$B52</f>
        <v>0</v>
      </c>
      <c r="I52" s="221">
        <f>+CONSUMPTION!I52*CONSUMPTION!$B52</f>
        <v>0</v>
      </c>
      <c r="J52" s="221">
        <f>+CONSUMPTION!J52*CONSUMPTION!$B52</f>
        <v>0</v>
      </c>
      <c r="K52" s="221">
        <f>+CONSUMPTION!K52*CONSUMPTION!$B52</f>
        <v>0</v>
      </c>
      <c r="L52" s="221">
        <f>+CONSUMPTION!L52*CONSUMPTION!$B52</f>
        <v>0</v>
      </c>
      <c r="M52" s="221">
        <f>+CONSUMPTION!M52*CONSUMPTION!$B52</f>
        <v>0</v>
      </c>
      <c r="N52" s="221">
        <f>+CONSUMPTION!N52*CONSUMPTION!$B52</f>
        <v>0</v>
      </c>
      <c r="O52" s="221">
        <f>+CONSUMPTION!O52*CONSUMPTION!$B52</f>
        <v>0</v>
      </c>
      <c r="P52" s="221">
        <f>+CONSUMPTION!P52*CONSUMPTION!$B52</f>
        <v>0</v>
      </c>
      <c r="Q52" s="221">
        <f>+CONSUMPTION!Q52*CONSUMPTION!$B52</f>
        <v>0</v>
      </c>
    </row>
    <row r="53" spans="1:18" ht="15" x14ac:dyDescent="0.25">
      <c r="A53" s="1" t="s">
        <v>17</v>
      </c>
      <c r="B53" s="135">
        <f>+CONSUMPTION!B53</f>
        <v>0</v>
      </c>
      <c r="C53" s="150">
        <f>+CONSUMPTION!D53</f>
        <v>999999999</v>
      </c>
      <c r="D53" s="154">
        <f>+CONSUMPTION!E53</f>
        <v>4622700</v>
      </c>
      <c r="E53" s="155">
        <f t="shared" si="0"/>
        <v>0</v>
      </c>
      <c r="F53" s="221">
        <f>+CONSUMPTION!F53*CONSUMPTION!$B53</f>
        <v>0</v>
      </c>
      <c r="G53" s="221">
        <f>+CONSUMPTION!G53*CONSUMPTION!$B53</f>
        <v>0</v>
      </c>
      <c r="H53" s="221">
        <f>+CONSUMPTION!H53*CONSUMPTION!$B53</f>
        <v>0</v>
      </c>
      <c r="I53" s="221">
        <f>+CONSUMPTION!I53*CONSUMPTION!$B53</f>
        <v>0</v>
      </c>
      <c r="J53" s="221">
        <f>+CONSUMPTION!J53*CONSUMPTION!$B53</f>
        <v>0</v>
      </c>
      <c r="K53" s="221">
        <f>+CONSUMPTION!K53*CONSUMPTION!$B53</f>
        <v>0</v>
      </c>
      <c r="L53" s="221">
        <f>+CONSUMPTION!L53*CONSUMPTION!$B53</f>
        <v>0</v>
      </c>
      <c r="M53" s="221">
        <f>+CONSUMPTION!M53*CONSUMPTION!$B53</f>
        <v>0</v>
      </c>
      <c r="N53" s="221">
        <f>+CONSUMPTION!N53*CONSUMPTION!$B53</f>
        <v>0</v>
      </c>
      <c r="O53" s="221">
        <f>+CONSUMPTION!O53*CONSUMPTION!$B53</f>
        <v>0</v>
      </c>
      <c r="P53" s="221">
        <f>+CONSUMPTION!P53*CONSUMPTION!$B53</f>
        <v>0</v>
      </c>
      <c r="Q53" s="221">
        <f>+CONSUMPTION!Q53*CONSUMPTION!$B53</f>
        <v>0</v>
      </c>
    </row>
    <row r="54" spans="1:18" ht="15" x14ac:dyDescent="0.25">
      <c r="A54" s="1" t="s">
        <v>18</v>
      </c>
      <c r="B54" s="135">
        <f>+CONSUMPTION!B54</f>
        <v>0</v>
      </c>
      <c r="C54" s="150">
        <f>+CONSUMPTION!D54</f>
        <v>999999999</v>
      </c>
      <c r="D54" s="154">
        <f>+CONSUMPTION!E54</f>
        <v>0</v>
      </c>
      <c r="E54" s="155">
        <f t="shared" si="0"/>
        <v>0</v>
      </c>
      <c r="F54" s="221">
        <f>+CONSUMPTION!F54*CONSUMPTION!$B54</f>
        <v>0</v>
      </c>
      <c r="G54" s="221">
        <f>+CONSUMPTION!G54*CONSUMPTION!$B54</f>
        <v>0</v>
      </c>
      <c r="H54" s="221">
        <f>+CONSUMPTION!H54*CONSUMPTION!$B54</f>
        <v>0</v>
      </c>
      <c r="I54" s="221">
        <f>+CONSUMPTION!I54*CONSUMPTION!$B54</f>
        <v>0</v>
      </c>
      <c r="J54" s="221">
        <f>+CONSUMPTION!J54*CONSUMPTION!$B54</f>
        <v>0</v>
      </c>
      <c r="K54" s="221">
        <f>+CONSUMPTION!K54*CONSUMPTION!$B54</f>
        <v>0</v>
      </c>
      <c r="L54" s="221">
        <f>+CONSUMPTION!L54*CONSUMPTION!$B54</f>
        <v>0</v>
      </c>
      <c r="M54" s="221">
        <f>+CONSUMPTION!M54*CONSUMPTION!$B54</f>
        <v>0</v>
      </c>
      <c r="N54" s="221">
        <f>+CONSUMPTION!N54*CONSUMPTION!$B54</f>
        <v>0</v>
      </c>
      <c r="O54" s="221">
        <f>+CONSUMPTION!O54*CONSUMPTION!$B54</f>
        <v>0</v>
      </c>
      <c r="P54" s="221">
        <f>+CONSUMPTION!P54*CONSUMPTION!$B54</f>
        <v>0</v>
      </c>
      <c r="Q54" s="221">
        <f>+CONSUMPTION!Q54*CONSUMPTION!$B54</f>
        <v>0</v>
      </c>
    </row>
    <row r="55" spans="1:18" ht="15" x14ac:dyDescent="0.25">
      <c r="A55" s="1" t="s">
        <v>19</v>
      </c>
      <c r="B55" s="135">
        <f>+CONSUMPTION!B55</f>
        <v>0</v>
      </c>
      <c r="C55" s="150">
        <f>+CONSUMPTION!D55</f>
        <v>999999999</v>
      </c>
      <c r="D55" s="154">
        <f>+CONSUMPTION!E55</f>
        <v>0</v>
      </c>
      <c r="E55" s="155">
        <f t="shared" si="0"/>
        <v>0</v>
      </c>
      <c r="F55" s="221">
        <f>+CONSUMPTION!F55*CONSUMPTION!$B55</f>
        <v>0</v>
      </c>
      <c r="G55" s="221">
        <f>+CONSUMPTION!G55*CONSUMPTION!$B55</f>
        <v>0</v>
      </c>
      <c r="H55" s="221">
        <f>+CONSUMPTION!H55*CONSUMPTION!$B55</f>
        <v>0</v>
      </c>
      <c r="I55" s="221">
        <f>+CONSUMPTION!I55*CONSUMPTION!$B55</f>
        <v>0</v>
      </c>
      <c r="J55" s="221">
        <f>+CONSUMPTION!J55*CONSUMPTION!$B55</f>
        <v>0</v>
      </c>
      <c r="K55" s="221">
        <f>+CONSUMPTION!K55*CONSUMPTION!$B55</f>
        <v>0</v>
      </c>
      <c r="L55" s="221">
        <f>+CONSUMPTION!L55*CONSUMPTION!$B55</f>
        <v>0</v>
      </c>
      <c r="M55" s="221">
        <f>+CONSUMPTION!M55*CONSUMPTION!$B55</f>
        <v>0</v>
      </c>
      <c r="N55" s="221">
        <f>+CONSUMPTION!N55*CONSUMPTION!$B55</f>
        <v>0</v>
      </c>
      <c r="O55" s="221">
        <f>+CONSUMPTION!O55*CONSUMPTION!$B55</f>
        <v>0</v>
      </c>
      <c r="P55" s="221">
        <f>+CONSUMPTION!P55*CONSUMPTION!$B55</f>
        <v>0</v>
      </c>
      <c r="Q55" s="221">
        <f>+CONSUMPTION!Q55*CONSUMPTION!$B55</f>
        <v>0</v>
      </c>
    </row>
    <row r="56" spans="1:18" s="8" customFormat="1" x14ac:dyDescent="0.2"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</row>
    <row r="57" spans="1:18" s="13" customFormat="1" ht="15" x14ac:dyDescent="0.25">
      <c r="A57" s="13" t="s">
        <v>24</v>
      </c>
      <c r="C57" s="14"/>
      <c r="E57" s="14">
        <f>SUM(E3:E6)</f>
        <v>3173.99</v>
      </c>
      <c r="F57" s="14">
        <f>SUM(F3:F6)</f>
        <v>0</v>
      </c>
      <c r="G57" s="14">
        <f t="shared" ref="G57:Q57" si="1">SUM(G3:G6)</f>
        <v>0</v>
      </c>
      <c r="H57" s="14">
        <f t="shared" si="1"/>
        <v>0</v>
      </c>
      <c r="I57" s="14">
        <f t="shared" si="1"/>
        <v>0</v>
      </c>
      <c r="J57" s="14">
        <f t="shared" si="1"/>
        <v>39.950000000000003</v>
      </c>
      <c r="K57" s="14">
        <f t="shared" si="1"/>
        <v>585.3119999999999</v>
      </c>
      <c r="L57" s="14">
        <f t="shared" si="1"/>
        <v>805.89599999999996</v>
      </c>
      <c r="M57" s="14">
        <f t="shared" si="1"/>
        <v>908.54399999999998</v>
      </c>
      <c r="N57" s="14">
        <f t="shared" si="1"/>
        <v>834.2879999999999</v>
      </c>
      <c r="O57" s="14">
        <f t="shared" si="1"/>
        <v>0</v>
      </c>
      <c r="P57" s="14">
        <f t="shared" si="1"/>
        <v>0</v>
      </c>
      <c r="Q57" s="14">
        <f t="shared" si="1"/>
        <v>0</v>
      </c>
    </row>
    <row r="58" spans="1:18" s="13" customFormat="1" ht="15" x14ac:dyDescent="0.25">
      <c r="A58" s="13" t="s">
        <v>22</v>
      </c>
      <c r="E58" s="14">
        <f>SUM(E7:E30)</f>
        <v>2721206.4400000004</v>
      </c>
      <c r="F58" s="14">
        <f t="shared" ref="F58:Q58" si="2">SUM(F7:F30)</f>
        <v>122990.02</v>
      </c>
      <c r="G58" s="14">
        <f t="shared" si="2"/>
        <v>119754.54</v>
      </c>
      <c r="H58" s="14">
        <f t="shared" si="2"/>
        <v>107035.44</v>
      </c>
      <c r="I58" s="14">
        <f t="shared" si="2"/>
        <v>127735.49</v>
      </c>
      <c r="J58" s="14">
        <f t="shared" si="2"/>
        <v>140500.05000000002</v>
      </c>
      <c r="K58" s="14">
        <f t="shared" si="2"/>
        <v>286647.69</v>
      </c>
      <c r="L58" s="14">
        <f t="shared" si="2"/>
        <v>404909.22</v>
      </c>
      <c r="M58" s="14">
        <f t="shared" si="2"/>
        <v>586571.42999999993</v>
      </c>
      <c r="N58" s="14">
        <f t="shared" si="2"/>
        <v>434047.29999999993</v>
      </c>
      <c r="O58" s="14">
        <f t="shared" si="2"/>
        <v>135278.86000000002</v>
      </c>
      <c r="P58" s="14">
        <f t="shared" si="2"/>
        <v>131128.79</v>
      </c>
      <c r="Q58" s="14">
        <f t="shared" si="2"/>
        <v>124607.60999999999</v>
      </c>
    </row>
    <row r="59" spans="1:18" s="13" customFormat="1" ht="15" x14ac:dyDescent="0.25">
      <c r="A59" s="13" t="s">
        <v>31</v>
      </c>
      <c r="E59" s="14">
        <f>SUM(E31:E51)</f>
        <v>521759.47999999992</v>
      </c>
      <c r="F59" s="14">
        <f>SUM(F31:F51)</f>
        <v>15113.56</v>
      </c>
      <c r="G59" s="14">
        <f t="shared" ref="G59:Q59" si="3">SUM(G31:G51)</f>
        <v>20018.27</v>
      </c>
      <c r="H59" s="14">
        <f t="shared" si="3"/>
        <v>15221.42</v>
      </c>
      <c r="I59" s="14">
        <f t="shared" si="3"/>
        <v>19952.530000000002</v>
      </c>
      <c r="J59" s="14">
        <f t="shared" si="3"/>
        <v>23274.520000000004</v>
      </c>
      <c r="K59" s="14">
        <f t="shared" si="3"/>
        <v>62272.7</v>
      </c>
      <c r="L59" s="14">
        <f t="shared" si="3"/>
        <v>83372.210000000006</v>
      </c>
      <c r="M59" s="14">
        <f t="shared" si="3"/>
        <v>99386.08</v>
      </c>
      <c r="N59" s="14">
        <f t="shared" si="3"/>
        <v>110793.92</v>
      </c>
      <c r="O59" s="14">
        <f t="shared" si="3"/>
        <v>33475.360000000001</v>
      </c>
      <c r="P59" s="14">
        <f t="shared" si="3"/>
        <v>21051.57</v>
      </c>
      <c r="Q59" s="14">
        <f t="shared" si="3"/>
        <v>17827.34</v>
      </c>
    </row>
    <row r="60" spans="1:18" s="13" customFormat="1" ht="15" x14ac:dyDescent="0.25">
      <c r="A60" s="13" t="s">
        <v>23</v>
      </c>
      <c r="E60" s="14">
        <f>SUM(E52:E55)</f>
        <v>0</v>
      </c>
      <c r="F60" s="14">
        <f>SUM(F52:F55)</f>
        <v>0</v>
      </c>
      <c r="G60" s="14">
        <f t="shared" ref="G60:Q60" si="4">SUM(G52:G55)</f>
        <v>0</v>
      </c>
      <c r="H60" s="14">
        <f t="shared" si="4"/>
        <v>0</v>
      </c>
      <c r="I60" s="14">
        <f t="shared" si="4"/>
        <v>0</v>
      </c>
      <c r="J60" s="14">
        <f t="shared" si="4"/>
        <v>0</v>
      </c>
      <c r="K60" s="14">
        <f t="shared" si="4"/>
        <v>0</v>
      </c>
      <c r="L60" s="14">
        <f t="shared" si="4"/>
        <v>0</v>
      </c>
      <c r="M60" s="14">
        <f t="shared" si="4"/>
        <v>0</v>
      </c>
      <c r="N60" s="14">
        <f t="shared" si="4"/>
        <v>0</v>
      </c>
      <c r="O60" s="14">
        <f t="shared" si="4"/>
        <v>0</v>
      </c>
      <c r="P60" s="14">
        <f t="shared" si="4"/>
        <v>0</v>
      </c>
      <c r="Q60" s="14">
        <f t="shared" si="4"/>
        <v>0</v>
      </c>
    </row>
    <row r="61" spans="1:18" s="11" customFormat="1" ht="15" x14ac:dyDescent="0.25">
      <c r="A61" s="10" t="s">
        <v>21</v>
      </c>
      <c r="B61" s="10"/>
      <c r="C61" s="10"/>
      <c r="D61" s="23">
        <f t="shared" ref="D61:Q61" si="5">SUM(D3:D56)</f>
        <v>240943600</v>
      </c>
      <c r="E61" s="12">
        <f t="shared" si="5"/>
        <v>3246139.9099999997</v>
      </c>
      <c r="F61" s="12">
        <f t="shared" si="5"/>
        <v>138103.57999999999</v>
      </c>
      <c r="G61" s="12">
        <f t="shared" si="5"/>
        <v>139772.80999999997</v>
      </c>
      <c r="H61" s="12">
        <f t="shared" si="5"/>
        <v>122256.86</v>
      </c>
      <c r="I61" s="12">
        <f t="shared" si="5"/>
        <v>147688.02000000005</v>
      </c>
      <c r="J61" s="12">
        <f t="shared" si="5"/>
        <v>163814.52000000002</v>
      </c>
      <c r="K61" s="12">
        <f t="shared" si="5"/>
        <v>349505.70200000011</v>
      </c>
      <c r="L61" s="12">
        <f t="shared" si="5"/>
        <v>489087.32600000006</v>
      </c>
      <c r="M61" s="12">
        <f t="shared" si="5"/>
        <v>686866.05399999977</v>
      </c>
      <c r="N61" s="12">
        <f t="shared" si="5"/>
        <v>545675.50800000003</v>
      </c>
      <c r="O61" s="12">
        <f t="shared" si="5"/>
        <v>168754.22000000006</v>
      </c>
      <c r="P61" s="12">
        <f t="shared" si="5"/>
        <v>152180.36000000002</v>
      </c>
      <c r="Q61" s="12">
        <f t="shared" si="5"/>
        <v>142434.94999999998</v>
      </c>
    </row>
    <row r="62" spans="1:18" s="180" customFormat="1" ht="11.25" x14ac:dyDescent="0.2">
      <c r="A62" s="179" t="s">
        <v>25</v>
      </c>
      <c r="E62" s="180">
        <f>SUM(E57:E60)-E61</f>
        <v>0</v>
      </c>
      <c r="F62" s="180">
        <f>SUM(F57:F60)-F61</f>
        <v>0</v>
      </c>
      <c r="G62" s="180">
        <f t="shared" ref="G62:Q62" si="6">SUM(G57:G60)-G61</f>
        <v>0</v>
      </c>
      <c r="H62" s="180">
        <f t="shared" si="6"/>
        <v>0</v>
      </c>
      <c r="I62" s="180">
        <f t="shared" si="6"/>
        <v>0</v>
      </c>
      <c r="J62" s="180">
        <f t="shared" si="6"/>
        <v>0</v>
      </c>
      <c r="K62" s="180">
        <f t="shared" si="6"/>
        <v>0</v>
      </c>
      <c r="L62" s="180">
        <f t="shared" si="6"/>
        <v>0</v>
      </c>
      <c r="M62" s="180">
        <f t="shared" si="6"/>
        <v>0</v>
      </c>
      <c r="N62" s="180">
        <f t="shared" si="6"/>
        <v>0</v>
      </c>
      <c r="O62" s="180">
        <f t="shared" si="6"/>
        <v>0</v>
      </c>
      <c r="P62" s="180">
        <f t="shared" si="6"/>
        <v>0</v>
      </c>
      <c r="Q62" s="180">
        <f t="shared" si="6"/>
        <v>0</v>
      </c>
    </row>
    <row r="63" spans="1:18" s="177" customFormat="1" x14ac:dyDescent="0.2"/>
    <row r="64" spans="1:18" s="177" customFormat="1" ht="15" x14ac:dyDescent="0.25">
      <c r="A64" s="176" t="s">
        <v>78</v>
      </c>
      <c r="D64" s="178">
        <f>+CONSUMPTION!E64</f>
        <v>240943600</v>
      </c>
      <c r="E64" s="181">
        <f>SUM(F64:Q64)</f>
        <v>3252067.37</v>
      </c>
      <c r="F64" s="181">
        <f>140205.9-130.02</f>
        <v>140075.88</v>
      </c>
      <c r="G64" s="181">
        <f>140327.75-240.34</f>
        <v>140087.41</v>
      </c>
      <c r="H64" s="181">
        <v>122918.5</v>
      </c>
      <c r="I64" s="181">
        <v>148127.29999999999</v>
      </c>
      <c r="J64" s="181">
        <v>164508.51999999999</v>
      </c>
      <c r="K64" s="181">
        <v>349645.7</v>
      </c>
      <c r="L64" s="181">
        <v>489777.33</v>
      </c>
      <c r="M64" s="181">
        <v>687041.05</v>
      </c>
      <c r="N64" s="181">
        <v>546495.51</v>
      </c>
      <c r="O64" s="181">
        <f>169428.64-236.4-421.08-16.94</f>
        <v>168754.22000000003</v>
      </c>
      <c r="P64" s="181">
        <f>152794.56-(16100*0.0242)-224.58</f>
        <v>152180.36000000002</v>
      </c>
      <c r="Q64" s="181">
        <f>143242.75-(18200*0.0242)-346.72</f>
        <v>142455.59</v>
      </c>
    </row>
    <row r="65" spans="1:17" s="177" customFormat="1" ht="15" x14ac:dyDescent="0.25">
      <c r="A65" s="176" t="s">
        <v>68</v>
      </c>
      <c r="D65" s="178">
        <f>+D61-D64</f>
        <v>0</v>
      </c>
      <c r="E65" s="181">
        <f>+E64-E61</f>
        <v>5927.4600000004284</v>
      </c>
      <c r="F65" s="181">
        <f>+F64-F61</f>
        <v>1972.3000000000175</v>
      </c>
      <c r="G65" s="181">
        <f>+G64-G61</f>
        <v>314.60000000003492</v>
      </c>
      <c r="H65" s="181">
        <f t="shared" ref="H65:Q65" si="7">+H64-H61</f>
        <v>661.63999999999942</v>
      </c>
      <c r="I65" s="181">
        <f t="shared" si="7"/>
        <v>439.27999999994063</v>
      </c>
      <c r="J65" s="181">
        <f t="shared" si="7"/>
        <v>693.9999999999709</v>
      </c>
      <c r="K65" s="181">
        <f t="shared" si="7"/>
        <v>139.99799999990501</v>
      </c>
      <c r="L65" s="181">
        <f t="shared" si="7"/>
        <v>690.00399999995716</v>
      </c>
      <c r="M65" s="181">
        <f t="shared" si="7"/>
        <v>174.99600000027567</v>
      </c>
      <c r="N65" s="181">
        <f t="shared" si="7"/>
        <v>820.00199999997858</v>
      </c>
      <c r="O65" s="181">
        <f t="shared" si="7"/>
        <v>0</v>
      </c>
      <c r="P65" s="181">
        <f t="shared" si="7"/>
        <v>0</v>
      </c>
      <c r="Q65" s="181">
        <f t="shared" si="7"/>
        <v>20.64000000001397</v>
      </c>
    </row>
    <row r="66" spans="1:17" s="177" customFormat="1" x14ac:dyDescent="0.2">
      <c r="D66" s="185"/>
    </row>
    <row r="67" spans="1:17" s="183" customFormat="1" ht="15" x14ac:dyDescent="0.25">
      <c r="A67" s="183" t="s">
        <v>81</v>
      </c>
      <c r="D67" s="178">
        <f>+CONSUMPTION!E64</f>
        <v>240943600</v>
      </c>
      <c r="E67" s="181">
        <f>SUM(F67:Q67)</f>
        <v>3249785.1</v>
      </c>
      <c r="F67" s="183">
        <v>140174.87</v>
      </c>
      <c r="G67" s="183">
        <v>140121.84</v>
      </c>
      <c r="H67" s="183">
        <v>123028.68</v>
      </c>
      <c r="I67" s="183">
        <v>147621.59</v>
      </c>
      <c r="J67" s="183">
        <v>164143.56</v>
      </c>
      <c r="K67" s="183">
        <v>349410.69</v>
      </c>
      <c r="L67" s="183">
        <v>489569.17</v>
      </c>
      <c r="M67" s="183">
        <v>684087.34</v>
      </c>
      <c r="N67" s="183">
        <v>546397.75</v>
      </c>
      <c r="O67" s="183">
        <v>169922.33</v>
      </c>
      <c r="P67" s="183">
        <f>152347.32-69.6</f>
        <v>152277.72</v>
      </c>
      <c r="Q67" s="183">
        <v>143029.56</v>
      </c>
    </row>
    <row r="68" spans="1:17" s="177" customFormat="1" ht="15" x14ac:dyDescent="0.25">
      <c r="A68" s="176" t="s">
        <v>68</v>
      </c>
      <c r="D68" s="178">
        <f t="shared" ref="D68:E68" si="8">+D67-D61</f>
        <v>0</v>
      </c>
      <c r="E68" s="181">
        <f t="shared" si="8"/>
        <v>3645.1900000004098</v>
      </c>
      <c r="F68" s="181">
        <f>+F67-F61</f>
        <v>2071.2900000000081</v>
      </c>
      <c r="G68" s="181">
        <f t="shared" ref="G68:Q68" si="9">+G67-G61</f>
        <v>349.03000000002794</v>
      </c>
      <c r="H68" s="181">
        <f t="shared" si="9"/>
        <v>771.81999999999243</v>
      </c>
      <c r="I68" s="181">
        <f t="shared" si="9"/>
        <v>-66.430000000051223</v>
      </c>
      <c r="J68" s="181">
        <f t="shared" si="9"/>
        <v>329.03999999997905</v>
      </c>
      <c r="K68" s="181">
        <f t="shared" si="9"/>
        <v>-95.012000000104308</v>
      </c>
      <c r="L68" s="181">
        <f t="shared" si="9"/>
        <v>481.84399999992456</v>
      </c>
      <c r="M68" s="181">
        <f t="shared" si="9"/>
        <v>-2778.7139999998035</v>
      </c>
      <c r="N68" s="181">
        <f t="shared" si="9"/>
        <v>722.24199999996927</v>
      </c>
      <c r="O68" s="181">
        <f t="shared" si="9"/>
        <v>1168.1099999999278</v>
      </c>
      <c r="P68" s="181">
        <f t="shared" si="9"/>
        <v>97.35999999998603</v>
      </c>
      <c r="Q68" s="181">
        <f t="shared" si="9"/>
        <v>594.61000000001513</v>
      </c>
    </row>
    <row r="69" spans="1:17" x14ac:dyDescent="0.2">
      <c r="P69" s="217"/>
    </row>
    <row r="70" spans="1:17" x14ac:dyDescent="0.2">
      <c r="A70" s="165"/>
    </row>
    <row r="77" spans="1:17" x14ac:dyDescent="0.2">
      <c r="F77">
        <f>SUM(F74:F76)</f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70"/>
  <sheetViews>
    <sheetView workbookViewId="0">
      <pane xSplit="1" ySplit="1" topLeftCell="B56" activePane="bottomRight" state="frozen"/>
      <selection activeCell="B55" sqref="B55"/>
      <selection pane="topRight" activeCell="B55" sqref="B55"/>
      <selection pane="bottomLeft" activeCell="B55" sqref="B55"/>
      <selection pane="bottomRight" activeCell="F64" sqref="F64"/>
    </sheetView>
  </sheetViews>
  <sheetFormatPr defaultRowHeight="12.75" x14ac:dyDescent="0.2"/>
  <cols>
    <col min="1" max="1" width="47.42578125" customWidth="1"/>
    <col min="2" max="2" width="3.7109375" customWidth="1"/>
    <col min="3" max="16" width="14" customWidth="1"/>
  </cols>
  <sheetData>
    <row r="1" spans="1:17" s="4" customFormat="1" ht="45" x14ac:dyDescent="0.2">
      <c r="A1" s="3" t="s">
        <v>0</v>
      </c>
      <c r="B1" s="3"/>
      <c r="C1" s="3" t="s">
        <v>20</v>
      </c>
      <c r="D1" s="79" t="s">
        <v>39</v>
      </c>
      <c r="E1" s="5">
        <f>+CONSUMPTION!F1</f>
        <v>43112</v>
      </c>
      <c r="F1" s="5">
        <f>+CONSUMPTION!G1</f>
        <v>43143</v>
      </c>
      <c r="G1" s="5">
        <f>+CONSUMPTION!H1</f>
        <v>43171</v>
      </c>
      <c r="H1" s="5">
        <f>+CONSUMPTION!I1</f>
        <v>43202</v>
      </c>
      <c r="I1" s="5">
        <f>+CONSUMPTION!J1</f>
        <v>43232</v>
      </c>
      <c r="J1" s="5">
        <f>+CONSUMPTION!K1</f>
        <v>43263</v>
      </c>
      <c r="K1" s="5">
        <f>+CONSUMPTION!L1</f>
        <v>43293</v>
      </c>
      <c r="L1" s="5">
        <f>+CONSUMPTION!M1</f>
        <v>43324</v>
      </c>
      <c r="M1" s="5">
        <f>+CONSUMPTION!N1</f>
        <v>43355</v>
      </c>
      <c r="N1" s="5">
        <f>+CONSUMPTION!O1</f>
        <v>43385</v>
      </c>
      <c r="O1" s="5">
        <f>+CONSUMPTION!P1</f>
        <v>43416</v>
      </c>
      <c r="P1" s="5">
        <f>+CONSUMPTION!Q1</f>
        <v>43446</v>
      </c>
    </row>
    <row r="2" spans="1:17" s="4" customFormat="1" ht="15" x14ac:dyDescent="0.2">
      <c r="A2" s="29"/>
      <c r="B2" s="29"/>
      <c r="C2" s="33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2"/>
    </row>
    <row r="3" spans="1:17" ht="15" x14ac:dyDescent="0.25">
      <c r="A3" s="25" t="s">
        <v>4</v>
      </c>
      <c r="B3" s="26"/>
      <c r="C3" s="137">
        <f>+BASE!C3</f>
        <v>0</v>
      </c>
      <c r="D3" s="156">
        <f>SUM(E3:P3)</f>
        <v>0</v>
      </c>
      <c r="E3" s="221">
        <f>+BASE!$C3*BASE!F3</f>
        <v>0</v>
      </c>
      <c r="F3" s="221">
        <f>+BASE!$C3*BASE!G3</f>
        <v>0</v>
      </c>
      <c r="G3" s="221">
        <f>+BASE!$C3*BASE!H3</f>
        <v>0</v>
      </c>
      <c r="H3" s="221">
        <f>+BASE!$C3*BASE!I3</f>
        <v>0</v>
      </c>
      <c r="I3" s="221">
        <f>+BASE!$C3*BASE!J3</f>
        <v>0</v>
      </c>
      <c r="J3" s="221">
        <f>+BASE!$C3*BASE!K3</f>
        <v>0</v>
      </c>
      <c r="K3" s="221">
        <f>+BASE!$C3*BASE!L3</f>
        <v>0</v>
      </c>
      <c r="L3" s="221">
        <f>+BASE!$C3*BASE!M3</f>
        <v>0</v>
      </c>
      <c r="M3" s="221">
        <f>+BASE!$C3*BASE!N3</f>
        <v>0</v>
      </c>
      <c r="N3" s="221">
        <f>+BASE!$C3*BASE!O3</f>
        <v>0</v>
      </c>
      <c r="O3" s="221">
        <f>+BASE!$C3*BASE!P3</f>
        <v>0</v>
      </c>
      <c r="P3" s="221">
        <f>+BASE!$C3*BASE!Q3</f>
        <v>0</v>
      </c>
    </row>
    <row r="4" spans="1:17" ht="15" x14ac:dyDescent="0.25">
      <c r="A4" s="2" t="s">
        <v>4</v>
      </c>
      <c r="B4" s="26"/>
      <c r="C4" s="137">
        <f>+BASE!C4</f>
        <v>394</v>
      </c>
      <c r="D4" s="156">
        <f t="shared" ref="D4:D55" si="0">SUM(E4:P4)</f>
        <v>3152</v>
      </c>
      <c r="E4" s="221">
        <f>+BASE!$C4*BASE!F4</f>
        <v>394</v>
      </c>
      <c r="F4" s="221">
        <f>+BASE!$C4*BASE!G4</f>
        <v>394</v>
      </c>
      <c r="G4" s="221">
        <f>+BASE!$C4*BASE!H4</f>
        <v>394</v>
      </c>
      <c r="H4" s="221">
        <f>+BASE!$C4*BASE!I4</f>
        <v>394</v>
      </c>
      <c r="I4" s="221">
        <f>+BASE!$C4*BASE!J4</f>
        <v>394</v>
      </c>
      <c r="J4" s="221">
        <f>+BASE!$C4*BASE!K4</f>
        <v>0</v>
      </c>
      <c r="K4" s="221">
        <f>+BASE!$C4*BASE!L4</f>
        <v>0</v>
      </c>
      <c r="L4" s="221">
        <f>+BASE!$C4*BASE!M4</f>
        <v>0</v>
      </c>
      <c r="M4" s="221">
        <f>+BASE!$C4*BASE!N4</f>
        <v>0</v>
      </c>
      <c r="N4" s="221">
        <f>+BASE!$C4*BASE!O4</f>
        <v>394</v>
      </c>
      <c r="O4" s="221">
        <f>+BASE!$C4*BASE!P4</f>
        <v>394</v>
      </c>
      <c r="P4" s="221">
        <f>+BASE!$C4*BASE!Q4</f>
        <v>394</v>
      </c>
    </row>
    <row r="5" spans="1:17" ht="15" x14ac:dyDescent="0.25">
      <c r="A5" s="2" t="s">
        <v>4</v>
      </c>
      <c r="B5" s="26"/>
      <c r="C5" s="137">
        <f>+BASE!C5</f>
        <v>0</v>
      </c>
      <c r="D5" s="156">
        <f t="shared" si="0"/>
        <v>0</v>
      </c>
      <c r="E5" s="221">
        <f>+BASE!$C5*BASE!F5</f>
        <v>0</v>
      </c>
      <c r="F5" s="221">
        <f>+BASE!$C5*BASE!G5</f>
        <v>0</v>
      </c>
      <c r="G5" s="221">
        <f>+BASE!$C5*BASE!H5</f>
        <v>0</v>
      </c>
      <c r="H5" s="221">
        <f>+BASE!$C5*BASE!I5</f>
        <v>0</v>
      </c>
      <c r="I5" s="221">
        <f>+BASE!$C5*BASE!J5</f>
        <v>0</v>
      </c>
      <c r="J5" s="221">
        <f>+BASE!$C5*BASE!K5</f>
        <v>0</v>
      </c>
      <c r="K5" s="221">
        <f>+BASE!$C5*BASE!L5</f>
        <v>0</v>
      </c>
      <c r="L5" s="221">
        <f>+BASE!$C5*BASE!M5</f>
        <v>0</v>
      </c>
      <c r="M5" s="221">
        <f>+BASE!$C5*BASE!N5</f>
        <v>0</v>
      </c>
      <c r="N5" s="221">
        <f>+BASE!$C5*BASE!O5</f>
        <v>0</v>
      </c>
      <c r="O5" s="221">
        <f>+BASE!$C5*BASE!P5</f>
        <v>0</v>
      </c>
      <c r="P5" s="221">
        <f>+BASE!$C5*BASE!Q5</f>
        <v>0</v>
      </c>
    </row>
    <row r="6" spans="1:17" ht="15" customHeight="1" x14ac:dyDescent="0.25">
      <c r="A6" s="2" t="s">
        <v>5</v>
      </c>
      <c r="B6" s="26"/>
      <c r="C6" s="137">
        <f>+BASE!C6</f>
        <v>394</v>
      </c>
      <c r="D6" s="156">
        <f t="shared" si="0"/>
        <v>1576</v>
      </c>
      <c r="E6" s="221">
        <f>+BASE!$C6*BASE!F6</f>
        <v>0</v>
      </c>
      <c r="F6" s="221">
        <f>+BASE!$C6*BASE!G6</f>
        <v>0</v>
      </c>
      <c r="G6" s="221">
        <f>+BASE!$C6*BASE!H6</f>
        <v>0</v>
      </c>
      <c r="H6" s="221">
        <f>+BASE!$C6*BASE!I6</f>
        <v>0</v>
      </c>
      <c r="I6" s="221">
        <f>+BASE!$C6*BASE!J6</f>
        <v>0</v>
      </c>
      <c r="J6" s="221">
        <f>+BASE!$C6*BASE!K6</f>
        <v>394</v>
      </c>
      <c r="K6" s="221">
        <f>+BASE!$C6*BASE!L6</f>
        <v>394</v>
      </c>
      <c r="L6" s="221">
        <f>+BASE!$C6*BASE!M6</f>
        <v>394</v>
      </c>
      <c r="M6" s="221">
        <f>+BASE!$C6*BASE!N6</f>
        <v>394</v>
      </c>
      <c r="N6" s="221">
        <f>+BASE!$C6*BASE!O6</f>
        <v>0</v>
      </c>
      <c r="O6" s="221">
        <f>+BASE!$C6*BASE!P6</f>
        <v>0</v>
      </c>
      <c r="P6" s="221">
        <f>+BASE!$C6*BASE!Q6</f>
        <v>0</v>
      </c>
    </row>
    <row r="7" spans="1:17" ht="18" customHeight="1" x14ac:dyDescent="0.25">
      <c r="A7" s="2" t="s">
        <v>98</v>
      </c>
      <c r="B7" s="26"/>
      <c r="C7" s="137">
        <f>+BASE!C7</f>
        <v>31</v>
      </c>
      <c r="D7" s="156">
        <f t="shared" ref="D7:D12" si="1">SUM(E7:P7)</f>
        <v>0</v>
      </c>
      <c r="E7" s="221">
        <f>+BASE!$C7*BASE!F7</f>
        <v>0</v>
      </c>
      <c r="F7" s="221">
        <f>+BASE!$C7*BASE!G7</f>
        <v>0</v>
      </c>
      <c r="G7" s="221">
        <f>+BASE!$C7*BASE!H7</f>
        <v>0</v>
      </c>
      <c r="H7" s="221">
        <f>+BASE!$C7*BASE!I7</f>
        <v>0</v>
      </c>
      <c r="I7" s="221">
        <f>+BASE!$C7*BASE!J7</f>
        <v>0</v>
      </c>
      <c r="J7" s="221">
        <f>+BASE!$C7*BASE!K7</f>
        <v>0</v>
      </c>
      <c r="K7" s="221">
        <f>+BASE!$C7*BASE!L7</f>
        <v>0</v>
      </c>
      <c r="L7" s="221">
        <f>+BASE!$C7*BASE!M7</f>
        <v>0</v>
      </c>
      <c r="M7" s="221">
        <f>+BASE!$C7*BASE!N7</f>
        <v>0</v>
      </c>
      <c r="N7" s="221">
        <f>+BASE!$C7*BASE!O7</f>
        <v>0</v>
      </c>
      <c r="O7" s="221">
        <f>+BASE!$C7*BASE!P7</f>
        <v>0</v>
      </c>
      <c r="P7" s="221">
        <f>+BASE!$C7*BASE!Q7</f>
        <v>0</v>
      </c>
    </row>
    <row r="8" spans="1:17" ht="15" x14ac:dyDescent="0.25">
      <c r="A8" s="2" t="s">
        <v>98</v>
      </c>
      <c r="B8" s="26"/>
      <c r="C8" s="137">
        <f>+BASE!C8</f>
        <v>31</v>
      </c>
      <c r="D8" s="156">
        <f t="shared" si="1"/>
        <v>0</v>
      </c>
      <c r="E8" s="221">
        <f>+BASE!$C8*BASE!F8</f>
        <v>0</v>
      </c>
      <c r="F8" s="221">
        <f>+BASE!$C8*BASE!G8</f>
        <v>0</v>
      </c>
      <c r="G8" s="221">
        <f>+BASE!$C8*BASE!H8</f>
        <v>0</v>
      </c>
      <c r="H8" s="221">
        <f>+BASE!$C8*BASE!I8</f>
        <v>0</v>
      </c>
      <c r="I8" s="221">
        <f>+BASE!$C8*BASE!J8</f>
        <v>0</v>
      </c>
      <c r="J8" s="221">
        <f>+BASE!$C8*BASE!K8</f>
        <v>0</v>
      </c>
      <c r="K8" s="221">
        <f>+BASE!$C8*BASE!L8</f>
        <v>0</v>
      </c>
      <c r="L8" s="221">
        <f>+BASE!$C8*BASE!M8</f>
        <v>0</v>
      </c>
      <c r="M8" s="221">
        <f>+BASE!$C8*BASE!N8</f>
        <v>0</v>
      </c>
      <c r="N8" s="221">
        <f>+BASE!$C8*BASE!O8</f>
        <v>0</v>
      </c>
      <c r="O8" s="221">
        <f>+BASE!$C8*BASE!P8</f>
        <v>0</v>
      </c>
      <c r="P8" s="221">
        <f>+BASE!$C8*BASE!Q8</f>
        <v>0</v>
      </c>
    </row>
    <row r="9" spans="1:17" ht="15" x14ac:dyDescent="0.25">
      <c r="A9" s="2" t="s">
        <v>98</v>
      </c>
      <c r="B9" s="26"/>
      <c r="C9" s="137">
        <f>+BASE!C9</f>
        <v>31</v>
      </c>
      <c r="D9" s="156">
        <f t="shared" si="1"/>
        <v>0</v>
      </c>
      <c r="E9" s="221">
        <f>+BASE!$C9*BASE!F9</f>
        <v>0</v>
      </c>
      <c r="F9" s="221">
        <f>+BASE!$C9*BASE!G9</f>
        <v>0</v>
      </c>
      <c r="G9" s="221">
        <f>+BASE!$C9*BASE!H9</f>
        <v>0</v>
      </c>
      <c r="H9" s="221">
        <f>+BASE!$C9*BASE!I9</f>
        <v>0</v>
      </c>
      <c r="I9" s="221">
        <f>+BASE!$C9*BASE!J9</f>
        <v>0</v>
      </c>
      <c r="J9" s="221">
        <f>+BASE!$C9*BASE!K9</f>
        <v>0</v>
      </c>
      <c r="K9" s="221">
        <f>+BASE!$C9*BASE!L9</f>
        <v>0</v>
      </c>
      <c r="L9" s="221">
        <f>+BASE!$C9*BASE!M9</f>
        <v>0</v>
      </c>
      <c r="M9" s="221">
        <f>+BASE!$C9*BASE!N9</f>
        <v>0</v>
      </c>
      <c r="N9" s="221">
        <f>+BASE!$C9*BASE!O9</f>
        <v>0</v>
      </c>
      <c r="O9" s="221">
        <f>+BASE!$C9*BASE!P9</f>
        <v>0</v>
      </c>
      <c r="P9" s="221">
        <f>+BASE!$C9*BASE!Q9</f>
        <v>0</v>
      </c>
    </row>
    <row r="10" spans="1:17" ht="15" x14ac:dyDescent="0.25">
      <c r="A10" s="200" t="s">
        <v>104</v>
      </c>
      <c r="B10" s="26"/>
      <c r="C10" s="137">
        <f>+BASE!C10</f>
        <v>14.9</v>
      </c>
      <c r="D10" s="156">
        <f t="shared" si="1"/>
        <v>1316355.4000000001</v>
      </c>
      <c r="E10" s="221">
        <f>+BASE!$C10*BASE!F10</f>
        <v>0</v>
      </c>
      <c r="F10" s="221">
        <f>+BASE!$C10*BASE!G10</f>
        <v>0</v>
      </c>
      <c r="G10" s="221">
        <f>+BASE!$C10*BASE!H10</f>
        <v>0</v>
      </c>
      <c r="H10" s="221">
        <f>+BASE!$C10*BASE!I10</f>
        <v>0</v>
      </c>
      <c r="I10" s="221">
        <f>+BASE!$C10*BASE!J10</f>
        <v>262850.90000000002</v>
      </c>
      <c r="J10" s="221">
        <f>+BASE!$C10*BASE!K10</f>
        <v>263342.60000000003</v>
      </c>
      <c r="K10" s="221">
        <f>+BASE!$C10*BASE!L10</f>
        <v>263610.8</v>
      </c>
      <c r="L10" s="221">
        <f>+BASE!$C10*BASE!M10</f>
        <v>263655.5</v>
      </c>
      <c r="M10" s="221">
        <f>+BASE!$C10*BASE!N10</f>
        <v>262895.60000000003</v>
      </c>
      <c r="N10" s="221">
        <f>+BASE!$C10*BASE!O10</f>
        <v>0</v>
      </c>
      <c r="O10" s="221">
        <f>+BASE!$C10*BASE!P10</f>
        <v>0</v>
      </c>
      <c r="P10" s="221">
        <f>+BASE!$C10*BASE!Q10</f>
        <v>0</v>
      </c>
    </row>
    <row r="11" spans="1:17" ht="15" x14ac:dyDescent="0.25">
      <c r="A11" s="200" t="s">
        <v>104</v>
      </c>
      <c r="B11" s="26"/>
      <c r="C11" s="137">
        <f>+BASE!C11</f>
        <v>14.9</v>
      </c>
      <c r="D11" s="156">
        <f t="shared" si="1"/>
        <v>0</v>
      </c>
      <c r="E11" s="221">
        <f>+BASE!$C11*BASE!F11</f>
        <v>0</v>
      </c>
      <c r="F11" s="221">
        <f>+BASE!$C11*BASE!G11</f>
        <v>0</v>
      </c>
      <c r="G11" s="221">
        <f>+BASE!$C11*BASE!H11</f>
        <v>0</v>
      </c>
      <c r="H11" s="221">
        <f>+BASE!$C11*BASE!I11</f>
        <v>0</v>
      </c>
      <c r="I11" s="221">
        <f>+BASE!$C11*BASE!J11</f>
        <v>0</v>
      </c>
      <c r="J11" s="221">
        <f>+BASE!$C11*BASE!K11</f>
        <v>0</v>
      </c>
      <c r="K11" s="221">
        <f>+BASE!$C11*BASE!L11</f>
        <v>0</v>
      </c>
      <c r="L11" s="221">
        <f>+BASE!$C11*BASE!M11</f>
        <v>0</v>
      </c>
      <c r="M11" s="221">
        <f>+BASE!$C11*BASE!N11</f>
        <v>0</v>
      </c>
      <c r="N11" s="221">
        <f>+BASE!$C11*BASE!O11</f>
        <v>0</v>
      </c>
      <c r="O11" s="221">
        <f>+BASE!$C11*BASE!P11</f>
        <v>0</v>
      </c>
      <c r="P11" s="221">
        <f>+BASE!$C11*BASE!Q11</f>
        <v>0</v>
      </c>
    </row>
    <row r="12" spans="1:17" ht="15" x14ac:dyDescent="0.25">
      <c r="A12" s="200" t="s">
        <v>104</v>
      </c>
      <c r="B12" s="26"/>
      <c r="C12" s="137">
        <f>+BASE!C12</f>
        <v>14.9</v>
      </c>
      <c r="D12" s="156">
        <f t="shared" si="1"/>
        <v>0</v>
      </c>
      <c r="E12" s="221">
        <f>+BASE!$C12*BASE!F12</f>
        <v>0</v>
      </c>
      <c r="F12" s="221">
        <f>+BASE!$C12*BASE!G12</f>
        <v>0</v>
      </c>
      <c r="G12" s="221">
        <f>+BASE!$C12*BASE!H12</f>
        <v>0</v>
      </c>
      <c r="H12" s="221">
        <f>+BASE!$C12*BASE!I12</f>
        <v>0</v>
      </c>
      <c r="I12" s="221">
        <f>+BASE!$C12*BASE!J12</f>
        <v>0</v>
      </c>
      <c r="J12" s="221">
        <f>+BASE!$C12*BASE!K12</f>
        <v>0</v>
      </c>
      <c r="K12" s="221">
        <f>+BASE!$C12*BASE!L12</f>
        <v>0</v>
      </c>
      <c r="L12" s="221">
        <f>+BASE!$C12*BASE!M12</f>
        <v>0</v>
      </c>
      <c r="M12" s="221">
        <f>+BASE!$C12*BASE!N12</f>
        <v>0</v>
      </c>
      <c r="N12" s="221">
        <f>+BASE!$C12*BASE!O12</f>
        <v>0</v>
      </c>
      <c r="O12" s="221">
        <f>+BASE!$C12*BASE!P12</f>
        <v>0</v>
      </c>
      <c r="P12" s="221">
        <f>+BASE!$C12*BASE!Q12</f>
        <v>0</v>
      </c>
    </row>
    <row r="13" spans="1:17" ht="18" customHeight="1" x14ac:dyDescent="0.25">
      <c r="A13" s="2" t="s">
        <v>6</v>
      </c>
      <c r="B13" s="26"/>
      <c r="C13" s="137">
        <f>+BASE!C13</f>
        <v>14.9</v>
      </c>
      <c r="D13" s="156">
        <f t="shared" si="0"/>
        <v>1833623.8000000003</v>
      </c>
      <c r="E13" s="221">
        <f>+BASE!$C13*BASE!F13</f>
        <v>261629.1</v>
      </c>
      <c r="F13" s="221">
        <f>+BASE!$C13*BASE!G13</f>
        <v>261226.80000000002</v>
      </c>
      <c r="G13" s="221">
        <f>+BASE!$C13*BASE!H13</f>
        <v>262150.60000000003</v>
      </c>
      <c r="H13" s="221">
        <f>+BASE!$C13*BASE!I13</f>
        <v>262493.3</v>
      </c>
      <c r="I13" s="221">
        <f>+BASE!$C13*BASE!J13</f>
        <v>0</v>
      </c>
      <c r="J13" s="221">
        <f>+BASE!$C13*BASE!K13</f>
        <v>0</v>
      </c>
      <c r="K13" s="221">
        <f>+BASE!$C13*BASE!L13</f>
        <v>0</v>
      </c>
      <c r="L13" s="221">
        <f>+BASE!$C13*BASE!M13</f>
        <v>0</v>
      </c>
      <c r="M13" s="221">
        <f>+BASE!$C13*BASE!N13</f>
        <v>0</v>
      </c>
      <c r="N13" s="221">
        <f>+BASE!$C13*BASE!O13</f>
        <v>263119.10000000003</v>
      </c>
      <c r="O13" s="221">
        <f>+BASE!$C13*BASE!P13</f>
        <v>261971.80000000002</v>
      </c>
      <c r="P13" s="221">
        <f>+BASE!$C13*BASE!Q13</f>
        <v>261033.1</v>
      </c>
    </row>
    <row r="14" spans="1:17" ht="15" x14ac:dyDescent="0.25">
      <c r="A14" s="2" t="s">
        <v>6</v>
      </c>
      <c r="B14" s="26"/>
      <c r="C14" s="137">
        <f>+BASE!C14</f>
        <v>14.9</v>
      </c>
      <c r="D14" s="156">
        <f t="shared" si="0"/>
        <v>0</v>
      </c>
      <c r="E14" s="221">
        <f>+BASE!$C14*BASE!F14</f>
        <v>0</v>
      </c>
      <c r="F14" s="221">
        <f>+BASE!$C14*BASE!G14</f>
        <v>0</v>
      </c>
      <c r="G14" s="221">
        <f>+BASE!$C14*BASE!H14</f>
        <v>0</v>
      </c>
      <c r="H14" s="221">
        <f>+BASE!$C14*BASE!I14</f>
        <v>0</v>
      </c>
      <c r="I14" s="221">
        <f>+BASE!$C14*BASE!J14</f>
        <v>0</v>
      </c>
      <c r="J14" s="221">
        <f>+BASE!$C14*BASE!K14</f>
        <v>0</v>
      </c>
      <c r="K14" s="221">
        <f>+BASE!$C14*BASE!L14</f>
        <v>0</v>
      </c>
      <c r="L14" s="221">
        <f>+BASE!$C14*BASE!M14</f>
        <v>0</v>
      </c>
      <c r="M14" s="221">
        <f>+BASE!$C14*BASE!N14</f>
        <v>0</v>
      </c>
      <c r="N14" s="221">
        <f>+BASE!$C14*BASE!O14</f>
        <v>0</v>
      </c>
      <c r="O14" s="221">
        <f>+BASE!$C14*BASE!P14</f>
        <v>0</v>
      </c>
      <c r="P14" s="221">
        <f>+BASE!$C14*BASE!Q14</f>
        <v>0</v>
      </c>
    </row>
    <row r="15" spans="1:17" ht="15" x14ac:dyDescent="0.25">
      <c r="A15" s="2" t="s">
        <v>6</v>
      </c>
      <c r="B15" s="26"/>
      <c r="C15" s="137">
        <f>+BASE!C15</f>
        <v>14.9</v>
      </c>
      <c r="D15" s="156">
        <f t="shared" si="0"/>
        <v>0</v>
      </c>
      <c r="E15" s="221">
        <f>+BASE!$C15*BASE!F15</f>
        <v>0</v>
      </c>
      <c r="F15" s="221">
        <f>+BASE!$C15*BASE!G15</f>
        <v>0</v>
      </c>
      <c r="G15" s="221">
        <f>+BASE!$C15*BASE!H15</f>
        <v>0</v>
      </c>
      <c r="H15" s="221">
        <f>+BASE!$C15*BASE!I15</f>
        <v>0</v>
      </c>
      <c r="I15" s="221">
        <f>+BASE!$C15*BASE!J15</f>
        <v>0</v>
      </c>
      <c r="J15" s="221">
        <f>+BASE!$C15*BASE!K15</f>
        <v>0</v>
      </c>
      <c r="K15" s="221">
        <f>+BASE!$C15*BASE!L15</f>
        <v>0</v>
      </c>
      <c r="L15" s="221">
        <f>+BASE!$C15*BASE!M15</f>
        <v>0</v>
      </c>
      <c r="M15" s="221">
        <f>+BASE!$C15*BASE!N15</f>
        <v>0</v>
      </c>
      <c r="N15" s="221">
        <f>+BASE!$C15*BASE!O15</f>
        <v>0</v>
      </c>
      <c r="O15" s="221">
        <f>+BASE!$C15*BASE!P15</f>
        <v>0</v>
      </c>
      <c r="P15" s="221">
        <f>+BASE!$C15*BASE!Q15</f>
        <v>0</v>
      </c>
    </row>
    <row r="16" spans="1:17" ht="15" x14ac:dyDescent="0.25">
      <c r="A16" s="2" t="s">
        <v>7</v>
      </c>
      <c r="B16" s="26"/>
      <c r="C16" s="137">
        <f>+BASE!C16</f>
        <v>24.83</v>
      </c>
      <c r="D16" s="156">
        <f t="shared" si="0"/>
        <v>5735.73</v>
      </c>
      <c r="E16" s="221">
        <f>+BASE!$C16*BASE!F16</f>
        <v>794.56</v>
      </c>
      <c r="F16" s="221">
        <f>+BASE!$C16*BASE!G16</f>
        <v>794.56</v>
      </c>
      <c r="G16" s="221">
        <f>+BASE!$C16*BASE!H16</f>
        <v>794.56</v>
      </c>
      <c r="H16" s="221">
        <f>+BASE!$C16*BASE!I16</f>
        <v>794.56</v>
      </c>
      <c r="I16" s="221">
        <f>+BASE!$C16*BASE!J16</f>
        <v>0</v>
      </c>
      <c r="J16" s="221">
        <f>+BASE!$C16*BASE!K16</f>
        <v>0</v>
      </c>
      <c r="K16" s="221">
        <f>+BASE!$C16*BASE!L16</f>
        <v>0</v>
      </c>
      <c r="L16" s="221">
        <f>+BASE!$C16*BASE!M16</f>
        <v>0</v>
      </c>
      <c r="M16" s="221">
        <f>+BASE!$C16*BASE!N16</f>
        <v>0</v>
      </c>
      <c r="N16" s="221">
        <f>+BASE!$C16*BASE!O16</f>
        <v>844.21999999999991</v>
      </c>
      <c r="O16" s="221">
        <f>+BASE!$C16*BASE!P16</f>
        <v>869.05</v>
      </c>
      <c r="P16" s="221">
        <f>+BASE!$C16*BASE!Q16</f>
        <v>844.21999999999991</v>
      </c>
    </row>
    <row r="17" spans="1:16" ht="15" x14ac:dyDescent="0.25">
      <c r="A17" s="2" t="s">
        <v>7</v>
      </c>
      <c r="B17" s="26"/>
      <c r="C17" s="137">
        <f>+BASE!C17</f>
        <v>24.83</v>
      </c>
      <c r="D17" s="156">
        <f t="shared" si="0"/>
        <v>0</v>
      </c>
      <c r="E17" s="221">
        <f>+BASE!$C17*BASE!F17</f>
        <v>0</v>
      </c>
      <c r="F17" s="221">
        <f>+BASE!$C17*BASE!G17</f>
        <v>0</v>
      </c>
      <c r="G17" s="221">
        <f>+BASE!$C17*BASE!H17</f>
        <v>0</v>
      </c>
      <c r="H17" s="221">
        <f>+BASE!$C17*BASE!I17</f>
        <v>0</v>
      </c>
      <c r="I17" s="221">
        <f>+BASE!$C17*BASE!J17</f>
        <v>0</v>
      </c>
      <c r="J17" s="221">
        <f>+BASE!$C17*BASE!K17</f>
        <v>0</v>
      </c>
      <c r="K17" s="221">
        <f>+BASE!$C17*BASE!L17</f>
        <v>0</v>
      </c>
      <c r="L17" s="221">
        <f>+BASE!$C17*BASE!M17</f>
        <v>0</v>
      </c>
      <c r="M17" s="221">
        <f>+BASE!$C17*BASE!N17</f>
        <v>0</v>
      </c>
      <c r="N17" s="221">
        <f>+BASE!$C17*BASE!O17</f>
        <v>0</v>
      </c>
      <c r="O17" s="221">
        <f>+BASE!$C17*BASE!P17</f>
        <v>0</v>
      </c>
      <c r="P17" s="221">
        <f>+BASE!$C17*BASE!Q17</f>
        <v>0</v>
      </c>
    </row>
    <row r="18" spans="1:16" ht="15" x14ac:dyDescent="0.25">
      <c r="A18" s="2" t="s">
        <v>7</v>
      </c>
      <c r="B18" s="26"/>
      <c r="C18" s="137">
        <f>+BASE!C18</f>
        <v>24.83</v>
      </c>
      <c r="D18" s="156">
        <f t="shared" si="0"/>
        <v>0</v>
      </c>
      <c r="E18" s="221">
        <f>+BASE!$C18*BASE!F18</f>
        <v>0</v>
      </c>
      <c r="F18" s="221">
        <f>+BASE!$C18*BASE!G18</f>
        <v>0</v>
      </c>
      <c r="G18" s="221">
        <f>+BASE!$C18*BASE!H18</f>
        <v>0</v>
      </c>
      <c r="H18" s="221">
        <f>+BASE!$C18*BASE!I18</f>
        <v>0</v>
      </c>
      <c r="I18" s="221">
        <f>+BASE!$C18*BASE!J18</f>
        <v>0</v>
      </c>
      <c r="J18" s="221">
        <f>+BASE!$C18*BASE!K18</f>
        <v>0</v>
      </c>
      <c r="K18" s="221">
        <f>+BASE!$C18*BASE!L18</f>
        <v>0</v>
      </c>
      <c r="L18" s="221">
        <f>+BASE!$C18*BASE!M18</f>
        <v>0</v>
      </c>
      <c r="M18" s="221">
        <f>+BASE!$C18*BASE!N18</f>
        <v>0</v>
      </c>
      <c r="N18" s="221">
        <f>+BASE!$C18*BASE!O18</f>
        <v>0</v>
      </c>
      <c r="O18" s="221">
        <f>+BASE!$C18*BASE!P18</f>
        <v>0</v>
      </c>
      <c r="P18" s="221">
        <f>+BASE!$C18*BASE!Q18</f>
        <v>0</v>
      </c>
    </row>
    <row r="19" spans="1:16" ht="15" x14ac:dyDescent="0.25">
      <c r="A19" s="200" t="s">
        <v>106</v>
      </c>
      <c r="B19" s="26"/>
      <c r="C19" s="137">
        <f>+BASE!C19</f>
        <v>24.83</v>
      </c>
      <c r="D19" s="156">
        <f t="shared" ref="D19:D21" si="2">SUM(E19:P19)</f>
        <v>4146.6099999999997</v>
      </c>
      <c r="E19" s="221">
        <f>+BASE!$C19*BASE!F19</f>
        <v>0</v>
      </c>
      <c r="F19" s="221">
        <f>+BASE!$C19*BASE!G19</f>
        <v>0</v>
      </c>
      <c r="G19" s="221">
        <f>+BASE!$C19*BASE!H19</f>
        <v>0</v>
      </c>
      <c r="H19" s="221">
        <f>+BASE!$C19*BASE!I19</f>
        <v>0</v>
      </c>
      <c r="I19" s="221">
        <f>+BASE!$C19*BASE!J19</f>
        <v>819.39</v>
      </c>
      <c r="J19" s="221">
        <f>+BASE!$C19*BASE!K19</f>
        <v>869.05</v>
      </c>
      <c r="K19" s="221">
        <f>+BASE!$C19*BASE!L19</f>
        <v>819.39</v>
      </c>
      <c r="L19" s="221">
        <f>+BASE!$C19*BASE!M19</f>
        <v>819.39</v>
      </c>
      <c r="M19" s="221">
        <f>+BASE!$C19*BASE!N19</f>
        <v>819.39</v>
      </c>
      <c r="N19" s="221">
        <f>+BASE!$C19*BASE!O19</f>
        <v>0</v>
      </c>
      <c r="O19" s="221">
        <f>+BASE!$C19*BASE!P19</f>
        <v>0</v>
      </c>
      <c r="P19" s="221">
        <f>+BASE!$C19*BASE!Q19</f>
        <v>0</v>
      </c>
    </row>
    <row r="20" spans="1:16" ht="15" x14ac:dyDescent="0.25">
      <c r="A20" s="200" t="s">
        <v>106</v>
      </c>
      <c r="B20" s="26"/>
      <c r="C20" s="137">
        <f>+BASE!C20</f>
        <v>24.83</v>
      </c>
      <c r="D20" s="156">
        <f t="shared" si="2"/>
        <v>0</v>
      </c>
      <c r="E20" s="221">
        <f>+BASE!$C20*BASE!F20</f>
        <v>0</v>
      </c>
      <c r="F20" s="221">
        <f>+BASE!$C20*BASE!G20</f>
        <v>0</v>
      </c>
      <c r="G20" s="221">
        <f>+BASE!$C20*BASE!H20</f>
        <v>0</v>
      </c>
      <c r="H20" s="221">
        <f>+BASE!$C20*BASE!I20</f>
        <v>0</v>
      </c>
      <c r="I20" s="221">
        <f>+BASE!$C20*BASE!J20</f>
        <v>0</v>
      </c>
      <c r="J20" s="221">
        <f>+BASE!$C20*BASE!K20</f>
        <v>0</v>
      </c>
      <c r="K20" s="221">
        <f>+BASE!$C20*BASE!L20</f>
        <v>0</v>
      </c>
      <c r="L20" s="221">
        <f>+BASE!$C20*BASE!M20</f>
        <v>0</v>
      </c>
      <c r="M20" s="221">
        <f>+BASE!$C20*BASE!N20</f>
        <v>0</v>
      </c>
      <c r="N20" s="221">
        <f>+BASE!$C20*BASE!O20</f>
        <v>0</v>
      </c>
      <c r="O20" s="221">
        <f>+BASE!$C20*BASE!P20</f>
        <v>0</v>
      </c>
      <c r="P20" s="221">
        <f>+BASE!$C20*BASE!Q20</f>
        <v>0</v>
      </c>
    </row>
    <row r="21" spans="1:16" ht="15" x14ac:dyDescent="0.25">
      <c r="A21" s="200" t="s">
        <v>106</v>
      </c>
      <c r="B21" s="26"/>
      <c r="C21" s="137">
        <f>+BASE!C21</f>
        <v>24.83</v>
      </c>
      <c r="D21" s="156">
        <f t="shared" si="2"/>
        <v>0</v>
      </c>
      <c r="E21" s="221">
        <f>+BASE!$C21*BASE!F21</f>
        <v>0</v>
      </c>
      <c r="F21" s="221">
        <f>+BASE!$C21*BASE!G21</f>
        <v>0</v>
      </c>
      <c r="G21" s="221">
        <f>+BASE!$C21*BASE!H21</f>
        <v>0</v>
      </c>
      <c r="H21" s="221">
        <f>+BASE!$C21*BASE!I21</f>
        <v>0</v>
      </c>
      <c r="I21" s="221">
        <f>+BASE!$C21*BASE!J21</f>
        <v>0</v>
      </c>
      <c r="J21" s="221">
        <f>+BASE!$C21*BASE!K21</f>
        <v>0</v>
      </c>
      <c r="K21" s="221">
        <f>+BASE!$C21*BASE!L21</f>
        <v>0</v>
      </c>
      <c r="L21" s="221">
        <f>+BASE!$C21*BASE!M21</f>
        <v>0</v>
      </c>
      <c r="M21" s="221">
        <f>+BASE!$C21*BASE!N21</f>
        <v>0</v>
      </c>
      <c r="N21" s="221">
        <f>+BASE!$C21*BASE!O21</f>
        <v>0</v>
      </c>
      <c r="O21" s="221">
        <f>+BASE!$C21*BASE!P21</f>
        <v>0</v>
      </c>
      <c r="P21" s="221">
        <f>+BASE!$C21*BASE!Q21</f>
        <v>0</v>
      </c>
    </row>
    <row r="22" spans="1:16" ht="15" x14ac:dyDescent="0.25">
      <c r="A22" s="2" t="s">
        <v>8</v>
      </c>
      <c r="B22" s="26"/>
      <c r="C22" s="137">
        <f>+BASE!C22</f>
        <v>49.67</v>
      </c>
      <c r="D22" s="156">
        <f t="shared" si="0"/>
        <v>0</v>
      </c>
      <c r="E22" s="221">
        <f>+BASE!$C22*BASE!F22</f>
        <v>0</v>
      </c>
      <c r="F22" s="221">
        <f>+BASE!$C22*BASE!G22</f>
        <v>0</v>
      </c>
      <c r="G22" s="221">
        <f>+BASE!$C22*BASE!H22</f>
        <v>0</v>
      </c>
      <c r="H22" s="221">
        <f>+BASE!$C22*BASE!I22</f>
        <v>0</v>
      </c>
      <c r="I22" s="221">
        <f>+BASE!$C22*BASE!J22</f>
        <v>0</v>
      </c>
      <c r="J22" s="221">
        <f>+BASE!$C22*BASE!K22</f>
        <v>0</v>
      </c>
      <c r="K22" s="221">
        <f>+BASE!$C22*BASE!L22</f>
        <v>0</v>
      </c>
      <c r="L22" s="221">
        <f>+BASE!$C22*BASE!M22</f>
        <v>0</v>
      </c>
      <c r="M22" s="221">
        <f>+BASE!$C22*BASE!N22</f>
        <v>0</v>
      </c>
      <c r="N22" s="221">
        <f>+BASE!$C22*BASE!O22</f>
        <v>0</v>
      </c>
      <c r="O22" s="221">
        <f>+BASE!$C22*BASE!P22</f>
        <v>0</v>
      </c>
      <c r="P22" s="221">
        <f>+BASE!$C22*BASE!Q22</f>
        <v>0</v>
      </c>
    </row>
    <row r="23" spans="1:16" ht="15" x14ac:dyDescent="0.25">
      <c r="A23" s="2" t="s">
        <v>8</v>
      </c>
      <c r="B23" s="26"/>
      <c r="C23" s="137">
        <f>+BASE!C23</f>
        <v>49.67</v>
      </c>
      <c r="D23" s="156">
        <f t="shared" si="0"/>
        <v>0</v>
      </c>
      <c r="E23" s="221">
        <f>+BASE!$C23*BASE!F23</f>
        <v>0</v>
      </c>
      <c r="F23" s="221">
        <f>+BASE!$C23*BASE!G23</f>
        <v>0</v>
      </c>
      <c r="G23" s="221">
        <f>+BASE!$C23*BASE!H23</f>
        <v>0</v>
      </c>
      <c r="H23" s="221">
        <f>+BASE!$C23*BASE!I23</f>
        <v>0</v>
      </c>
      <c r="I23" s="221">
        <f>+BASE!$C23*BASE!J23</f>
        <v>0</v>
      </c>
      <c r="J23" s="221">
        <f>+BASE!$C23*BASE!K23</f>
        <v>0</v>
      </c>
      <c r="K23" s="221">
        <f>+BASE!$C23*BASE!L23</f>
        <v>0</v>
      </c>
      <c r="L23" s="221">
        <f>+BASE!$C23*BASE!M23</f>
        <v>0</v>
      </c>
      <c r="M23" s="221">
        <f>+BASE!$C23*BASE!N23</f>
        <v>0</v>
      </c>
      <c r="N23" s="221">
        <f>+BASE!$C23*BASE!O23</f>
        <v>0</v>
      </c>
      <c r="O23" s="221">
        <f>+BASE!$C23*BASE!P23</f>
        <v>0</v>
      </c>
      <c r="P23" s="221">
        <f>+BASE!$C23*BASE!Q23</f>
        <v>0</v>
      </c>
    </row>
    <row r="24" spans="1:16" ht="15" x14ac:dyDescent="0.25">
      <c r="A24" s="2" t="s">
        <v>8</v>
      </c>
      <c r="B24" s="26"/>
      <c r="C24" s="137">
        <f>+BASE!C24</f>
        <v>49.67</v>
      </c>
      <c r="D24" s="156">
        <f t="shared" si="0"/>
        <v>0</v>
      </c>
      <c r="E24" s="221">
        <f>+BASE!$C24*BASE!F24</f>
        <v>0</v>
      </c>
      <c r="F24" s="221">
        <f>+BASE!$C24*BASE!G24</f>
        <v>0</v>
      </c>
      <c r="G24" s="221">
        <f>+BASE!$C24*BASE!H24</f>
        <v>0</v>
      </c>
      <c r="H24" s="221">
        <f>+BASE!$C24*BASE!I24</f>
        <v>0</v>
      </c>
      <c r="I24" s="221">
        <f>+BASE!$C24*BASE!J24</f>
        <v>0</v>
      </c>
      <c r="J24" s="221">
        <f>+BASE!$C24*BASE!K24</f>
        <v>0</v>
      </c>
      <c r="K24" s="221">
        <f>+BASE!$C24*BASE!L24</f>
        <v>0</v>
      </c>
      <c r="L24" s="221">
        <f>+BASE!$C24*BASE!M24</f>
        <v>0</v>
      </c>
      <c r="M24" s="221">
        <f>+BASE!$C24*BASE!N24</f>
        <v>0</v>
      </c>
      <c r="N24" s="221">
        <f>+BASE!$C24*BASE!O24</f>
        <v>0</v>
      </c>
      <c r="O24" s="221">
        <f>+BASE!$C24*BASE!P24</f>
        <v>0</v>
      </c>
      <c r="P24" s="221">
        <f>+BASE!$C24*BASE!Q24</f>
        <v>0</v>
      </c>
    </row>
    <row r="25" spans="1:16" ht="15" x14ac:dyDescent="0.25">
      <c r="A25" s="2" t="s">
        <v>9</v>
      </c>
      <c r="B25" s="26"/>
      <c r="C25" s="137">
        <f>+BASE!C25</f>
        <v>79.47</v>
      </c>
      <c r="D25" s="156">
        <f t="shared" si="0"/>
        <v>1668.8700000000003</v>
      </c>
      <c r="E25" s="221">
        <f>+BASE!$C25*BASE!F25</f>
        <v>79.47</v>
      </c>
      <c r="F25" s="221">
        <f>+BASE!$C25*BASE!G25</f>
        <v>79.47</v>
      </c>
      <c r="G25" s="221">
        <f>+BASE!$C25*BASE!H25</f>
        <v>158.94</v>
      </c>
      <c r="H25" s="221">
        <f>+BASE!$C25*BASE!I25</f>
        <v>158.94</v>
      </c>
      <c r="I25" s="221">
        <f>+BASE!$C25*BASE!J25</f>
        <v>158.94</v>
      </c>
      <c r="J25" s="221">
        <f>+BASE!$C25*BASE!K25</f>
        <v>79.47</v>
      </c>
      <c r="K25" s="221">
        <f>+BASE!$C25*BASE!L25</f>
        <v>158.94</v>
      </c>
      <c r="L25" s="221">
        <f>+BASE!$C25*BASE!M25</f>
        <v>158.94</v>
      </c>
      <c r="M25" s="221">
        <f>+BASE!$C25*BASE!N25</f>
        <v>158.94</v>
      </c>
      <c r="N25" s="221">
        <f>+BASE!$C25*BASE!O25</f>
        <v>158.94</v>
      </c>
      <c r="O25" s="221">
        <f>+BASE!$C25*BASE!P25</f>
        <v>158.94</v>
      </c>
      <c r="P25" s="221">
        <f>+BASE!$C25*BASE!Q25</f>
        <v>158.94</v>
      </c>
    </row>
    <row r="26" spans="1:16" ht="15" x14ac:dyDescent="0.25">
      <c r="A26" s="2" t="s">
        <v>9</v>
      </c>
      <c r="B26" s="26"/>
      <c r="C26" s="137">
        <f>+BASE!C26</f>
        <v>79.47</v>
      </c>
      <c r="D26" s="156">
        <f t="shared" si="0"/>
        <v>0</v>
      </c>
      <c r="E26" s="221">
        <f>+BASE!$C26*BASE!F26</f>
        <v>0</v>
      </c>
      <c r="F26" s="221">
        <f>+BASE!$C26*BASE!G26</f>
        <v>0</v>
      </c>
      <c r="G26" s="221">
        <f>+BASE!$C26*BASE!H26</f>
        <v>0</v>
      </c>
      <c r="H26" s="221">
        <f>+BASE!$C26*BASE!I26</f>
        <v>0</v>
      </c>
      <c r="I26" s="221">
        <f>+BASE!$C26*BASE!J26</f>
        <v>0</v>
      </c>
      <c r="J26" s="221">
        <f>+BASE!$C26*BASE!K26</f>
        <v>0</v>
      </c>
      <c r="K26" s="221">
        <f>+BASE!$C26*BASE!L26</f>
        <v>0</v>
      </c>
      <c r="L26" s="221">
        <f>+BASE!$C26*BASE!M26</f>
        <v>0</v>
      </c>
      <c r="M26" s="221">
        <f>+BASE!$C26*BASE!N26</f>
        <v>0</v>
      </c>
      <c r="N26" s="221">
        <f>+BASE!$C26*BASE!O26</f>
        <v>0</v>
      </c>
      <c r="O26" s="221">
        <f>+BASE!$C26*BASE!P26</f>
        <v>0</v>
      </c>
      <c r="P26" s="221">
        <f>+BASE!$C26*BASE!Q26</f>
        <v>0</v>
      </c>
    </row>
    <row r="27" spans="1:16" ht="15" x14ac:dyDescent="0.25">
      <c r="A27" s="2" t="s">
        <v>9</v>
      </c>
      <c r="B27" s="26"/>
      <c r="C27" s="137">
        <f>+BASE!C27</f>
        <v>79.47</v>
      </c>
      <c r="D27" s="156">
        <f t="shared" si="0"/>
        <v>0</v>
      </c>
      <c r="E27" s="221">
        <f>+BASE!$C27*BASE!F27</f>
        <v>0</v>
      </c>
      <c r="F27" s="221">
        <f>+BASE!$C27*BASE!G27</f>
        <v>0</v>
      </c>
      <c r="G27" s="221">
        <f>+BASE!$C27*BASE!H27</f>
        <v>0</v>
      </c>
      <c r="H27" s="221">
        <f>+BASE!$C27*BASE!I27</f>
        <v>0</v>
      </c>
      <c r="I27" s="221">
        <f>+BASE!$C27*BASE!J27</f>
        <v>0</v>
      </c>
      <c r="J27" s="221">
        <f>+BASE!$C27*BASE!K27</f>
        <v>0</v>
      </c>
      <c r="K27" s="221">
        <f>+BASE!$C27*BASE!L27</f>
        <v>0</v>
      </c>
      <c r="L27" s="221">
        <f>+BASE!$C27*BASE!M27</f>
        <v>0</v>
      </c>
      <c r="M27" s="221">
        <f>+BASE!$C27*BASE!N27</f>
        <v>0</v>
      </c>
      <c r="N27" s="221">
        <f>+BASE!$C27*BASE!O27</f>
        <v>0</v>
      </c>
      <c r="O27" s="221">
        <f>+BASE!$C27*BASE!P27</f>
        <v>0</v>
      </c>
      <c r="P27" s="221">
        <f>+BASE!$C27*BASE!Q27</f>
        <v>0</v>
      </c>
    </row>
    <row r="28" spans="1:16" ht="15" x14ac:dyDescent="0.25">
      <c r="A28" s="110" t="s">
        <v>86</v>
      </c>
      <c r="B28" s="26"/>
      <c r="C28" s="137">
        <f>+BASE!C28</f>
        <v>248.33</v>
      </c>
      <c r="D28" s="156">
        <f t="shared" si="0"/>
        <v>2979.9599999999996</v>
      </c>
      <c r="E28" s="221">
        <f>+BASE!$C28*BASE!F28</f>
        <v>248.33</v>
      </c>
      <c r="F28" s="221">
        <f>+BASE!$C28*BASE!G28</f>
        <v>248.33</v>
      </c>
      <c r="G28" s="221">
        <f>+BASE!$C28*BASE!H28</f>
        <v>248.33</v>
      </c>
      <c r="H28" s="221">
        <f>+BASE!$C28*BASE!I28</f>
        <v>248.33</v>
      </c>
      <c r="I28" s="221">
        <f>+BASE!$C28*BASE!J28</f>
        <v>248.33</v>
      </c>
      <c r="J28" s="221">
        <f>+BASE!$C28*BASE!K28</f>
        <v>248.33</v>
      </c>
      <c r="K28" s="221">
        <f>+BASE!$C28*BASE!L28</f>
        <v>248.33</v>
      </c>
      <c r="L28" s="221">
        <f>+BASE!$C28*BASE!M28</f>
        <v>248.33</v>
      </c>
      <c r="M28" s="221">
        <f>+BASE!$C28*BASE!N28</f>
        <v>248.33</v>
      </c>
      <c r="N28" s="221">
        <f>+BASE!$C28*BASE!O28</f>
        <v>248.33</v>
      </c>
      <c r="O28" s="221">
        <f>+BASE!$C28*BASE!P28</f>
        <v>248.33</v>
      </c>
      <c r="P28" s="221">
        <f>+BASE!$C28*BASE!Q28</f>
        <v>248.33</v>
      </c>
    </row>
    <row r="29" spans="1:16" ht="15" x14ac:dyDescent="0.25">
      <c r="A29" s="110" t="s">
        <v>86</v>
      </c>
      <c r="B29" s="26"/>
      <c r="C29" s="137">
        <f>+BASE!C29</f>
        <v>248.33</v>
      </c>
      <c r="D29" s="156">
        <f t="shared" si="0"/>
        <v>0</v>
      </c>
      <c r="E29" s="221">
        <f>+BASE!$C29*BASE!F29</f>
        <v>0</v>
      </c>
      <c r="F29" s="221">
        <f>+BASE!$C29*BASE!G29</f>
        <v>0</v>
      </c>
      <c r="G29" s="221">
        <f>+BASE!$C29*BASE!H29</f>
        <v>0</v>
      </c>
      <c r="H29" s="221">
        <f>+BASE!$C29*BASE!I29</f>
        <v>0</v>
      </c>
      <c r="I29" s="221">
        <f>+BASE!$C29*BASE!J29</f>
        <v>0</v>
      </c>
      <c r="J29" s="221">
        <f>+BASE!$C29*BASE!K29</f>
        <v>0</v>
      </c>
      <c r="K29" s="221">
        <f>+BASE!$C29*BASE!L29</f>
        <v>0</v>
      </c>
      <c r="L29" s="221">
        <f>+BASE!$C29*BASE!M29</f>
        <v>0</v>
      </c>
      <c r="M29" s="221">
        <f>+BASE!$C29*BASE!N29</f>
        <v>0</v>
      </c>
      <c r="N29" s="221">
        <f>+BASE!$C29*BASE!O29</f>
        <v>0</v>
      </c>
      <c r="O29" s="221">
        <f>+BASE!$C29*BASE!P29</f>
        <v>0</v>
      </c>
      <c r="P29" s="221">
        <f>+BASE!$C29*BASE!Q29</f>
        <v>0</v>
      </c>
    </row>
    <row r="30" spans="1:16" ht="15" x14ac:dyDescent="0.25">
      <c r="A30" s="110" t="s">
        <v>86</v>
      </c>
      <c r="B30" s="26"/>
      <c r="C30" s="137">
        <f>+BASE!C30</f>
        <v>248.33</v>
      </c>
      <c r="D30" s="156">
        <f t="shared" si="0"/>
        <v>0</v>
      </c>
      <c r="E30" s="221">
        <f>+BASE!$C30*BASE!F30</f>
        <v>0</v>
      </c>
      <c r="F30" s="221">
        <f>+BASE!$C30*BASE!G30</f>
        <v>0</v>
      </c>
      <c r="G30" s="221">
        <f>+BASE!$C30*BASE!H30</f>
        <v>0</v>
      </c>
      <c r="H30" s="221">
        <f>+BASE!$C30*BASE!I30</f>
        <v>0</v>
      </c>
      <c r="I30" s="221">
        <f>+BASE!$C30*BASE!J30</f>
        <v>0</v>
      </c>
      <c r="J30" s="221">
        <f>+BASE!$C30*BASE!K30</f>
        <v>0</v>
      </c>
      <c r="K30" s="221">
        <f>+BASE!$C30*BASE!L30</f>
        <v>0</v>
      </c>
      <c r="L30" s="221">
        <f>+BASE!$C30*BASE!M30</f>
        <v>0</v>
      </c>
      <c r="M30" s="221">
        <f>+BASE!$C30*BASE!N30</f>
        <v>0</v>
      </c>
      <c r="N30" s="221">
        <f>+BASE!$C30*BASE!O30</f>
        <v>0</v>
      </c>
      <c r="O30" s="221">
        <f>+BASE!$C30*BASE!P30</f>
        <v>0</v>
      </c>
      <c r="P30" s="221">
        <f>+BASE!$C30*BASE!Q30</f>
        <v>0</v>
      </c>
    </row>
    <row r="31" spans="1:16" ht="15" x14ac:dyDescent="0.25">
      <c r="A31" s="2" t="s">
        <v>10</v>
      </c>
      <c r="B31" s="26"/>
      <c r="C31" s="137">
        <f>+BASE!C31</f>
        <v>14.9</v>
      </c>
      <c r="D31" s="156">
        <f t="shared" si="0"/>
        <v>47441.600000000006</v>
      </c>
      <c r="E31" s="221">
        <f>+BASE!$C31*BASE!F31</f>
        <v>3933.6</v>
      </c>
      <c r="F31" s="221">
        <f>+BASE!$C31*BASE!G31</f>
        <v>3948.5</v>
      </c>
      <c r="G31" s="221">
        <f>+BASE!$C31*BASE!H31</f>
        <v>3978.3</v>
      </c>
      <c r="H31" s="221">
        <f>+BASE!$C31*BASE!I31</f>
        <v>3933.6</v>
      </c>
      <c r="I31" s="221">
        <f>+BASE!$C31*BASE!J31</f>
        <v>3963.4</v>
      </c>
      <c r="J31" s="221">
        <f>+BASE!$C31*BASE!K31</f>
        <v>3948.5</v>
      </c>
      <c r="K31" s="221">
        <f>+BASE!$C31*BASE!L31</f>
        <v>3948.5</v>
      </c>
      <c r="L31" s="221">
        <f>+BASE!$C31*BASE!M31</f>
        <v>3948.5</v>
      </c>
      <c r="M31" s="221">
        <f>+BASE!$C31*BASE!N31</f>
        <v>3978.3</v>
      </c>
      <c r="N31" s="221">
        <f>+BASE!$C31*BASE!O31</f>
        <v>3948.5</v>
      </c>
      <c r="O31" s="221">
        <f>+BASE!$C31*BASE!P31</f>
        <v>3933.6</v>
      </c>
      <c r="P31" s="221">
        <f>+BASE!$C31*BASE!Q31</f>
        <v>3978.3</v>
      </c>
    </row>
    <row r="32" spans="1:16" ht="15" x14ac:dyDescent="0.25">
      <c r="A32" s="2" t="s">
        <v>10</v>
      </c>
      <c r="B32" s="26"/>
      <c r="C32" s="137">
        <f>+BASE!C32</f>
        <v>14.9</v>
      </c>
      <c r="D32" s="156">
        <f t="shared" si="0"/>
        <v>0</v>
      </c>
      <c r="E32" s="221">
        <f>+BASE!$C32*BASE!F32</f>
        <v>0</v>
      </c>
      <c r="F32" s="221">
        <f>+BASE!$C32*BASE!G32</f>
        <v>0</v>
      </c>
      <c r="G32" s="221">
        <f>+BASE!$C32*BASE!H32</f>
        <v>0</v>
      </c>
      <c r="H32" s="221">
        <f>+BASE!$C32*BASE!I32</f>
        <v>0</v>
      </c>
      <c r="I32" s="221">
        <f>+BASE!$C32*BASE!J32</f>
        <v>0</v>
      </c>
      <c r="J32" s="221">
        <f>+BASE!$C32*BASE!K32</f>
        <v>0</v>
      </c>
      <c r="K32" s="221">
        <f>+BASE!$C32*BASE!L32</f>
        <v>0</v>
      </c>
      <c r="L32" s="221">
        <f>+BASE!$C32*BASE!M32</f>
        <v>0</v>
      </c>
      <c r="M32" s="221">
        <f>+BASE!$C32*BASE!N32</f>
        <v>0</v>
      </c>
      <c r="N32" s="221">
        <f>+BASE!$C32*BASE!O32</f>
        <v>0</v>
      </c>
      <c r="O32" s="221">
        <f>+BASE!$C32*BASE!P32</f>
        <v>0</v>
      </c>
      <c r="P32" s="221">
        <f>+BASE!$C32*BASE!Q32</f>
        <v>0</v>
      </c>
    </row>
    <row r="33" spans="1:16" ht="15" x14ac:dyDescent="0.25">
      <c r="A33" s="2" t="s">
        <v>10</v>
      </c>
      <c r="B33" s="26"/>
      <c r="C33" s="137">
        <f>+BASE!C33</f>
        <v>14.9</v>
      </c>
      <c r="D33" s="156">
        <f t="shared" si="0"/>
        <v>0</v>
      </c>
      <c r="E33" s="221">
        <f>+BASE!$C33*BASE!F33</f>
        <v>0</v>
      </c>
      <c r="F33" s="221">
        <f>+BASE!$C33*BASE!G33</f>
        <v>0</v>
      </c>
      <c r="G33" s="221">
        <f>+BASE!$C33*BASE!H33</f>
        <v>0</v>
      </c>
      <c r="H33" s="221">
        <f>+BASE!$C33*BASE!I33</f>
        <v>0</v>
      </c>
      <c r="I33" s="221">
        <f>+BASE!$C33*BASE!J33</f>
        <v>0</v>
      </c>
      <c r="J33" s="221">
        <f>+BASE!$C33*BASE!K33</f>
        <v>0</v>
      </c>
      <c r="K33" s="221">
        <f>+BASE!$C33*BASE!L33</f>
        <v>0</v>
      </c>
      <c r="L33" s="221">
        <f>+BASE!$C33*BASE!M33</f>
        <v>0</v>
      </c>
      <c r="M33" s="221">
        <f>+BASE!$C33*BASE!N33</f>
        <v>0</v>
      </c>
      <c r="N33" s="221">
        <f>+BASE!$C33*BASE!O33</f>
        <v>0</v>
      </c>
      <c r="O33" s="221">
        <f>+BASE!$C33*BASE!P33</f>
        <v>0</v>
      </c>
      <c r="P33" s="221">
        <f>+BASE!$C33*BASE!Q33</f>
        <v>0</v>
      </c>
    </row>
    <row r="34" spans="1:16" ht="15" x14ac:dyDescent="0.25">
      <c r="A34" s="2" t="s">
        <v>11</v>
      </c>
      <c r="B34" s="26"/>
      <c r="C34" s="137">
        <f>+BASE!C34</f>
        <v>24.83</v>
      </c>
      <c r="D34" s="156">
        <f t="shared" si="0"/>
        <v>46059.649999999994</v>
      </c>
      <c r="E34" s="221">
        <f>+BASE!$C34*BASE!F34</f>
        <v>3798.99</v>
      </c>
      <c r="F34" s="221">
        <f>+BASE!$C34*BASE!G34</f>
        <v>3798.99</v>
      </c>
      <c r="G34" s="221">
        <f>+BASE!$C34*BASE!H34</f>
        <v>3873.4799999999996</v>
      </c>
      <c r="H34" s="221">
        <f>+BASE!$C34*BASE!I34</f>
        <v>3798.99</v>
      </c>
      <c r="I34" s="221">
        <f>+BASE!$C34*BASE!J34</f>
        <v>3823.8199999999997</v>
      </c>
      <c r="J34" s="221">
        <f>+BASE!$C34*BASE!K34</f>
        <v>3823.8199999999997</v>
      </c>
      <c r="K34" s="221">
        <f>+BASE!$C34*BASE!L34</f>
        <v>3873.4799999999996</v>
      </c>
      <c r="L34" s="221">
        <f>+BASE!$C34*BASE!M34</f>
        <v>3848.6499999999996</v>
      </c>
      <c r="M34" s="221">
        <f>+BASE!$C34*BASE!N34</f>
        <v>3848.6499999999996</v>
      </c>
      <c r="N34" s="221">
        <f>+BASE!$C34*BASE!O34</f>
        <v>3848.6499999999996</v>
      </c>
      <c r="O34" s="221">
        <f>+BASE!$C34*BASE!P34</f>
        <v>3848.6499999999996</v>
      </c>
      <c r="P34" s="221">
        <f>+BASE!$C34*BASE!Q34</f>
        <v>3873.4799999999996</v>
      </c>
    </row>
    <row r="35" spans="1:16" ht="15" x14ac:dyDescent="0.25">
      <c r="A35" s="2" t="s">
        <v>11</v>
      </c>
      <c r="B35" s="26"/>
      <c r="C35" s="137">
        <f>+BASE!C35</f>
        <v>24.83</v>
      </c>
      <c r="D35" s="156">
        <f t="shared" si="0"/>
        <v>0</v>
      </c>
      <c r="E35" s="221">
        <f>+BASE!$C35*BASE!F35</f>
        <v>0</v>
      </c>
      <c r="F35" s="221">
        <f>+BASE!$C35*BASE!G35</f>
        <v>0</v>
      </c>
      <c r="G35" s="221">
        <f>+BASE!$C35*BASE!H35</f>
        <v>0</v>
      </c>
      <c r="H35" s="221">
        <f>+BASE!$C35*BASE!I35</f>
        <v>0</v>
      </c>
      <c r="I35" s="221">
        <f>+BASE!$C35*BASE!J35</f>
        <v>0</v>
      </c>
      <c r="J35" s="221">
        <f>+BASE!$C35*BASE!K35</f>
        <v>0</v>
      </c>
      <c r="K35" s="221">
        <f>+BASE!$C35*BASE!L35</f>
        <v>0</v>
      </c>
      <c r="L35" s="221">
        <f>+BASE!$C35*BASE!M35</f>
        <v>0</v>
      </c>
      <c r="M35" s="221">
        <f>+BASE!$C35*BASE!N35</f>
        <v>0</v>
      </c>
      <c r="N35" s="221">
        <f>+BASE!$C35*BASE!O35</f>
        <v>0</v>
      </c>
      <c r="O35" s="221">
        <f>+BASE!$C35*BASE!P35</f>
        <v>0</v>
      </c>
      <c r="P35" s="221">
        <f>+BASE!$C35*BASE!Q35</f>
        <v>0</v>
      </c>
    </row>
    <row r="36" spans="1:16" ht="15" x14ac:dyDescent="0.25">
      <c r="A36" s="2" t="s">
        <v>11</v>
      </c>
      <c r="B36" s="26"/>
      <c r="C36" s="137">
        <f>+BASE!C36</f>
        <v>24.83</v>
      </c>
      <c r="D36" s="156">
        <f t="shared" si="0"/>
        <v>0</v>
      </c>
      <c r="E36" s="221">
        <f>+BASE!$C36*BASE!F36</f>
        <v>0</v>
      </c>
      <c r="F36" s="221">
        <f>+BASE!$C36*BASE!G36</f>
        <v>0</v>
      </c>
      <c r="G36" s="221">
        <f>+BASE!$C36*BASE!H36</f>
        <v>0</v>
      </c>
      <c r="H36" s="221">
        <f>+BASE!$C36*BASE!I36</f>
        <v>0</v>
      </c>
      <c r="I36" s="221">
        <f>+BASE!$C36*BASE!J36</f>
        <v>0</v>
      </c>
      <c r="J36" s="221">
        <f>+BASE!$C36*BASE!K36</f>
        <v>0</v>
      </c>
      <c r="K36" s="221">
        <f>+BASE!$C36*BASE!L36</f>
        <v>0</v>
      </c>
      <c r="L36" s="221">
        <f>+BASE!$C36*BASE!M36</f>
        <v>0</v>
      </c>
      <c r="M36" s="221">
        <f>+BASE!$C36*BASE!N36</f>
        <v>0</v>
      </c>
      <c r="N36" s="221">
        <f>+BASE!$C36*BASE!O36</f>
        <v>0</v>
      </c>
      <c r="O36" s="221">
        <f>+BASE!$C36*BASE!P36</f>
        <v>0</v>
      </c>
      <c r="P36" s="221">
        <f>+BASE!$C36*BASE!Q36</f>
        <v>0</v>
      </c>
    </row>
    <row r="37" spans="1:16" ht="15" x14ac:dyDescent="0.25">
      <c r="A37" s="2" t="s">
        <v>12</v>
      </c>
      <c r="B37" s="26"/>
      <c r="C37" s="137">
        <f>+BASE!C37</f>
        <v>49.67</v>
      </c>
      <c r="D37" s="156">
        <f t="shared" si="0"/>
        <v>19669.320000000003</v>
      </c>
      <c r="E37" s="221">
        <f>+BASE!$C37*BASE!F37</f>
        <v>1639.1100000000001</v>
      </c>
      <c r="F37" s="221">
        <f>+BASE!$C37*BASE!G37</f>
        <v>1639.1100000000001</v>
      </c>
      <c r="G37" s="221">
        <f>+BASE!$C37*BASE!H37</f>
        <v>1639.1100000000001</v>
      </c>
      <c r="H37" s="221">
        <f>+BASE!$C37*BASE!I37</f>
        <v>1639.1100000000001</v>
      </c>
      <c r="I37" s="221">
        <f>+BASE!$C37*BASE!J37</f>
        <v>1639.1100000000001</v>
      </c>
      <c r="J37" s="221">
        <f>+BASE!$C37*BASE!K37</f>
        <v>1639.1100000000001</v>
      </c>
      <c r="K37" s="221">
        <f>+BASE!$C37*BASE!L37</f>
        <v>1639.1100000000001</v>
      </c>
      <c r="L37" s="221">
        <f>+BASE!$C37*BASE!M37</f>
        <v>1639.1100000000001</v>
      </c>
      <c r="M37" s="221">
        <f>+BASE!$C37*BASE!N37</f>
        <v>1639.1100000000001</v>
      </c>
      <c r="N37" s="221">
        <f>+BASE!$C37*BASE!O37</f>
        <v>1639.1100000000001</v>
      </c>
      <c r="O37" s="221">
        <f>+BASE!$C37*BASE!P37</f>
        <v>1639.1100000000001</v>
      </c>
      <c r="P37" s="221">
        <f>+BASE!$C37*BASE!Q37</f>
        <v>1639.1100000000001</v>
      </c>
    </row>
    <row r="38" spans="1:16" ht="15" x14ac:dyDescent="0.25">
      <c r="A38" s="2" t="s">
        <v>12</v>
      </c>
      <c r="B38" s="26"/>
      <c r="C38" s="137">
        <f>+BASE!C38</f>
        <v>49.67</v>
      </c>
      <c r="D38" s="156">
        <f t="shared" si="0"/>
        <v>0</v>
      </c>
      <c r="E38" s="221">
        <f>+BASE!$C38*BASE!F38</f>
        <v>0</v>
      </c>
      <c r="F38" s="221">
        <f>+BASE!$C38*BASE!G38</f>
        <v>0</v>
      </c>
      <c r="G38" s="221">
        <f>+BASE!$C38*BASE!H38</f>
        <v>0</v>
      </c>
      <c r="H38" s="221">
        <f>+BASE!$C38*BASE!I38</f>
        <v>0</v>
      </c>
      <c r="I38" s="221">
        <f>+BASE!$C38*BASE!J38</f>
        <v>0</v>
      </c>
      <c r="J38" s="221">
        <f>+BASE!$C38*BASE!K38</f>
        <v>0</v>
      </c>
      <c r="K38" s="221">
        <f>+BASE!$C38*BASE!L38</f>
        <v>0</v>
      </c>
      <c r="L38" s="221">
        <f>+BASE!$C38*BASE!M38</f>
        <v>0</v>
      </c>
      <c r="M38" s="221">
        <f>+BASE!$C38*BASE!N38</f>
        <v>0</v>
      </c>
      <c r="N38" s="221">
        <f>+BASE!$C38*BASE!O38</f>
        <v>0</v>
      </c>
      <c r="O38" s="221">
        <f>+BASE!$C38*BASE!P38</f>
        <v>0</v>
      </c>
      <c r="P38" s="221">
        <f>+BASE!$C38*BASE!Q38</f>
        <v>0</v>
      </c>
    </row>
    <row r="39" spans="1:16" ht="15" x14ac:dyDescent="0.25">
      <c r="A39" s="2" t="s">
        <v>12</v>
      </c>
      <c r="B39" s="26"/>
      <c r="C39" s="137">
        <f>+BASE!C39</f>
        <v>49.67</v>
      </c>
      <c r="D39" s="156">
        <f t="shared" si="0"/>
        <v>0</v>
      </c>
      <c r="E39" s="221">
        <f>+BASE!$C39*BASE!F39</f>
        <v>0</v>
      </c>
      <c r="F39" s="221">
        <f>+BASE!$C39*BASE!G39</f>
        <v>0</v>
      </c>
      <c r="G39" s="221">
        <f>+BASE!$C39*BASE!H39</f>
        <v>0</v>
      </c>
      <c r="H39" s="221">
        <f>+BASE!$C39*BASE!I39</f>
        <v>0</v>
      </c>
      <c r="I39" s="221">
        <f>+BASE!$C39*BASE!J39</f>
        <v>0</v>
      </c>
      <c r="J39" s="221">
        <f>+BASE!$C39*BASE!K39</f>
        <v>0</v>
      </c>
      <c r="K39" s="221">
        <f>+BASE!$C39*BASE!L39</f>
        <v>0</v>
      </c>
      <c r="L39" s="221">
        <f>+BASE!$C39*BASE!M39</f>
        <v>0</v>
      </c>
      <c r="M39" s="221">
        <f>+BASE!$C39*BASE!N39</f>
        <v>0</v>
      </c>
      <c r="N39" s="221">
        <f>+BASE!$C39*BASE!O39</f>
        <v>0</v>
      </c>
      <c r="O39" s="221">
        <f>+BASE!$C39*BASE!P39</f>
        <v>0</v>
      </c>
      <c r="P39" s="221">
        <f>+BASE!$C39*BASE!Q39</f>
        <v>0</v>
      </c>
    </row>
    <row r="40" spans="1:16" ht="15" x14ac:dyDescent="0.25">
      <c r="A40" s="2" t="s">
        <v>13</v>
      </c>
      <c r="B40" s="26"/>
      <c r="C40" s="137">
        <f>+BASE!C40</f>
        <v>79.47</v>
      </c>
      <c r="D40" s="156">
        <f t="shared" si="0"/>
        <v>108317.61000000002</v>
      </c>
      <c r="E40" s="221">
        <f>+BASE!$C40*BASE!F40</f>
        <v>8821.17</v>
      </c>
      <c r="F40" s="221">
        <f>+BASE!$C40*BASE!G40</f>
        <v>8900.64</v>
      </c>
      <c r="G40" s="221">
        <f>+BASE!$C40*BASE!H40</f>
        <v>8980.11</v>
      </c>
      <c r="H40" s="221">
        <f>+BASE!$C40*BASE!I40</f>
        <v>8980.11</v>
      </c>
      <c r="I40" s="221">
        <f>+BASE!$C40*BASE!J40</f>
        <v>9059.58</v>
      </c>
      <c r="J40" s="221">
        <f>+BASE!$C40*BASE!K40</f>
        <v>9059.58</v>
      </c>
      <c r="K40" s="221">
        <f>+BASE!$C40*BASE!L40</f>
        <v>9059.58</v>
      </c>
      <c r="L40" s="221">
        <f>+BASE!$C40*BASE!M40</f>
        <v>9139.0499999999993</v>
      </c>
      <c r="M40" s="221">
        <f>+BASE!$C40*BASE!N40</f>
        <v>9139.0499999999993</v>
      </c>
      <c r="N40" s="221">
        <f>+BASE!$C40*BASE!O40</f>
        <v>9059.58</v>
      </c>
      <c r="O40" s="221">
        <f>+BASE!$C40*BASE!P40</f>
        <v>9059.58</v>
      </c>
      <c r="P40" s="221">
        <f>+BASE!$C40*BASE!Q40</f>
        <v>9059.58</v>
      </c>
    </row>
    <row r="41" spans="1:16" ht="15" x14ac:dyDescent="0.25">
      <c r="A41" s="2" t="s">
        <v>13</v>
      </c>
      <c r="B41" s="26"/>
      <c r="C41" s="137">
        <f>+BASE!C41</f>
        <v>79.47</v>
      </c>
      <c r="D41" s="156">
        <f t="shared" si="0"/>
        <v>0</v>
      </c>
      <c r="E41" s="221">
        <f>+BASE!$C41*BASE!F41</f>
        <v>0</v>
      </c>
      <c r="F41" s="221">
        <f>+BASE!$C41*BASE!G41</f>
        <v>0</v>
      </c>
      <c r="G41" s="221">
        <f>+BASE!$C41*BASE!H41</f>
        <v>0</v>
      </c>
      <c r="H41" s="221">
        <f>+BASE!$C41*BASE!I41</f>
        <v>0</v>
      </c>
      <c r="I41" s="221">
        <f>+BASE!$C41*BASE!J41</f>
        <v>0</v>
      </c>
      <c r="J41" s="221">
        <f>+BASE!$C41*BASE!K41</f>
        <v>0</v>
      </c>
      <c r="K41" s="221">
        <f>+BASE!$C41*BASE!L41</f>
        <v>0</v>
      </c>
      <c r="L41" s="221">
        <f>+BASE!$C41*BASE!M41</f>
        <v>0</v>
      </c>
      <c r="M41" s="221">
        <f>+BASE!$C41*BASE!N41</f>
        <v>0</v>
      </c>
      <c r="N41" s="221">
        <f>+BASE!$C41*BASE!O41</f>
        <v>0</v>
      </c>
      <c r="O41" s="221">
        <f>+BASE!$C41*BASE!P41</f>
        <v>0</v>
      </c>
      <c r="P41" s="221">
        <f>+BASE!$C41*BASE!Q41</f>
        <v>0</v>
      </c>
    </row>
    <row r="42" spans="1:16" ht="15" x14ac:dyDescent="0.25">
      <c r="A42" s="2" t="s">
        <v>13</v>
      </c>
      <c r="B42" s="26"/>
      <c r="C42" s="137">
        <f>+BASE!C42</f>
        <v>79.47</v>
      </c>
      <c r="D42" s="156">
        <f t="shared" si="0"/>
        <v>0</v>
      </c>
      <c r="E42" s="221">
        <f>+BASE!$C42*BASE!F42</f>
        <v>0</v>
      </c>
      <c r="F42" s="221">
        <f>+BASE!$C42*BASE!G42</f>
        <v>0</v>
      </c>
      <c r="G42" s="221">
        <f>+BASE!$C42*BASE!H42</f>
        <v>0</v>
      </c>
      <c r="H42" s="221">
        <f>+BASE!$C42*BASE!I42</f>
        <v>0</v>
      </c>
      <c r="I42" s="221">
        <f>+BASE!$C42*BASE!J42</f>
        <v>0</v>
      </c>
      <c r="J42" s="221">
        <f>+BASE!$C42*BASE!K42</f>
        <v>0</v>
      </c>
      <c r="K42" s="221">
        <f>+BASE!$C42*BASE!L42</f>
        <v>0</v>
      </c>
      <c r="L42" s="221">
        <f>+BASE!$C42*BASE!M42</f>
        <v>0</v>
      </c>
      <c r="M42" s="221">
        <f>+BASE!$C42*BASE!N42</f>
        <v>0</v>
      </c>
      <c r="N42" s="221">
        <f>+BASE!$C42*BASE!O42</f>
        <v>0</v>
      </c>
      <c r="O42" s="221">
        <f>+BASE!$C42*BASE!P42</f>
        <v>0</v>
      </c>
      <c r="P42" s="221">
        <f>+BASE!$C42*BASE!Q42</f>
        <v>0</v>
      </c>
    </row>
    <row r="43" spans="1:16" ht="15" x14ac:dyDescent="0.25">
      <c r="A43" s="2" t="s">
        <v>14</v>
      </c>
      <c r="B43" s="26"/>
      <c r="C43" s="137">
        <f>+BASE!C43</f>
        <v>149</v>
      </c>
      <c r="D43" s="156">
        <f t="shared" si="0"/>
        <v>27267</v>
      </c>
      <c r="E43" s="221">
        <f>+BASE!$C43*BASE!F43</f>
        <v>2384</v>
      </c>
      <c r="F43" s="221">
        <f>+BASE!$C43*BASE!G43</f>
        <v>2384</v>
      </c>
      <c r="G43" s="221">
        <f>+BASE!$C43*BASE!H43</f>
        <v>2384</v>
      </c>
      <c r="H43" s="221">
        <f>+BASE!$C43*BASE!I43</f>
        <v>2235</v>
      </c>
      <c r="I43" s="221">
        <f>+BASE!$C43*BASE!J43</f>
        <v>2235</v>
      </c>
      <c r="J43" s="221">
        <f>+BASE!$C43*BASE!K43</f>
        <v>2235</v>
      </c>
      <c r="K43" s="221">
        <f>+BASE!$C43*BASE!L43</f>
        <v>2235</v>
      </c>
      <c r="L43" s="221">
        <f>+BASE!$C43*BASE!M43</f>
        <v>2235</v>
      </c>
      <c r="M43" s="221">
        <f>+BASE!$C43*BASE!N43</f>
        <v>2235</v>
      </c>
      <c r="N43" s="221">
        <f>+BASE!$C43*BASE!O43</f>
        <v>2235</v>
      </c>
      <c r="O43" s="221">
        <f>+BASE!$C43*BASE!P43</f>
        <v>2235</v>
      </c>
      <c r="P43" s="221">
        <f>+BASE!$C43*BASE!Q43</f>
        <v>2235</v>
      </c>
    </row>
    <row r="44" spans="1:16" ht="15" x14ac:dyDescent="0.25">
      <c r="A44" s="2" t="s">
        <v>14</v>
      </c>
      <c r="B44" s="26"/>
      <c r="C44" s="137">
        <f>+BASE!C44</f>
        <v>149</v>
      </c>
      <c r="D44" s="156">
        <f t="shared" si="0"/>
        <v>0</v>
      </c>
      <c r="E44" s="221">
        <f>+BASE!$C44*BASE!F44</f>
        <v>0</v>
      </c>
      <c r="F44" s="221">
        <f>+BASE!$C44*BASE!G44</f>
        <v>0</v>
      </c>
      <c r="G44" s="221">
        <f>+BASE!$C44*BASE!H44</f>
        <v>0</v>
      </c>
      <c r="H44" s="221">
        <f>+BASE!$C44*BASE!I44</f>
        <v>0</v>
      </c>
      <c r="I44" s="221">
        <f>+BASE!$C44*BASE!J44</f>
        <v>0</v>
      </c>
      <c r="J44" s="221">
        <f>+BASE!$C44*BASE!K44</f>
        <v>0</v>
      </c>
      <c r="K44" s="221">
        <f>+BASE!$C44*BASE!L44</f>
        <v>0</v>
      </c>
      <c r="L44" s="221">
        <f>+BASE!$C44*BASE!M44</f>
        <v>0</v>
      </c>
      <c r="M44" s="221">
        <f>+BASE!$C44*BASE!N44</f>
        <v>0</v>
      </c>
      <c r="N44" s="221">
        <f>+BASE!$C44*BASE!O44</f>
        <v>0</v>
      </c>
      <c r="O44" s="221">
        <f>+BASE!$C44*BASE!P44</f>
        <v>0</v>
      </c>
      <c r="P44" s="221">
        <f>+BASE!$C44*BASE!Q44</f>
        <v>0</v>
      </c>
    </row>
    <row r="45" spans="1:16" ht="15" x14ac:dyDescent="0.25">
      <c r="A45" s="2" t="s">
        <v>14</v>
      </c>
      <c r="B45" s="26"/>
      <c r="C45" s="137">
        <f>+BASE!C45</f>
        <v>149</v>
      </c>
      <c r="D45" s="156">
        <f t="shared" si="0"/>
        <v>0</v>
      </c>
      <c r="E45" s="221">
        <f>+BASE!$C45*BASE!F45</f>
        <v>0</v>
      </c>
      <c r="F45" s="221">
        <f>+BASE!$C45*BASE!G45</f>
        <v>0</v>
      </c>
      <c r="G45" s="221">
        <f>+BASE!$C45*BASE!H45</f>
        <v>0</v>
      </c>
      <c r="H45" s="221">
        <f>+BASE!$C45*BASE!I45</f>
        <v>0</v>
      </c>
      <c r="I45" s="221">
        <f>+BASE!$C45*BASE!J45</f>
        <v>0</v>
      </c>
      <c r="J45" s="221">
        <f>+BASE!$C45*BASE!K45</f>
        <v>0</v>
      </c>
      <c r="K45" s="221">
        <f>+BASE!$C45*BASE!L45</f>
        <v>0</v>
      </c>
      <c r="L45" s="221">
        <f>+BASE!$C45*BASE!M45</f>
        <v>0</v>
      </c>
      <c r="M45" s="221">
        <f>+BASE!$C45*BASE!N45</f>
        <v>0</v>
      </c>
      <c r="N45" s="221">
        <f>+BASE!$C45*BASE!O45</f>
        <v>0</v>
      </c>
      <c r="O45" s="221">
        <f>+BASE!$C45*BASE!P45</f>
        <v>0</v>
      </c>
      <c r="P45" s="221">
        <f>+BASE!$C45*BASE!Q45</f>
        <v>0</v>
      </c>
    </row>
    <row r="46" spans="1:16" ht="15" x14ac:dyDescent="0.25">
      <c r="A46" s="118" t="s">
        <v>61</v>
      </c>
      <c r="B46" s="26"/>
      <c r="C46" s="137">
        <f>+BASE!C46</f>
        <v>248.33</v>
      </c>
      <c r="D46" s="156">
        <f t="shared" si="0"/>
        <v>5959.9199999999992</v>
      </c>
      <c r="E46" s="221">
        <f>+BASE!$C46*BASE!F46</f>
        <v>496.66</v>
      </c>
      <c r="F46" s="221">
        <f>+BASE!$C46*BASE!G46</f>
        <v>496.66</v>
      </c>
      <c r="G46" s="221">
        <f>+BASE!$C46*BASE!H46</f>
        <v>496.66</v>
      </c>
      <c r="H46" s="221">
        <f>+BASE!$C46*BASE!I46</f>
        <v>496.66</v>
      </c>
      <c r="I46" s="221">
        <f>+BASE!$C46*BASE!J46</f>
        <v>496.66</v>
      </c>
      <c r="J46" s="221">
        <f>+BASE!$C46*BASE!K46</f>
        <v>496.66</v>
      </c>
      <c r="K46" s="221">
        <f>+BASE!$C46*BASE!L46</f>
        <v>496.66</v>
      </c>
      <c r="L46" s="221">
        <f>+BASE!$C46*BASE!M46</f>
        <v>496.66</v>
      </c>
      <c r="M46" s="221">
        <f>+BASE!$C46*BASE!N46</f>
        <v>496.66</v>
      </c>
      <c r="N46" s="221">
        <f>+BASE!$C46*BASE!O46</f>
        <v>496.66</v>
      </c>
      <c r="O46" s="221">
        <f>+BASE!$C46*BASE!P46</f>
        <v>496.66</v>
      </c>
      <c r="P46" s="221">
        <f>+BASE!$C46*BASE!Q46</f>
        <v>496.66</v>
      </c>
    </row>
    <row r="47" spans="1:16" ht="15" x14ac:dyDescent="0.25">
      <c r="A47" s="118" t="s">
        <v>61</v>
      </c>
      <c r="B47" s="26"/>
      <c r="C47" s="137">
        <f>+BASE!C47</f>
        <v>248.33</v>
      </c>
      <c r="D47" s="156">
        <f t="shared" si="0"/>
        <v>0</v>
      </c>
      <c r="E47" s="221">
        <f>+BASE!$C47*BASE!F47</f>
        <v>0</v>
      </c>
      <c r="F47" s="221">
        <f>+BASE!$C47*BASE!G47</f>
        <v>0</v>
      </c>
      <c r="G47" s="221">
        <f>+BASE!$C47*BASE!H47</f>
        <v>0</v>
      </c>
      <c r="H47" s="221">
        <f>+BASE!$C47*BASE!I47</f>
        <v>0</v>
      </c>
      <c r="I47" s="221">
        <f>+BASE!$C47*BASE!J47</f>
        <v>0</v>
      </c>
      <c r="J47" s="221">
        <f>+BASE!$C47*BASE!K47</f>
        <v>0</v>
      </c>
      <c r="K47" s="221">
        <f>+BASE!$C47*BASE!L47</f>
        <v>0</v>
      </c>
      <c r="L47" s="221">
        <f>+BASE!$C47*BASE!M47</f>
        <v>0</v>
      </c>
      <c r="M47" s="221">
        <f>+BASE!$C47*BASE!N47</f>
        <v>0</v>
      </c>
      <c r="N47" s="221">
        <f>+BASE!$C47*BASE!O47</f>
        <v>0</v>
      </c>
      <c r="O47" s="221">
        <f>+BASE!$C47*BASE!P47</f>
        <v>0</v>
      </c>
      <c r="P47" s="221">
        <f>+BASE!$C47*BASE!Q47</f>
        <v>0</v>
      </c>
    </row>
    <row r="48" spans="1:16" ht="15" x14ac:dyDescent="0.25">
      <c r="A48" s="118" t="s">
        <v>61</v>
      </c>
      <c r="B48" s="26"/>
      <c r="C48" s="137">
        <f>+BASE!C48</f>
        <v>248.33</v>
      </c>
      <c r="D48" s="156">
        <f t="shared" si="0"/>
        <v>0</v>
      </c>
      <c r="E48" s="221">
        <f>+BASE!$C48*BASE!F48</f>
        <v>0</v>
      </c>
      <c r="F48" s="221">
        <f>+BASE!$C48*BASE!G48</f>
        <v>0</v>
      </c>
      <c r="G48" s="221">
        <f>+BASE!$C48*BASE!H48</f>
        <v>0</v>
      </c>
      <c r="H48" s="221">
        <f>+BASE!$C48*BASE!I48</f>
        <v>0</v>
      </c>
      <c r="I48" s="221">
        <f>+BASE!$C48*BASE!J48</f>
        <v>0</v>
      </c>
      <c r="J48" s="221">
        <f>+BASE!$C48*BASE!K48</f>
        <v>0</v>
      </c>
      <c r="K48" s="221">
        <f>+BASE!$C48*BASE!L48</f>
        <v>0</v>
      </c>
      <c r="L48" s="221">
        <f>+BASE!$C48*BASE!M48</f>
        <v>0</v>
      </c>
      <c r="M48" s="221">
        <f>+BASE!$C48*BASE!N48</f>
        <v>0</v>
      </c>
      <c r="N48" s="221">
        <f>+BASE!$C48*BASE!O48</f>
        <v>0</v>
      </c>
      <c r="O48" s="221">
        <f>+BASE!$C48*BASE!P48</f>
        <v>0</v>
      </c>
      <c r="P48" s="221">
        <f>+BASE!$C48*BASE!Q48</f>
        <v>0</v>
      </c>
    </row>
    <row r="49" spans="1:16" ht="15" x14ac:dyDescent="0.25">
      <c r="A49" s="2" t="s">
        <v>15</v>
      </c>
      <c r="B49" s="26"/>
      <c r="C49" s="137">
        <f>+BASE!C49</f>
        <v>496.67</v>
      </c>
      <c r="D49" s="156">
        <f t="shared" si="0"/>
        <v>17880.12</v>
      </c>
      <c r="E49" s="221">
        <f>+BASE!$C49*BASE!F49</f>
        <v>1490.01</v>
      </c>
      <c r="F49" s="221">
        <f>+BASE!$C49*BASE!G49</f>
        <v>1490.01</v>
      </c>
      <c r="G49" s="221">
        <f>+BASE!$C49*BASE!H49</f>
        <v>1490.01</v>
      </c>
      <c r="H49" s="221">
        <f>+BASE!$C49*BASE!I49</f>
        <v>1490.01</v>
      </c>
      <c r="I49" s="221">
        <f>+BASE!$C49*BASE!J49</f>
        <v>1490.01</v>
      </c>
      <c r="J49" s="221">
        <f>+BASE!$C49*BASE!K49</f>
        <v>1490.01</v>
      </c>
      <c r="K49" s="221">
        <f>+BASE!$C49*BASE!L49</f>
        <v>1490.01</v>
      </c>
      <c r="L49" s="221">
        <f>+BASE!$C49*BASE!M49</f>
        <v>1490.01</v>
      </c>
      <c r="M49" s="221">
        <f>+BASE!$C49*BASE!N49</f>
        <v>1490.01</v>
      </c>
      <c r="N49" s="221">
        <f>+BASE!$C49*BASE!O49</f>
        <v>1490.01</v>
      </c>
      <c r="O49" s="221">
        <f>+BASE!$C49*BASE!P49</f>
        <v>1490.01</v>
      </c>
      <c r="P49" s="221">
        <f>+BASE!$C49*BASE!Q49</f>
        <v>1490.01</v>
      </c>
    </row>
    <row r="50" spans="1:16" ht="15" x14ac:dyDescent="0.25">
      <c r="A50" s="2" t="s">
        <v>15</v>
      </c>
      <c r="B50" s="26"/>
      <c r="C50" s="137">
        <f>+BASE!C50</f>
        <v>496.67</v>
      </c>
      <c r="D50" s="156">
        <f t="shared" si="0"/>
        <v>0</v>
      </c>
      <c r="E50" s="221">
        <f>+BASE!$C50*BASE!F50</f>
        <v>0</v>
      </c>
      <c r="F50" s="221">
        <f>+BASE!$C50*BASE!G50</f>
        <v>0</v>
      </c>
      <c r="G50" s="221">
        <f>+BASE!$C50*BASE!H50</f>
        <v>0</v>
      </c>
      <c r="H50" s="221">
        <f>+BASE!$C50*BASE!I50</f>
        <v>0</v>
      </c>
      <c r="I50" s="221">
        <f>+BASE!$C50*BASE!J50</f>
        <v>0</v>
      </c>
      <c r="J50" s="221">
        <f>+BASE!$C50*BASE!K50</f>
        <v>0</v>
      </c>
      <c r="K50" s="221">
        <f>+BASE!$C50*BASE!L50</f>
        <v>0</v>
      </c>
      <c r="L50" s="221">
        <f>+BASE!$C50*BASE!M50</f>
        <v>0</v>
      </c>
      <c r="M50" s="221">
        <f>+BASE!$C50*BASE!N50</f>
        <v>0</v>
      </c>
      <c r="N50" s="221">
        <f>+BASE!$C50*BASE!O50</f>
        <v>0</v>
      </c>
      <c r="O50" s="221">
        <f>+BASE!$C50*BASE!P50</f>
        <v>0</v>
      </c>
      <c r="P50" s="221">
        <f>+BASE!$C50*BASE!Q50</f>
        <v>0</v>
      </c>
    </row>
    <row r="51" spans="1:16" ht="15" x14ac:dyDescent="0.25">
      <c r="A51" s="2" t="s">
        <v>15</v>
      </c>
      <c r="B51" s="26"/>
      <c r="C51" s="137">
        <f>+BASE!C51</f>
        <v>496.67</v>
      </c>
      <c r="D51" s="156">
        <f t="shared" si="0"/>
        <v>0</v>
      </c>
      <c r="E51" s="221">
        <f>+BASE!$C51*BASE!F51</f>
        <v>0</v>
      </c>
      <c r="F51" s="221">
        <f>+BASE!$C51*BASE!G51</f>
        <v>0</v>
      </c>
      <c r="G51" s="221">
        <f>+BASE!$C51*BASE!H51</f>
        <v>0</v>
      </c>
      <c r="H51" s="221">
        <f>+BASE!$C51*BASE!I51</f>
        <v>0</v>
      </c>
      <c r="I51" s="221">
        <f>+BASE!$C51*BASE!J51</f>
        <v>0</v>
      </c>
      <c r="J51" s="221">
        <f>+BASE!$C51*BASE!K51</f>
        <v>0</v>
      </c>
      <c r="K51" s="221">
        <f>+BASE!$C51*BASE!L51</f>
        <v>0</v>
      </c>
      <c r="L51" s="221">
        <f>+BASE!$C51*BASE!M51</f>
        <v>0</v>
      </c>
      <c r="M51" s="221">
        <f>+BASE!$C51*BASE!N51</f>
        <v>0</v>
      </c>
      <c r="N51" s="221">
        <f>+BASE!$C51*BASE!O51</f>
        <v>0</v>
      </c>
      <c r="O51" s="221">
        <f>+BASE!$C51*BASE!P51</f>
        <v>0</v>
      </c>
      <c r="P51" s="221">
        <f>+BASE!$C51*BASE!Q51</f>
        <v>0</v>
      </c>
    </row>
    <row r="52" spans="1:16" ht="15" x14ac:dyDescent="0.25">
      <c r="A52" s="2" t="s">
        <v>16</v>
      </c>
      <c r="B52" s="26"/>
      <c r="C52" s="137">
        <f>+BASE!C52</f>
        <v>28.68</v>
      </c>
      <c r="D52" s="156">
        <f t="shared" si="0"/>
        <v>1376.64</v>
      </c>
      <c r="E52" s="221">
        <f>+BASE!$C52*BASE!F52</f>
        <v>114.72</v>
      </c>
      <c r="F52" s="221">
        <f>+BASE!$C52*BASE!G52</f>
        <v>114.72</v>
      </c>
      <c r="G52" s="221">
        <f>+BASE!$C52*BASE!H52</f>
        <v>114.72</v>
      </c>
      <c r="H52" s="221">
        <f>+BASE!$C52*BASE!I52</f>
        <v>114.72</v>
      </c>
      <c r="I52" s="221">
        <f>+BASE!$C52*BASE!J52</f>
        <v>114.72</v>
      </c>
      <c r="J52" s="221">
        <f>+BASE!$C52*BASE!K52</f>
        <v>114.72</v>
      </c>
      <c r="K52" s="221">
        <f>+BASE!$C52*BASE!L52</f>
        <v>114.72</v>
      </c>
      <c r="L52" s="221">
        <f>+BASE!$C52*BASE!M52</f>
        <v>114.72</v>
      </c>
      <c r="M52" s="221">
        <f>+BASE!$C52*BASE!N52</f>
        <v>114.72</v>
      </c>
      <c r="N52" s="221">
        <f>+BASE!$C52*BASE!O52</f>
        <v>114.72</v>
      </c>
      <c r="O52" s="221">
        <f>+BASE!$C52*BASE!P52</f>
        <v>114.72</v>
      </c>
      <c r="P52" s="221">
        <f>+BASE!$C52*BASE!Q52</f>
        <v>114.72</v>
      </c>
    </row>
    <row r="53" spans="1:16" ht="15" x14ac:dyDescent="0.25">
      <c r="A53" s="2" t="s">
        <v>17</v>
      </c>
      <c r="B53" s="26"/>
      <c r="C53" s="137">
        <f>+BASE!C53</f>
        <v>0</v>
      </c>
      <c r="D53" s="156">
        <f t="shared" si="0"/>
        <v>0</v>
      </c>
      <c r="E53" s="221">
        <f>+BASE!$C53*BASE!F53</f>
        <v>0</v>
      </c>
      <c r="F53" s="221">
        <f>+BASE!$C53*BASE!G53</f>
        <v>0</v>
      </c>
      <c r="G53" s="221">
        <f>+BASE!$C53*BASE!H53</f>
        <v>0</v>
      </c>
      <c r="H53" s="221">
        <f>+BASE!$C53*BASE!I53</f>
        <v>0</v>
      </c>
      <c r="I53" s="221">
        <f>+BASE!$C53*BASE!J53</f>
        <v>0</v>
      </c>
      <c r="J53" s="221">
        <f>+BASE!$C53*BASE!K53</f>
        <v>0</v>
      </c>
      <c r="K53" s="221">
        <f>+BASE!$C53*BASE!L53</f>
        <v>0</v>
      </c>
      <c r="L53" s="221">
        <f>+BASE!$C53*BASE!M53</f>
        <v>0</v>
      </c>
      <c r="M53" s="221">
        <f>+BASE!$C53*BASE!N53</f>
        <v>0</v>
      </c>
      <c r="N53" s="221">
        <f>+BASE!$C53*BASE!O53</f>
        <v>0</v>
      </c>
      <c r="O53" s="221">
        <f>+BASE!$C53*BASE!P53</f>
        <v>0</v>
      </c>
      <c r="P53" s="221">
        <f>+BASE!$C53*BASE!Q53</f>
        <v>0</v>
      </c>
    </row>
    <row r="54" spans="1:16" ht="15" x14ac:dyDescent="0.25">
      <c r="A54" s="2" t="s">
        <v>18</v>
      </c>
      <c r="B54" s="26"/>
      <c r="C54" s="137">
        <f>+BASE!C54</f>
        <v>0</v>
      </c>
      <c r="D54" s="156">
        <f t="shared" si="0"/>
        <v>0</v>
      </c>
      <c r="E54" s="221">
        <f>+BASE!$C54*BASE!F54</f>
        <v>0</v>
      </c>
      <c r="F54" s="221">
        <f>+BASE!$C54*BASE!G54</f>
        <v>0</v>
      </c>
      <c r="G54" s="221">
        <f>+BASE!$C54*BASE!H54</f>
        <v>0</v>
      </c>
      <c r="H54" s="221">
        <f>+BASE!$C54*BASE!I54</f>
        <v>0</v>
      </c>
      <c r="I54" s="221">
        <f>+BASE!$C54*BASE!J54</f>
        <v>0</v>
      </c>
      <c r="J54" s="221">
        <f>+BASE!$C54*BASE!K54</f>
        <v>0</v>
      </c>
      <c r="K54" s="221">
        <f>+BASE!$C54*BASE!L54</f>
        <v>0</v>
      </c>
      <c r="L54" s="221">
        <f>+BASE!$C54*BASE!M54</f>
        <v>0</v>
      </c>
      <c r="M54" s="221">
        <f>+BASE!$C54*BASE!N54</f>
        <v>0</v>
      </c>
      <c r="N54" s="221">
        <f>+BASE!$C54*BASE!O54</f>
        <v>0</v>
      </c>
      <c r="O54" s="221">
        <f>+BASE!$C54*BASE!P54</f>
        <v>0</v>
      </c>
      <c r="P54" s="221">
        <f>+BASE!$C54*BASE!Q54</f>
        <v>0</v>
      </c>
    </row>
    <row r="55" spans="1:16" ht="14.25" customHeight="1" x14ac:dyDescent="0.25">
      <c r="A55" s="2" t="s">
        <v>79</v>
      </c>
      <c r="B55" s="26"/>
      <c r="C55" s="137">
        <f>+BASE!C55</f>
        <v>0</v>
      </c>
      <c r="D55" s="156">
        <f t="shared" si="0"/>
        <v>-70771.7</v>
      </c>
      <c r="E55" s="89">
        <v>-7630.58</v>
      </c>
      <c r="F55" s="89">
        <v>-970.58</v>
      </c>
      <c r="G55" s="89">
        <v>-1951.63</v>
      </c>
      <c r="H55" s="89">
        <v>-6235.76</v>
      </c>
      <c r="I55" s="89">
        <v>-4081.84</v>
      </c>
      <c r="J55" s="89">
        <v>-647.94000000000005</v>
      </c>
      <c r="K55" s="89">
        <v>-4883.72</v>
      </c>
      <c r="L55" s="89">
        <v>-7980.3</v>
      </c>
      <c r="M55" s="89">
        <v>-8934.34</v>
      </c>
      <c r="N55" s="89">
        <v>-18994.669999999998</v>
      </c>
      <c r="O55" s="89">
        <f>-6907.31-11.45</f>
        <v>-6918.76</v>
      </c>
      <c r="P55" s="89">
        <v>-1541.58</v>
      </c>
    </row>
    <row r="56" spans="1:16" s="8" customFormat="1" x14ac:dyDescent="0.2"/>
    <row r="57" spans="1:16" s="13" customFormat="1" ht="15" x14ac:dyDescent="0.25">
      <c r="A57" s="13" t="s">
        <v>24</v>
      </c>
      <c r="D57" s="14">
        <f>SUM(D3:D6)</f>
        <v>4728</v>
      </c>
      <c r="E57" s="14">
        <f>SUM(E3:E6)</f>
        <v>394</v>
      </c>
      <c r="F57" s="14">
        <f t="shared" ref="F57:P57" si="3">SUM(F3:F6)</f>
        <v>394</v>
      </c>
      <c r="G57" s="14">
        <f t="shared" si="3"/>
        <v>394</v>
      </c>
      <c r="H57" s="14">
        <f t="shared" si="3"/>
        <v>394</v>
      </c>
      <c r="I57" s="14">
        <f t="shared" si="3"/>
        <v>394</v>
      </c>
      <c r="J57" s="14">
        <f t="shared" si="3"/>
        <v>394</v>
      </c>
      <c r="K57" s="14">
        <f t="shared" si="3"/>
        <v>394</v>
      </c>
      <c r="L57" s="14">
        <f t="shared" si="3"/>
        <v>394</v>
      </c>
      <c r="M57" s="14">
        <f t="shared" si="3"/>
        <v>394</v>
      </c>
      <c r="N57" s="14">
        <f t="shared" si="3"/>
        <v>394</v>
      </c>
      <c r="O57" s="14">
        <f t="shared" si="3"/>
        <v>394</v>
      </c>
      <c r="P57" s="14">
        <f t="shared" si="3"/>
        <v>394</v>
      </c>
    </row>
    <row r="58" spans="1:16" s="13" customFormat="1" ht="15" x14ac:dyDescent="0.25">
      <c r="A58" s="13" t="s">
        <v>22</v>
      </c>
      <c r="D58" s="14">
        <f>SUM(D7:D30)</f>
        <v>3164510.37</v>
      </c>
      <c r="E58" s="14">
        <f t="shared" ref="E58:P58" si="4">SUM(E7:E30)</f>
        <v>262751.46000000002</v>
      </c>
      <c r="F58" s="14">
        <f t="shared" si="4"/>
        <v>262349.16000000003</v>
      </c>
      <c r="G58" s="14">
        <f t="shared" si="4"/>
        <v>263352.43000000005</v>
      </c>
      <c r="H58" s="14">
        <f t="shared" si="4"/>
        <v>263695.13</v>
      </c>
      <c r="I58" s="14">
        <f t="shared" si="4"/>
        <v>264077.56000000006</v>
      </c>
      <c r="J58" s="14">
        <f t="shared" si="4"/>
        <v>264539.45</v>
      </c>
      <c r="K58" s="14">
        <f t="shared" si="4"/>
        <v>264837.46000000002</v>
      </c>
      <c r="L58" s="14">
        <f t="shared" si="4"/>
        <v>264882.16000000003</v>
      </c>
      <c r="M58" s="14">
        <f t="shared" si="4"/>
        <v>264122.26000000007</v>
      </c>
      <c r="N58" s="14">
        <f t="shared" si="4"/>
        <v>264370.59000000003</v>
      </c>
      <c r="O58" s="14">
        <f t="shared" si="4"/>
        <v>263248.12000000005</v>
      </c>
      <c r="P58" s="14">
        <f t="shared" si="4"/>
        <v>262284.59000000003</v>
      </c>
    </row>
    <row r="59" spans="1:16" s="13" customFormat="1" ht="15" x14ac:dyDescent="0.25">
      <c r="A59" s="13" t="s">
        <v>31</v>
      </c>
      <c r="D59" s="14">
        <f>SUM(D31:D51)</f>
        <v>272595.22000000003</v>
      </c>
      <c r="E59" s="14">
        <f>SUM(E31:E51)</f>
        <v>22563.54</v>
      </c>
      <c r="F59" s="14">
        <f t="shared" ref="F59:P59" si="5">SUM(F31:F51)</f>
        <v>22657.909999999996</v>
      </c>
      <c r="G59" s="14">
        <f t="shared" si="5"/>
        <v>22841.67</v>
      </c>
      <c r="H59" s="14">
        <f t="shared" si="5"/>
        <v>22573.48</v>
      </c>
      <c r="I59" s="14">
        <f t="shared" si="5"/>
        <v>22707.579999999998</v>
      </c>
      <c r="J59" s="14">
        <f t="shared" si="5"/>
        <v>22692.68</v>
      </c>
      <c r="K59" s="14">
        <f t="shared" si="5"/>
        <v>22742.339999999997</v>
      </c>
      <c r="L59" s="14">
        <f t="shared" si="5"/>
        <v>22796.979999999996</v>
      </c>
      <c r="M59" s="14">
        <f t="shared" si="5"/>
        <v>22826.78</v>
      </c>
      <c r="N59" s="14">
        <f t="shared" si="5"/>
        <v>22717.51</v>
      </c>
      <c r="O59" s="14">
        <f t="shared" si="5"/>
        <v>22702.61</v>
      </c>
      <c r="P59" s="14">
        <f t="shared" si="5"/>
        <v>22772.14</v>
      </c>
    </row>
    <row r="60" spans="1:16" s="13" customFormat="1" ht="15" x14ac:dyDescent="0.25">
      <c r="A60" s="13" t="s">
        <v>23</v>
      </c>
      <c r="D60" s="14">
        <f>SUM(D52:D55)</f>
        <v>-69395.06</v>
      </c>
      <c r="E60" s="14">
        <f>SUM(E52:E55)</f>
        <v>-7515.86</v>
      </c>
      <c r="F60" s="14">
        <f t="shared" ref="F60:P60" si="6">SUM(F52:F55)</f>
        <v>-855.86</v>
      </c>
      <c r="G60" s="14">
        <f t="shared" si="6"/>
        <v>-1836.91</v>
      </c>
      <c r="H60" s="14">
        <f t="shared" si="6"/>
        <v>-6121.04</v>
      </c>
      <c r="I60" s="14">
        <f t="shared" si="6"/>
        <v>-3967.1200000000003</v>
      </c>
      <c r="J60" s="14">
        <f t="shared" si="6"/>
        <v>-533.22</v>
      </c>
      <c r="K60" s="14">
        <f t="shared" si="6"/>
        <v>-4769</v>
      </c>
      <c r="L60" s="14">
        <f t="shared" si="6"/>
        <v>-7865.58</v>
      </c>
      <c r="M60" s="14">
        <f t="shared" si="6"/>
        <v>-8819.6200000000008</v>
      </c>
      <c r="N60" s="14">
        <f t="shared" si="6"/>
        <v>-18879.949999999997</v>
      </c>
      <c r="O60" s="14">
        <f t="shared" si="6"/>
        <v>-6804.04</v>
      </c>
      <c r="P60" s="14">
        <f t="shared" si="6"/>
        <v>-1426.86</v>
      </c>
    </row>
    <row r="61" spans="1:16" s="11" customFormat="1" ht="15" x14ac:dyDescent="0.25">
      <c r="A61" s="10" t="s">
        <v>21</v>
      </c>
      <c r="B61" s="10"/>
      <c r="C61" s="10"/>
      <c r="D61" s="12">
        <f t="shared" ref="D61:P61" si="7">SUM(D3:D56)</f>
        <v>3372438.53</v>
      </c>
      <c r="E61" s="12">
        <f t="shared" si="7"/>
        <v>278193.1399999999</v>
      </c>
      <c r="F61" s="12">
        <f t="shared" si="7"/>
        <v>284545.20999999996</v>
      </c>
      <c r="G61" s="12">
        <f t="shared" si="7"/>
        <v>284751.18999999994</v>
      </c>
      <c r="H61" s="12">
        <f t="shared" si="7"/>
        <v>280541.56999999989</v>
      </c>
      <c r="I61" s="12">
        <f t="shared" si="7"/>
        <v>283212.02</v>
      </c>
      <c r="J61" s="12">
        <f t="shared" si="7"/>
        <v>287092.90999999997</v>
      </c>
      <c r="K61" s="12">
        <f t="shared" si="7"/>
        <v>283204.8</v>
      </c>
      <c r="L61" s="12">
        <f t="shared" si="7"/>
        <v>280207.56</v>
      </c>
      <c r="M61" s="12">
        <f t="shared" si="7"/>
        <v>278523.42</v>
      </c>
      <c r="N61" s="12">
        <f t="shared" si="7"/>
        <v>268602.15000000002</v>
      </c>
      <c r="O61" s="12">
        <f t="shared" si="7"/>
        <v>279540.69</v>
      </c>
      <c r="P61" s="12">
        <f t="shared" si="7"/>
        <v>284023.86999999994</v>
      </c>
    </row>
    <row r="62" spans="1:16" s="180" customFormat="1" ht="11.25" x14ac:dyDescent="0.2">
      <c r="A62" s="179" t="s">
        <v>25</v>
      </c>
      <c r="E62" s="180">
        <f>SUM(E57:E60)-E61</f>
        <v>0</v>
      </c>
      <c r="F62" s="180">
        <f t="shared" ref="F62:P62" si="8">SUM(F57:F60)-F61</f>
        <v>0</v>
      </c>
      <c r="G62" s="180">
        <f t="shared" si="8"/>
        <v>0</v>
      </c>
      <c r="H62" s="180">
        <f t="shared" si="8"/>
        <v>0</v>
      </c>
      <c r="I62" s="180">
        <f t="shared" si="8"/>
        <v>0</v>
      </c>
      <c r="J62" s="180">
        <f t="shared" si="8"/>
        <v>0</v>
      </c>
      <c r="K62" s="180">
        <f t="shared" si="8"/>
        <v>0</v>
      </c>
      <c r="L62" s="180">
        <f t="shared" si="8"/>
        <v>0</v>
      </c>
      <c r="M62" s="180">
        <f t="shared" si="8"/>
        <v>0</v>
      </c>
      <c r="N62" s="180">
        <f t="shared" si="8"/>
        <v>0</v>
      </c>
      <c r="O62" s="180">
        <f t="shared" si="8"/>
        <v>0</v>
      </c>
      <c r="P62" s="180">
        <f t="shared" si="8"/>
        <v>0</v>
      </c>
    </row>
    <row r="63" spans="1:16" s="180" customFormat="1" ht="11.25" x14ac:dyDescent="0.2">
      <c r="A63" s="179"/>
    </row>
    <row r="64" spans="1:16" s="177" customFormat="1" ht="15" x14ac:dyDescent="0.25">
      <c r="A64" s="176" t="s">
        <v>75</v>
      </c>
      <c r="D64" s="181">
        <f>SUM(E64:P64)</f>
        <v>3370785.35</v>
      </c>
      <c r="E64" s="181">
        <f>418439.29-'BILLED CONSUMPTION'!F64</f>
        <v>278363.40999999997</v>
      </c>
      <c r="F64" s="181">
        <f>424670.93-'BILLED CONSUMPTION'!G64</f>
        <v>284583.52</v>
      </c>
      <c r="G64" s="181">
        <f>407382.68-'BILLED CONSUMPTION'!H64</f>
        <v>284464.18</v>
      </c>
      <c r="H64" s="181">
        <f>428162.54-'BILLED CONSUMPTION'!I64</f>
        <v>280035.24</v>
      </c>
      <c r="I64" s="181">
        <f>447083.31-'BILLED CONSUMPTION'!J64</f>
        <v>282574.79000000004</v>
      </c>
      <c r="J64" s="181">
        <f>636477.55-'BILLED CONSUMPTION'!K64</f>
        <v>286831.85000000003</v>
      </c>
      <c r="K64" s="181">
        <f>772627.56-'BILLED CONSUMPTION'!L64</f>
        <v>282850.23000000004</v>
      </c>
      <c r="L64" s="181">
        <f>964188.43-'BILLED CONSUMPTION'!M64</f>
        <v>277147.38</v>
      </c>
      <c r="M64" s="181">
        <f>825056.47-'BILLED CONSUMPTION'!N64</f>
        <v>278560.95999999996</v>
      </c>
      <c r="N64" s="181">
        <f>438004.75-'BILLED CONSUMPTION'!O64</f>
        <v>269250.52999999997</v>
      </c>
      <c r="O64" s="181">
        <f>432480.21-'BILLED CONSUMPTION'!P64</f>
        <v>280299.84999999998</v>
      </c>
      <c r="P64" s="181">
        <f>428279-'BILLED CONSUMPTION'!Q64</f>
        <v>285823.41000000003</v>
      </c>
    </row>
    <row r="65" spans="1:16" s="177" customFormat="1" ht="15" x14ac:dyDescent="0.25">
      <c r="A65" s="176" t="s">
        <v>68</v>
      </c>
      <c r="D65" s="181">
        <f>+D64-D61</f>
        <v>-1653.179999999702</v>
      </c>
      <c r="E65" s="181">
        <f>+E64-E61</f>
        <v>170.27000000007683</v>
      </c>
      <c r="F65" s="181">
        <f t="shared" ref="F65:P65" si="9">+F64-F61</f>
        <v>38.310000000055879</v>
      </c>
      <c r="G65" s="181">
        <f t="shared" si="9"/>
        <v>-287.00999999995111</v>
      </c>
      <c r="H65" s="181">
        <f>+H64-H61</f>
        <v>-506.32999999989988</v>
      </c>
      <c r="I65" s="181">
        <f>+I64-I61</f>
        <v>-637.22999999998137</v>
      </c>
      <c r="J65" s="181">
        <f>+J64-J61</f>
        <v>-261.05999999993946</v>
      </c>
      <c r="K65" s="181">
        <f>+K64-K61</f>
        <v>-354.56999999994878</v>
      </c>
      <c r="L65" s="181">
        <f>+L64-L61</f>
        <v>-3060.179999999993</v>
      </c>
      <c r="M65" s="181">
        <f t="shared" si="9"/>
        <v>37.539999999979045</v>
      </c>
      <c r="N65" s="181">
        <f t="shared" si="9"/>
        <v>648.37999999994645</v>
      </c>
      <c r="O65" s="181">
        <f t="shared" si="9"/>
        <v>759.15999999997439</v>
      </c>
      <c r="P65" s="181">
        <f t="shared" si="9"/>
        <v>1799.5400000000955</v>
      </c>
    </row>
    <row r="66" spans="1:16" s="177" customFormat="1" x14ac:dyDescent="0.2"/>
    <row r="67" spans="1:16" s="183" customFormat="1" ht="15" x14ac:dyDescent="0.25">
      <c r="A67" s="182" t="s">
        <v>82</v>
      </c>
      <c r="C67" s="178"/>
      <c r="D67" s="181">
        <f>SUM(E67:P67)</f>
        <v>3443769.66</v>
      </c>
      <c r="E67" s="183">
        <v>285906.45</v>
      </c>
      <c r="F67" s="183">
        <v>285519.67</v>
      </c>
      <c r="G67" s="183">
        <v>286305.63</v>
      </c>
      <c r="H67" s="183">
        <v>286776.71000000002</v>
      </c>
      <c r="I67" s="183">
        <v>287021.59000000003</v>
      </c>
      <c r="J67" s="183">
        <v>287714.8</v>
      </c>
      <c r="K67" s="183">
        <v>287942.11</v>
      </c>
      <c r="L67" s="183">
        <v>288081.39</v>
      </c>
      <c r="M67" s="183">
        <v>287593</v>
      </c>
      <c r="N67" s="183">
        <v>287077.09000000003</v>
      </c>
      <c r="O67" s="183">
        <v>287040.2</v>
      </c>
      <c r="P67" s="183">
        <v>286791.02</v>
      </c>
    </row>
    <row r="68" spans="1:16" s="177" customFormat="1" ht="15" x14ac:dyDescent="0.25">
      <c r="A68" s="176" t="s">
        <v>83</v>
      </c>
      <c r="C68" s="178"/>
      <c r="D68" s="181">
        <f>SUM(E68:P68)</f>
        <v>3372997.96</v>
      </c>
      <c r="E68" s="181">
        <f>+E67+E55</f>
        <v>278275.87</v>
      </c>
      <c r="F68" s="181">
        <f t="shared" ref="F68:P68" si="10">+F67+F55</f>
        <v>284549.08999999997</v>
      </c>
      <c r="G68" s="181">
        <f t="shared" si="10"/>
        <v>284354</v>
      </c>
      <c r="H68" s="181">
        <f t="shared" si="10"/>
        <v>280540.95</v>
      </c>
      <c r="I68" s="181">
        <f t="shared" si="10"/>
        <v>282939.75</v>
      </c>
      <c r="J68" s="181">
        <f t="shared" si="10"/>
        <v>287066.86</v>
      </c>
      <c r="K68" s="181">
        <f t="shared" si="10"/>
        <v>283058.39</v>
      </c>
      <c r="L68" s="181">
        <f t="shared" si="10"/>
        <v>280101.09000000003</v>
      </c>
      <c r="M68" s="181">
        <f t="shared" si="10"/>
        <v>278658.65999999997</v>
      </c>
      <c r="N68" s="181">
        <f t="shared" si="10"/>
        <v>268082.42000000004</v>
      </c>
      <c r="O68" s="181">
        <f t="shared" si="10"/>
        <v>280121.44</v>
      </c>
      <c r="P68" s="181">
        <f t="shared" si="10"/>
        <v>285249.44</v>
      </c>
    </row>
    <row r="69" spans="1:16" s="177" customFormat="1" ht="15" x14ac:dyDescent="0.25">
      <c r="A69" s="176" t="s">
        <v>68</v>
      </c>
      <c r="C69" s="184"/>
      <c r="D69" s="181">
        <f>+D68-D61</f>
        <v>559.43000000016764</v>
      </c>
      <c r="E69" s="181">
        <f>+E68-E61</f>
        <v>82.730000000097789</v>
      </c>
      <c r="F69" s="181">
        <f t="shared" ref="F69:P69" si="11">+F68-F61</f>
        <v>3.8800000000046566</v>
      </c>
      <c r="G69" s="181">
        <f t="shared" si="11"/>
        <v>-397.18999999994412</v>
      </c>
      <c r="H69" s="181">
        <f t="shared" si="11"/>
        <v>-0.61999999987892807</v>
      </c>
      <c r="I69" s="181">
        <f t="shared" si="11"/>
        <v>-272.27000000001863</v>
      </c>
      <c r="J69" s="181">
        <f t="shared" si="11"/>
        <v>-26.049999999988358</v>
      </c>
      <c r="K69" s="181">
        <f t="shared" si="11"/>
        <v>-146.40999999997439</v>
      </c>
      <c r="L69" s="181">
        <f t="shared" si="11"/>
        <v>-106.46999999997206</v>
      </c>
      <c r="M69" s="181">
        <f t="shared" si="11"/>
        <v>135.23999999999069</v>
      </c>
      <c r="N69" s="181">
        <f t="shared" si="11"/>
        <v>-519.72999999998137</v>
      </c>
      <c r="O69" s="181">
        <f t="shared" si="11"/>
        <v>580.75</v>
      </c>
      <c r="P69" s="181">
        <f t="shared" si="11"/>
        <v>1225.5700000000652</v>
      </c>
    </row>
    <row r="70" spans="1:16" x14ac:dyDescent="0.2">
      <c r="D70" s="8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76"/>
  <sheetViews>
    <sheetView workbookViewId="0">
      <pane xSplit="1" ySplit="1" topLeftCell="M62" activePane="bottomRight" state="frozen"/>
      <selection activeCell="B55" sqref="B55"/>
      <selection pane="topRight" activeCell="B55" sqref="B55"/>
      <selection pane="bottomLeft" activeCell="B55" sqref="B55"/>
      <selection pane="bottomRight" activeCell="O73" sqref="O73"/>
    </sheetView>
  </sheetViews>
  <sheetFormatPr defaultRowHeight="12.75" x14ac:dyDescent="0.2"/>
  <cols>
    <col min="1" max="1" width="42.5703125" customWidth="1"/>
    <col min="2" max="3" width="14" customWidth="1"/>
    <col min="4" max="4" width="15.42578125" customWidth="1"/>
    <col min="5" max="18" width="14" customWidth="1"/>
    <col min="19" max="19" width="10.85546875" bestFit="1" customWidth="1"/>
    <col min="20" max="20" width="13.7109375" bestFit="1" customWidth="1"/>
  </cols>
  <sheetData>
    <row r="1" spans="1:21" s="4" customFormat="1" ht="4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20</v>
      </c>
      <c r="F1" s="36" t="s">
        <v>39</v>
      </c>
      <c r="G1" s="5">
        <f>+CONSUMPTION!F1</f>
        <v>43112</v>
      </c>
      <c r="H1" s="5">
        <f>+CONSUMPTION!G1</f>
        <v>43143</v>
      </c>
      <c r="I1" s="5">
        <f>+CONSUMPTION!H1</f>
        <v>43171</v>
      </c>
      <c r="J1" s="5">
        <f>+CONSUMPTION!I1</f>
        <v>43202</v>
      </c>
      <c r="K1" s="5">
        <f>+CONSUMPTION!J1</f>
        <v>43232</v>
      </c>
      <c r="L1" s="5">
        <f>+CONSUMPTION!K1</f>
        <v>43263</v>
      </c>
      <c r="M1" s="5">
        <f>+CONSUMPTION!L1</f>
        <v>43293</v>
      </c>
      <c r="N1" s="5">
        <f>+CONSUMPTION!M1</f>
        <v>43324</v>
      </c>
      <c r="O1" s="5">
        <f>+CONSUMPTION!N1</f>
        <v>43355</v>
      </c>
      <c r="P1" s="5">
        <f>+CONSUMPTION!O1</f>
        <v>43385</v>
      </c>
      <c r="Q1" s="5">
        <f>+CONSUMPTION!P1</f>
        <v>43416</v>
      </c>
      <c r="R1" s="5">
        <f>+CONSUMPTION!Q1</f>
        <v>43446</v>
      </c>
    </row>
    <row r="2" spans="1:21" s="4" customFormat="1" ht="15" x14ac:dyDescent="0.2">
      <c r="A2" s="29"/>
      <c r="B2" s="29"/>
      <c r="C2" s="33"/>
      <c r="D2" s="29"/>
      <c r="E2" s="33"/>
      <c r="F2" s="29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2"/>
    </row>
    <row r="3" spans="1:21" ht="15" x14ac:dyDescent="0.25">
      <c r="A3" s="25" t="s">
        <v>4</v>
      </c>
      <c r="B3" s="166">
        <f>+CONSUMPTION!B3</f>
        <v>0</v>
      </c>
      <c r="C3" s="167">
        <v>10000</v>
      </c>
      <c r="D3" s="167">
        <f>+CONSUMPTION!E3</f>
        <v>49600</v>
      </c>
      <c r="E3" s="137">
        <f>+BASE!C3</f>
        <v>0</v>
      </c>
      <c r="F3" s="168">
        <f>SUM(G3:R3)</f>
        <v>0</v>
      </c>
      <c r="G3" s="52">
        <f>+'BILLED CONSUMPTION'!F3+'BILLED BASE'!E3</f>
        <v>0</v>
      </c>
      <c r="H3" s="52">
        <f>+'BILLED CONSUMPTION'!G3+'BILLED BASE'!F3</f>
        <v>0</v>
      </c>
      <c r="I3" s="52">
        <f>+'BILLED CONSUMPTION'!H3+'BILLED BASE'!G3</f>
        <v>0</v>
      </c>
      <c r="J3" s="52">
        <f>+'BILLED CONSUMPTION'!I3+'BILLED BASE'!H3</f>
        <v>0</v>
      </c>
      <c r="K3" s="52">
        <f>+'BILLED CONSUMPTION'!J3+'BILLED BASE'!I3</f>
        <v>0</v>
      </c>
      <c r="L3" s="52">
        <f>+'BILLED CONSUMPTION'!K3+'BILLED BASE'!J3</f>
        <v>0</v>
      </c>
      <c r="M3" s="52">
        <f>+'BILLED CONSUMPTION'!L3+'BILLED BASE'!K3</f>
        <v>0</v>
      </c>
      <c r="N3" s="52">
        <f>+'BILLED CONSUMPTION'!M3+'BILLED BASE'!L3</f>
        <v>0</v>
      </c>
      <c r="O3" s="52">
        <f>+'BILLED CONSUMPTION'!N3+'BILLED BASE'!M3</f>
        <v>0</v>
      </c>
      <c r="P3" s="52">
        <f>+'BILLED CONSUMPTION'!O3+'BILLED BASE'!N3</f>
        <v>0</v>
      </c>
      <c r="Q3" s="52">
        <f>+'BILLED CONSUMPTION'!P3+'BILLED BASE'!O3</f>
        <v>0</v>
      </c>
      <c r="R3" s="52">
        <f>+'BILLED CONSUMPTION'!Q3+'BILLED BASE'!P3</f>
        <v>0</v>
      </c>
    </row>
    <row r="4" spans="1:21" ht="15" x14ac:dyDescent="0.25">
      <c r="A4" s="2" t="s">
        <v>4</v>
      </c>
      <c r="B4" s="166">
        <f>+CONSUMPTION!B4</f>
        <v>8.5000000000000006E-3</v>
      </c>
      <c r="C4" s="169">
        <v>60000</v>
      </c>
      <c r="D4" s="167">
        <f>+CONSUMPTION!E4</f>
        <v>4700</v>
      </c>
      <c r="E4" s="137">
        <f>+BASE!C4</f>
        <v>394</v>
      </c>
      <c r="F4" s="168">
        <f t="shared" ref="F4:F55" si="0">SUM(G4:R4)</f>
        <v>3191.95</v>
      </c>
      <c r="G4" s="52">
        <f>+'BILLED CONSUMPTION'!F4+'BILLED BASE'!E4</f>
        <v>394</v>
      </c>
      <c r="H4" s="52">
        <f>+'BILLED CONSUMPTION'!G4+'BILLED BASE'!F4</f>
        <v>394</v>
      </c>
      <c r="I4" s="52">
        <f>+'BILLED CONSUMPTION'!H4+'BILLED BASE'!G4</f>
        <v>394</v>
      </c>
      <c r="J4" s="52">
        <f>+'BILLED CONSUMPTION'!I4+'BILLED BASE'!H4</f>
        <v>394</v>
      </c>
      <c r="K4" s="52">
        <f>+'BILLED CONSUMPTION'!J4+'BILLED BASE'!I4</f>
        <v>433.95</v>
      </c>
      <c r="L4" s="52">
        <f>+'BILLED CONSUMPTION'!K4+'BILLED BASE'!J4</f>
        <v>0</v>
      </c>
      <c r="M4" s="52">
        <f>+'BILLED CONSUMPTION'!L4+'BILLED BASE'!K4</f>
        <v>0</v>
      </c>
      <c r="N4" s="52">
        <f>+'BILLED CONSUMPTION'!M4+'BILLED BASE'!L4</f>
        <v>0</v>
      </c>
      <c r="O4" s="52">
        <f>+'BILLED CONSUMPTION'!N4+'BILLED BASE'!M4</f>
        <v>0</v>
      </c>
      <c r="P4" s="52">
        <f>+'BILLED CONSUMPTION'!O4+'BILLED BASE'!N4</f>
        <v>394</v>
      </c>
      <c r="Q4" s="52">
        <f>+'BILLED CONSUMPTION'!P4+'BILLED BASE'!O4</f>
        <v>394</v>
      </c>
      <c r="R4" s="52">
        <f>+'BILLED CONSUMPTION'!Q4+'BILLED BASE'!P4</f>
        <v>394</v>
      </c>
    </row>
    <row r="5" spans="1:21" ht="15" x14ac:dyDescent="0.25">
      <c r="A5" s="2" t="s">
        <v>4</v>
      </c>
      <c r="B5" s="166">
        <f>+CONSUMPTION!B5</f>
        <v>0.05</v>
      </c>
      <c r="C5" s="169">
        <v>999999999</v>
      </c>
      <c r="D5" s="167">
        <f>+CONSUMPTION!E5</f>
        <v>0</v>
      </c>
      <c r="E5" s="137">
        <f>+BASE!C5</f>
        <v>0</v>
      </c>
      <c r="F5" s="168">
        <f t="shared" si="0"/>
        <v>0</v>
      </c>
      <c r="G5" s="52">
        <f>+'BILLED CONSUMPTION'!F5+'BILLED BASE'!E5</f>
        <v>0</v>
      </c>
      <c r="H5" s="52">
        <f>+'BILLED CONSUMPTION'!G5+'BILLED BASE'!F5</f>
        <v>0</v>
      </c>
      <c r="I5" s="52">
        <f>+'BILLED CONSUMPTION'!H5+'BILLED BASE'!G5</f>
        <v>0</v>
      </c>
      <c r="J5" s="52">
        <f>+'BILLED CONSUMPTION'!I5+'BILLED BASE'!H5</f>
        <v>0</v>
      </c>
      <c r="K5" s="52">
        <f>+'BILLED CONSUMPTION'!J5+'BILLED BASE'!I5</f>
        <v>0</v>
      </c>
      <c r="L5" s="52">
        <f>+'BILLED CONSUMPTION'!K5+'BILLED BASE'!J5</f>
        <v>0</v>
      </c>
      <c r="M5" s="52">
        <f>+'BILLED CONSUMPTION'!L5+'BILLED BASE'!K5</f>
        <v>0</v>
      </c>
      <c r="N5" s="52">
        <f>+'BILLED CONSUMPTION'!M5+'BILLED BASE'!L5</f>
        <v>0</v>
      </c>
      <c r="O5" s="52">
        <f>+'BILLED CONSUMPTION'!N5+'BILLED BASE'!M5</f>
        <v>0</v>
      </c>
      <c r="P5" s="52">
        <f>+'BILLED CONSUMPTION'!O5+'BILLED BASE'!N5</f>
        <v>0</v>
      </c>
      <c r="Q5" s="52">
        <f>+'BILLED CONSUMPTION'!P5+'BILLED BASE'!O5</f>
        <v>0</v>
      </c>
      <c r="R5" s="52">
        <f>+'BILLED CONSUMPTION'!Q5+'BILLED BASE'!P5</f>
        <v>0</v>
      </c>
    </row>
    <row r="6" spans="1:21" ht="18.600000000000001" customHeight="1" x14ac:dyDescent="0.25">
      <c r="A6" s="2" t="s">
        <v>5</v>
      </c>
      <c r="B6" s="166">
        <f>+CONSUMPTION!B6</f>
        <v>2.1839999999999998E-2</v>
      </c>
      <c r="C6" s="169">
        <v>999999999</v>
      </c>
      <c r="D6" s="167">
        <f>+CONSUMPTION!E6</f>
        <v>143500</v>
      </c>
      <c r="E6" s="137">
        <f>+BASE!C6</f>
        <v>394</v>
      </c>
      <c r="F6" s="168">
        <f t="shared" si="0"/>
        <v>4710.0399999999991</v>
      </c>
      <c r="G6" s="52">
        <f>+'BILLED CONSUMPTION'!F6+'BILLED BASE'!E6</f>
        <v>0</v>
      </c>
      <c r="H6" s="52">
        <f>+'BILLED CONSUMPTION'!G6+'BILLED BASE'!F6</f>
        <v>0</v>
      </c>
      <c r="I6" s="52">
        <f>+'BILLED CONSUMPTION'!H6+'BILLED BASE'!G6</f>
        <v>0</v>
      </c>
      <c r="J6" s="52">
        <f>+'BILLED CONSUMPTION'!I6+'BILLED BASE'!H6</f>
        <v>0</v>
      </c>
      <c r="K6" s="52">
        <f>+'BILLED CONSUMPTION'!J6+'BILLED BASE'!I6</f>
        <v>0</v>
      </c>
      <c r="L6" s="52">
        <f>+'BILLED CONSUMPTION'!K6+'BILLED BASE'!J6</f>
        <v>979.3119999999999</v>
      </c>
      <c r="M6" s="52">
        <f>+'BILLED CONSUMPTION'!L6+'BILLED BASE'!K6</f>
        <v>1199.896</v>
      </c>
      <c r="N6" s="52">
        <f>+'BILLED CONSUMPTION'!M6+'BILLED BASE'!L6</f>
        <v>1302.5439999999999</v>
      </c>
      <c r="O6" s="52">
        <f>+'BILLED CONSUMPTION'!N6+'BILLED BASE'!M6</f>
        <v>1228.288</v>
      </c>
      <c r="P6" s="52">
        <f>+'BILLED CONSUMPTION'!O6+'BILLED BASE'!N6</f>
        <v>0</v>
      </c>
      <c r="Q6" s="52">
        <f>+'BILLED CONSUMPTION'!P6+'BILLED BASE'!O6</f>
        <v>0</v>
      </c>
      <c r="R6" s="52">
        <f>+'BILLED CONSUMPTION'!Q6+'BILLED BASE'!P6</f>
        <v>0</v>
      </c>
      <c r="S6" s="85"/>
      <c r="U6" s="85"/>
    </row>
    <row r="7" spans="1:21" ht="18" customHeight="1" x14ac:dyDescent="0.25">
      <c r="A7" s="2" t="s">
        <v>98</v>
      </c>
      <c r="B7" s="166">
        <f>+CONSUMPTION!B7</f>
        <v>0.01</v>
      </c>
      <c r="C7" s="169">
        <v>500</v>
      </c>
      <c r="D7" s="167">
        <f>+CONSUMPTION!E7</f>
        <v>0</v>
      </c>
      <c r="E7" s="137">
        <f>+BASE!C7</f>
        <v>31</v>
      </c>
      <c r="F7" s="168">
        <f t="shared" si="0"/>
        <v>0</v>
      </c>
      <c r="G7" s="52">
        <f>+'BILLED CONSUMPTION'!F7+'BILLED BASE'!E7</f>
        <v>0</v>
      </c>
      <c r="H7" s="52">
        <f>+'BILLED CONSUMPTION'!G7+'BILLED BASE'!F7</f>
        <v>0</v>
      </c>
      <c r="I7" s="52">
        <f>+'BILLED CONSUMPTION'!H7+'BILLED BASE'!G7</f>
        <v>0</v>
      </c>
      <c r="J7" s="52">
        <f>+'BILLED CONSUMPTION'!I7+'BILLED BASE'!H7</f>
        <v>0</v>
      </c>
      <c r="K7" s="52">
        <f>+'BILLED CONSUMPTION'!J7+'BILLED BASE'!I7</f>
        <v>0</v>
      </c>
      <c r="L7" s="52">
        <f>+'BILLED CONSUMPTION'!K7+'BILLED BASE'!J7</f>
        <v>0</v>
      </c>
      <c r="M7" s="52">
        <f>+'BILLED CONSUMPTION'!L7+'BILLED BASE'!K7</f>
        <v>0</v>
      </c>
      <c r="N7" s="52">
        <f>+'BILLED CONSUMPTION'!M7+'BILLED BASE'!L7</f>
        <v>0</v>
      </c>
      <c r="O7" s="52">
        <f>+'BILLED CONSUMPTION'!N7+'BILLED BASE'!M7</f>
        <v>0</v>
      </c>
      <c r="P7" s="52">
        <f>+'BILLED CONSUMPTION'!O7+'BILLED BASE'!N7</f>
        <v>0</v>
      </c>
      <c r="Q7" s="52">
        <f>+'BILLED CONSUMPTION'!P7+'BILLED BASE'!O7</f>
        <v>0</v>
      </c>
      <c r="R7" s="52">
        <f>+'BILLED CONSUMPTION'!Q7+'BILLED BASE'!P7</f>
        <v>0</v>
      </c>
    </row>
    <row r="8" spans="1:21" ht="15" x14ac:dyDescent="0.25">
      <c r="A8" s="2" t="s">
        <v>98</v>
      </c>
      <c r="B8" s="166">
        <f>+CONSUMPTION!B8</f>
        <v>1.2500000000000001E-2</v>
      </c>
      <c r="C8" s="169">
        <v>500</v>
      </c>
      <c r="D8" s="167">
        <f>+CONSUMPTION!E8</f>
        <v>0</v>
      </c>
      <c r="E8" s="137">
        <f>+BASE!C8</f>
        <v>31</v>
      </c>
      <c r="F8" s="168">
        <f t="shared" si="0"/>
        <v>0</v>
      </c>
      <c r="G8" s="52">
        <f>+'BILLED CONSUMPTION'!F8+'BILLED BASE'!E8</f>
        <v>0</v>
      </c>
      <c r="H8" s="52">
        <f>+'BILLED CONSUMPTION'!G8+'BILLED BASE'!F8</f>
        <v>0</v>
      </c>
      <c r="I8" s="52">
        <f>+'BILLED CONSUMPTION'!H8+'BILLED BASE'!G8</f>
        <v>0</v>
      </c>
      <c r="J8" s="52">
        <f>+'BILLED CONSUMPTION'!I8+'BILLED BASE'!H8</f>
        <v>0</v>
      </c>
      <c r="K8" s="52">
        <f>+'BILLED CONSUMPTION'!J8+'BILLED BASE'!I8</f>
        <v>0</v>
      </c>
      <c r="L8" s="52">
        <f>+'BILLED CONSUMPTION'!K8+'BILLED BASE'!J8</f>
        <v>0</v>
      </c>
      <c r="M8" s="52">
        <f>+'BILLED CONSUMPTION'!L8+'BILLED BASE'!K8</f>
        <v>0</v>
      </c>
      <c r="N8" s="52">
        <f>+'BILLED CONSUMPTION'!M8+'BILLED BASE'!L8</f>
        <v>0</v>
      </c>
      <c r="O8" s="52">
        <f>+'BILLED CONSUMPTION'!N8+'BILLED BASE'!M8</f>
        <v>0</v>
      </c>
      <c r="P8" s="52">
        <f>+'BILLED CONSUMPTION'!O8+'BILLED BASE'!N8</f>
        <v>0</v>
      </c>
      <c r="Q8" s="52">
        <f>+'BILLED CONSUMPTION'!P8+'BILLED BASE'!O8</f>
        <v>0</v>
      </c>
      <c r="R8" s="52">
        <f>+'BILLED CONSUMPTION'!Q8+'BILLED BASE'!P8</f>
        <v>0</v>
      </c>
    </row>
    <row r="9" spans="1:21" ht="15" x14ac:dyDescent="0.25">
      <c r="A9" s="2" t="s">
        <v>98</v>
      </c>
      <c r="B9" s="166">
        <f>+CONSUMPTION!B9</f>
        <v>1.6E-2</v>
      </c>
      <c r="C9" s="169">
        <v>999999999</v>
      </c>
      <c r="D9" s="167">
        <f>+CONSUMPTION!E9</f>
        <v>0</v>
      </c>
      <c r="E9" s="137">
        <f>+BASE!C9</f>
        <v>31</v>
      </c>
      <c r="F9" s="168">
        <f t="shared" si="0"/>
        <v>0</v>
      </c>
      <c r="G9" s="52">
        <f>+'BILLED CONSUMPTION'!F9+'BILLED BASE'!E9</f>
        <v>0</v>
      </c>
      <c r="H9" s="52">
        <f>+'BILLED CONSUMPTION'!G9+'BILLED BASE'!F9</f>
        <v>0</v>
      </c>
      <c r="I9" s="52">
        <f>+'BILLED CONSUMPTION'!H9+'BILLED BASE'!G9</f>
        <v>0</v>
      </c>
      <c r="J9" s="52">
        <f>+'BILLED CONSUMPTION'!I9+'BILLED BASE'!H9</f>
        <v>0</v>
      </c>
      <c r="K9" s="52">
        <f>+'BILLED CONSUMPTION'!J9+'BILLED BASE'!I9</f>
        <v>0</v>
      </c>
      <c r="L9" s="52">
        <f>+'BILLED CONSUMPTION'!K9+'BILLED BASE'!J9</f>
        <v>0</v>
      </c>
      <c r="M9" s="52">
        <f>+'BILLED CONSUMPTION'!L9+'BILLED BASE'!K9</f>
        <v>0</v>
      </c>
      <c r="N9" s="52">
        <f>+'BILLED CONSUMPTION'!M9+'BILLED BASE'!L9</f>
        <v>0</v>
      </c>
      <c r="O9" s="52">
        <f>+'BILLED CONSUMPTION'!N9+'BILLED BASE'!M9</f>
        <v>0</v>
      </c>
      <c r="P9" s="52">
        <f>+'BILLED CONSUMPTION'!O9+'BILLED BASE'!N9</f>
        <v>0</v>
      </c>
      <c r="Q9" s="52">
        <f>+'BILLED CONSUMPTION'!P9+'BILLED BASE'!O9</f>
        <v>0</v>
      </c>
      <c r="R9" s="52">
        <f>+'BILLED CONSUMPTION'!Q9+'BILLED BASE'!P9</f>
        <v>0</v>
      </c>
      <c r="U9" s="85"/>
    </row>
    <row r="10" spans="1:21" ht="15" x14ac:dyDescent="0.25">
      <c r="A10" s="200" t="s">
        <v>104</v>
      </c>
      <c r="B10" s="166">
        <f>+CONSUMPTION!B10</f>
        <v>0.01</v>
      </c>
      <c r="C10" s="169">
        <v>600</v>
      </c>
      <c r="D10" s="167">
        <f>+CONSUMPTION!E10</f>
        <v>45945000</v>
      </c>
      <c r="E10" s="137">
        <f>+BASE!C10</f>
        <v>14.9</v>
      </c>
      <c r="F10" s="168">
        <f t="shared" si="0"/>
        <v>1775805.4000000001</v>
      </c>
      <c r="G10" s="52">
        <f>+'BILLED CONSUMPTION'!F10+'BILLED BASE'!E10</f>
        <v>0</v>
      </c>
      <c r="H10" s="52">
        <f>+'BILLED CONSUMPTION'!G10+'BILLED BASE'!F10</f>
        <v>0</v>
      </c>
      <c r="I10" s="52">
        <f>+'BILLED CONSUMPTION'!H10+'BILLED BASE'!G10</f>
        <v>0</v>
      </c>
      <c r="J10" s="52">
        <f>+'BILLED CONSUMPTION'!I10+'BILLED BASE'!H10</f>
        <v>0</v>
      </c>
      <c r="K10" s="52">
        <f>+'BILLED CONSUMPTION'!J10+'BILLED BASE'!I10</f>
        <v>345329.9</v>
      </c>
      <c r="L10" s="52">
        <f>+'BILLED CONSUMPTION'!K10+'BILLED BASE'!J10</f>
        <v>355444.60000000003</v>
      </c>
      <c r="M10" s="52">
        <f>+'BILLED CONSUMPTION'!L10+'BILLED BASE'!K10</f>
        <v>357662.8</v>
      </c>
      <c r="N10" s="52">
        <f>+'BILLED CONSUMPTION'!M10+'BILLED BASE'!L10</f>
        <v>359538.5</v>
      </c>
      <c r="O10" s="52">
        <f>+'BILLED CONSUMPTION'!N10+'BILLED BASE'!M10</f>
        <v>357829.60000000003</v>
      </c>
      <c r="P10" s="52">
        <f>+'BILLED CONSUMPTION'!O10+'BILLED BASE'!N10</f>
        <v>0</v>
      </c>
      <c r="Q10" s="52">
        <f>+'BILLED CONSUMPTION'!P10+'BILLED BASE'!O10</f>
        <v>0</v>
      </c>
      <c r="R10" s="52">
        <f>+'BILLED CONSUMPTION'!Q10+'BILLED BASE'!P10</f>
        <v>0</v>
      </c>
      <c r="U10" s="85"/>
    </row>
    <row r="11" spans="1:21" ht="15" x14ac:dyDescent="0.25">
      <c r="A11" s="200" t="s">
        <v>104</v>
      </c>
      <c r="B11" s="166">
        <f>+CONSUMPTION!B11</f>
        <v>1.15E-2</v>
      </c>
      <c r="C11" s="169">
        <v>2400</v>
      </c>
      <c r="D11" s="167">
        <f>+CONSUMPTION!E11</f>
        <v>60606400</v>
      </c>
      <c r="E11" s="137">
        <f>+BASE!C11</f>
        <v>14.9</v>
      </c>
      <c r="F11" s="168">
        <f t="shared" si="0"/>
        <v>696973.6</v>
      </c>
      <c r="G11" s="52">
        <f>+'BILLED CONSUMPTION'!F11+'BILLED BASE'!E11</f>
        <v>0</v>
      </c>
      <c r="H11" s="52">
        <f>+'BILLED CONSUMPTION'!G11+'BILLED BASE'!F11</f>
        <v>0</v>
      </c>
      <c r="I11" s="52">
        <f>+'BILLED CONSUMPTION'!H11+'BILLED BASE'!G11</f>
        <v>0</v>
      </c>
      <c r="J11" s="52">
        <f>+'BILLED CONSUMPTION'!I11+'BILLED BASE'!H11</f>
        <v>0</v>
      </c>
      <c r="K11" s="52">
        <f>+'BILLED CONSUMPTION'!J11+'BILLED BASE'!I11</f>
        <v>41857.699999999997</v>
      </c>
      <c r="L11" s="52">
        <f>+'BILLED CONSUMPTION'!K11+'BILLED BASE'!J11</f>
        <v>114908</v>
      </c>
      <c r="M11" s="52">
        <f>+'BILLED CONSUMPTION'!L11+'BILLED BASE'!K11</f>
        <v>163047</v>
      </c>
      <c r="N11" s="52">
        <f>+'BILLED CONSUMPTION'!M11+'BILLED BASE'!L11</f>
        <v>209244.79999999999</v>
      </c>
      <c r="O11" s="52">
        <f>+'BILLED CONSUMPTION'!N11+'BILLED BASE'!M11</f>
        <v>167916.1</v>
      </c>
      <c r="P11" s="52">
        <f>+'BILLED CONSUMPTION'!O11+'BILLED BASE'!N11</f>
        <v>0</v>
      </c>
      <c r="Q11" s="52">
        <f>+'BILLED CONSUMPTION'!P11+'BILLED BASE'!O11</f>
        <v>0</v>
      </c>
      <c r="R11" s="52">
        <f>+'BILLED CONSUMPTION'!Q11+'BILLED BASE'!P11</f>
        <v>0</v>
      </c>
      <c r="U11" s="85"/>
    </row>
    <row r="12" spans="1:21" ht="15" x14ac:dyDescent="0.25">
      <c r="A12" s="200" t="s">
        <v>104</v>
      </c>
      <c r="B12" s="166">
        <f>+CONSUMPTION!B12</f>
        <v>0.05</v>
      </c>
      <c r="C12" s="169">
        <v>999999999</v>
      </c>
      <c r="D12" s="167">
        <f>+CONSUMPTION!E12</f>
        <v>13262600</v>
      </c>
      <c r="E12" s="137">
        <f>+BASE!C12</f>
        <v>14.9</v>
      </c>
      <c r="F12" s="168">
        <f t="shared" si="0"/>
        <v>663130</v>
      </c>
      <c r="G12" s="52">
        <f>+'BILLED CONSUMPTION'!F12+'BILLED BASE'!E12</f>
        <v>0</v>
      </c>
      <c r="H12" s="52">
        <f>+'BILLED CONSUMPTION'!G12+'BILLED BASE'!F12</f>
        <v>0</v>
      </c>
      <c r="I12" s="52">
        <f>+'BILLED CONSUMPTION'!H12+'BILLED BASE'!G12</f>
        <v>0</v>
      </c>
      <c r="J12" s="52">
        <f>+'BILLED CONSUMPTION'!I12+'BILLED BASE'!H12</f>
        <v>0</v>
      </c>
      <c r="K12" s="52">
        <f>+'BILLED CONSUMPTION'!J12+'BILLED BASE'!I12</f>
        <v>12995</v>
      </c>
      <c r="L12" s="52">
        <f>+'BILLED CONSUMPTION'!K12+'BILLED BASE'!J12</f>
        <v>72960</v>
      </c>
      <c r="M12" s="52">
        <f>+'BILLED CONSUMPTION'!L12+'BILLED BASE'!K12</f>
        <v>140990</v>
      </c>
      <c r="N12" s="52">
        <f>+'BILLED CONSUMPTION'!M12+'BILLED BASE'!L12</f>
        <v>270835</v>
      </c>
      <c r="O12" s="52">
        <f>+'BILLED CONSUMPTION'!N12+'BILLED BASE'!M12</f>
        <v>165350</v>
      </c>
      <c r="P12" s="52">
        <f>+'BILLED CONSUMPTION'!O12+'BILLED BASE'!N12</f>
        <v>0</v>
      </c>
      <c r="Q12" s="52">
        <f>+'BILLED CONSUMPTION'!P12+'BILLED BASE'!O12</f>
        <v>0</v>
      </c>
      <c r="R12" s="52">
        <f>+'BILLED CONSUMPTION'!Q12+'BILLED BASE'!P12</f>
        <v>0</v>
      </c>
      <c r="S12" s="85"/>
      <c r="U12" s="85"/>
    </row>
    <row r="13" spans="1:21" ht="18" customHeight="1" x14ac:dyDescent="0.25">
      <c r="A13" s="2" t="s">
        <v>6</v>
      </c>
      <c r="B13" s="166">
        <f>+CONSUMPTION!B13</f>
        <v>0.01</v>
      </c>
      <c r="C13" s="169">
        <v>600</v>
      </c>
      <c r="D13" s="167">
        <f>+CONSUMPTION!E13</f>
        <v>56328200</v>
      </c>
      <c r="E13" s="137">
        <f>+BASE!C13</f>
        <v>14.9</v>
      </c>
      <c r="F13" s="168">
        <f t="shared" si="0"/>
        <v>2396905.8000000003</v>
      </c>
      <c r="G13" s="52">
        <f>+'BILLED CONSUMPTION'!F13+'BILLED BASE'!E13</f>
        <v>342544.1</v>
      </c>
      <c r="H13" s="52">
        <f>+'BILLED CONSUMPTION'!G13+'BILLED BASE'!F13</f>
        <v>340769.80000000005</v>
      </c>
      <c r="I13" s="52">
        <f>+'BILLED CONSUMPTION'!H13+'BILLED BASE'!G13</f>
        <v>338044.60000000003</v>
      </c>
      <c r="J13" s="52">
        <f>+'BILLED CONSUMPTION'!I13+'BILLED BASE'!H13</f>
        <v>344966.3</v>
      </c>
      <c r="K13" s="52">
        <f>+'BILLED CONSUMPTION'!J13+'BILLED BASE'!I13</f>
        <v>0</v>
      </c>
      <c r="L13" s="52">
        <f>+'BILLED CONSUMPTION'!K13+'BILLED BASE'!J13</f>
        <v>0</v>
      </c>
      <c r="M13" s="52">
        <f>+'BILLED CONSUMPTION'!L13+'BILLED BASE'!K13</f>
        <v>0</v>
      </c>
      <c r="N13" s="52">
        <f>+'BILLED CONSUMPTION'!M13+'BILLED BASE'!L13</f>
        <v>0</v>
      </c>
      <c r="O13" s="52">
        <f>+'BILLED CONSUMPTION'!N13+'BILLED BASE'!M13</f>
        <v>0</v>
      </c>
      <c r="P13" s="52">
        <f>+'BILLED CONSUMPTION'!O13+'BILLED BASE'!N13</f>
        <v>343735.10000000003</v>
      </c>
      <c r="Q13" s="216">
        <f>+'BILLED CONSUMPTION'!P13+'BILLED BASE'!O13</f>
        <v>344185.80000000005</v>
      </c>
      <c r="R13" s="52">
        <f>+'BILLED CONSUMPTION'!Q13+'BILLED BASE'!P13</f>
        <v>342660.1</v>
      </c>
      <c r="S13" s="85"/>
    </row>
    <row r="14" spans="1:21" ht="15" x14ac:dyDescent="0.25">
      <c r="A14" s="2" t="s">
        <v>6</v>
      </c>
      <c r="B14" s="166">
        <f>+CONSUMPTION!B14</f>
        <v>1.15E-2</v>
      </c>
      <c r="C14" s="169">
        <v>2400</v>
      </c>
      <c r="D14" s="167">
        <f>+CONSUMPTION!E14</f>
        <v>21381800</v>
      </c>
      <c r="E14" s="137">
        <f>+BASE!C14</f>
        <v>14.9</v>
      </c>
      <c r="F14" s="168">
        <f t="shared" si="0"/>
        <v>245890.7</v>
      </c>
      <c r="G14" s="52">
        <f>+'BILLED CONSUMPTION'!F14+'BILLED BASE'!E14</f>
        <v>34186.050000000003</v>
      </c>
      <c r="H14" s="52">
        <f>+'BILLED CONSUMPTION'!G14+'BILLED BASE'!F14</f>
        <v>31759.55</v>
      </c>
      <c r="I14" s="52">
        <f>+'BILLED CONSUMPTION'!H14+'BILLED BASE'!G14</f>
        <v>25135.55</v>
      </c>
      <c r="J14" s="52">
        <f>+'BILLED CONSUMPTION'!I14+'BILLED BASE'!H14</f>
        <v>36691.9</v>
      </c>
      <c r="K14" s="52">
        <f>+'BILLED CONSUMPTION'!J14+'BILLED BASE'!I14</f>
        <v>0</v>
      </c>
      <c r="L14" s="52">
        <f>+'BILLED CONSUMPTION'!K14+'BILLED BASE'!J14</f>
        <v>0</v>
      </c>
      <c r="M14" s="52">
        <f>+'BILLED CONSUMPTION'!L14+'BILLED BASE'!K14</f>
        <v>0</v>
      </c>
      <c r="N14" s="52">
        <f>+'BILLED CONSUMPTION'!M14+'BILLED BASE'!L14</f>
        <v>0</v>
      </c>
      <c r="O14" s="52">
        <f>+'BILLED CONSUMPTION'!N14+'BILLED BASE'!M14</f>
        <v>0</v>
      </c>
      <c r="P14" s="52">
        <f>+'BILLED CONSUMPTION'!O14+'BILLED BASE'!N14</f>
        <v>43450.45</v>
      </c>
      <c r="Q14" s="216">
        <f>+'BILLED CONSUMPTION'!P14+'BILLED BASE'!O14</f>
        <v>39451.9</v>
      </c>
      <c r="R14" s="52">
        <f>+'BILLED CONSUMPTION'!Q14+'BILLED BASE'!P14</f>
        <v>35215.300000000003</v>
      </c>
    </row>
    <row r="15" spans="1:21" ht="15" x14ac:dyDescent="0.25">
      <c r="A15" s="2" t="s">
        <v>6</v>
      </c>
      <c r="B15" s="166">
        <f>+CONSUMPTION!B15</f>
        <v>2.4199999999999999E-2</v>
      </c>
      <c r="C15" s="169">
        <v>999999999</v>
      </c>
      <c r="D15" s="167">
        <f>+CONSUMPTION!E15</f>
        <v>1672400</v>
      </c>
      <c r="E15" s="137">
        <f>+BASE!C15</f>
        <v>14.9</v>
      </c>
      <c r="F15" s="168">
        <f t="shared" si="0"/>
        <v>40472.079999999994</v>
      </c>
      <c r="G15" s="52">
        <f>+'BILLED CONSUMPTION'!F15+'BILLED BASE'!E15</f>
        <v>5340.94</v>
      </c>
      <c r="H15" s="52">
        <f>+'BILLED CONSUMPTION'!G15+'BILLED BASE'!F15</f>
        <v>6076.62</v>
      </c>
      <c r="I15" s="52">
        <f>+'BILLED CONSUMPTION'!H15+'BILLED BASE'!G15</f>
        <v>3453.3399999999997</v>
      </c>
      <c r="J15" s="52">
        <f>+'BILLED CONSUMPTION'!I15+'BILLED BASE'!H15</f>
        <v>5036.0199999999995</v>
      </c>
      <c r="K15" s="52">
        <f>+'BILLED CONSUMPTION'!J15+'BILLED BASE'!I15</f>
        <v>0</v>
      </c>
      <c r="L15" s="52">
        <f>+'BILLED CONSUMPTION'!K15+'BILLED BASE'!J15</f>
        <v>0</v>
      </c>
      <c r="M15" s="52">
        <f>+'BILLED CONSUMPTION'!L15+'BILLED BASE'!K15</f>
        <v>0</v>
      </c>
      <c r="N15" s="52">
        <f>+'BILLED CONSUMPTION'!M15+'BILLED BASE'!L15</f>
        <v>0</v>
      </c>
      <c r="O15" s="52">
        <f>+'BILLED CONSUMPTION'!N15+'BILLED BASE'!M15</f>
        <v>0</v>
      </c>
      <c r="P15" s="52">
        <f>+'BILLED CONSUMPTION'!O15+'BILLED BASE'!N15</f>
        <v>9004.82</v>
      </c>
      <c r="Q15" s="216">
        <f>+'BILLED CONSUMPTION'!P15+'BILLED BASE'!O15</f>
        <v>6415.42</v>
      </c>
      <c r="R15" s="52">
        <f>+'BILLED CONSUMPTION'!Q15+'BILLED BASE'!P15</f>
        <v>5144.92</v>
      </c>
      <c r="U15" s="85"/>
    </row>
    <row r="16" spans="1:21" ht="15" x14ac:dyDescent="0.25">
      <c r="A16" s="2" t="s">
        <v>7</v>
      </c>
      <c r="B16" s="166">
        <f>+CONSUMPTION!B16</f>
        <v>0.01</v>
      </c>
      <c r="C16" s="169">
        <v>1500</v>
      </c>
      <c r="D16" s="167">
        <f>+CONSUMPTION!E16</f>
        <v>160100</v>
      </c>
      <c r="E16" s="137">
        <f>+BASE!C16</f>
        <v>24.83</v>
      </c>
      <c r="F16" s="168">
        <f t="shared" si="0"/>
        <v>7336.73</v>
      </c>
      <c r="G16" s="52">
        <f>+'BILLED CONSUMPTION'!F16+'BILLED BASE'!E16</f>
        <v>1022.56</v>
      </c>
      <c r="H16" s="52">
        <f>+'BILLED CONSUMPTION'!G16+'BILLED BASE'!F16</f>
        <v>993.56</v>
      </c>
      <c r="I16" s="52">
        <f>+'BILLED CONSUMPTION'!H16+'BILLED BASE'!G16</f>
        <v>983.56</v>
      </c>
      <c r="J16" s="52">
        <f>+'BILLED CONSUMPTION'!I16+'BILLED BASE'!H16</f>
        <v>995.56</v>
      </c>
      <c r="K16" s="52">
        <f>+'BILLED CONSUMPTION'!J16+'BILLED BASE'!I16</f>
        <v>0</v>
      </c>
      <c r="L16" s="52">
        <f>+'BILLED CONSUMPTION'!K16+'BILLED BASE'!J16</f>
        <v>0</v>
      </c>
      <c r="M16" s="52">
        <f>+'BILLED CONSUMPTION'!L16+'BILLED BASE'!K16</f>
        <v>0</v>
      </c>
      <c r="N16" s="52">
        <f>+'BILLED CONSUMPTION'!M16+'BILLED BASE'!L16</f>
        <v>0</v>
      </c>
      <c r="O16" s="52">
        <f>+'BILLED CONSUMPTION'!N16+'BILLED BASE'!M16</f>
        <v>0</v>
      </c>
      <c r="P16" s="52">
        <f>+'BILLED CONSUMPTION'!O16+'BILLED BASE'!N16</f>
        <v>1156.2199999999998</v>
      </c>
      <c r="Q16" s="52">
        <f>+'BILLED CONSUMPTION'!P16+'BILLED BASE'!O16</f>
        <v>1103.05</v>
      </c>
      <c r="R16" s="52">
        <f>+'BILLED CONSUMPTION'!Q16+'BILLED BASE'!P16</f>
        <v>1082.2199999999998</v>
      </c>
    </row>
    <row r="17" spans="1:21" ht="15" x14ac:dyDescent="0.25">
      <c r="A17" s="2" t="s">
        <v>7</v>
      </c>
      <c r="B17" s="166">
        <f>+CONSUMPTION!B17</f>
        <v>1.15E-2</v>
      </c>
      <c r="C17" s="169">
        <v>6000</v>
      </c>
      <c r="D17" s="167">
        <f>+CONSUMPTION!E17</f>
        <v>61700</v>
      </c>
      <c r="E17" s="137">
        <f>+BASE!C17</f>
        <v>24.83</v>
      </c>
      <c r="F17" s="168">
        <f t="shared" si="0"/>
        <v>709.55</v>
      </c>
      <c r="G17" s="52">
        <f>+'BILLED CONSUMPTION'!F17+'BILLED BASE'!E17</f>
        <v>86.25</v>
      </c>
      <c r="H17" s="52">
        <f>+'BILLED CONSUMPTION'!G17+'BILLED BASE'!F17</f>
        <v>136.85</v>
      </c>
      <c r="I17" s="52">
        <f>+'BILLED CONSUMPTION'!H17+'BILLED BASE'!G17</f>
        <v>72.45</v>
      </c>
      <c r="J17" s="52">
        <f>+'BILLED CONSUMPTION'!I17+'BILLED BASE'!H17</f>
        <v>149.5</v>
      </c>
      <c r="K17" s="52">
        <f>+'BILLED CONSUMPTION'!J17+'BILLED BASE'!I17</f>
        <v>0</v>
      </c>
      <c r="L17" s="52">
        <f>+'BILLED CONSUMPTION'!K17+'BILLED BASE'!J17</f>
        <v>0</v>
      </c>
      <c r="M17" s="52">
        <f>+'BILLED CONSUMPTION'!L17+'BILLED BASE'!K17</f>
        <v>0</v>
      </c>
      <c r="N17" s="52">
        <f>+'BILLED CONSUMPTION'!M17+'BILLED BASE'!L17</f>
        <v>0</v>
      </c>
      <c r="O17" s="52">
        <f>+'BILLED CONSUMPTION'!N17+'BILLED BASE'!M17</f>
        <v>0</v>
      </c>
      <c r="P17" s="52">
        <f>+'BILLED CONSUMPTION'!O17+'BILLED BASE'!N17</f>
        <v>161</v>
      </c>
      <c r="Q17" s="52">
        <f>+'BILLED CONSUMPTION'!P17+'BILLED BASE'!O17</f>
        <v>54.05</v>
      </c>
      <c r="R17" s="52">
        <f>+'BILLED CONSUMPTION'!Q17+'BILLED BASE'!P17</f>
        <v>49.449999999999996</v>
      </c>
    </row>
    <row r="18" spans="1:21" ht="15" x14ac:dyDescent="0.25">
      <c r="A18" s="2" t="s">
        <v>7</v>
      </c>
      <c r="B18" s="166">
        <f>+CONSUMPTION!B18</f>
        <v>2.4199999999999999E-2</v>
      </c>
      <c r="C18" s="169">
        <v>999999999</v>
      </c>
      <c r="D18" s="167">
        <f>+CONSUMPTION!E18</f>
        <v>2500</v>
      </c>
      <c r="E18" s="137">
        <f>+BASE!C18</f>
        <v>24.83</v>
      </c>
      <c r="F18" s="168">
        <f t="shared" si="0"/>
        <v>60.5</v>
      </c>
      <c r="G18" s="52">
        <f>+'BILLED CONSUMPTION'!F18+'BILLED BASE'!E18</f>
        <v>0</v>
      </c>
      <c r="H18" s="52">
        <f>+'BILLED CONSUMPTION'!G18+'BILLED BASE'!F18</f>
        <v>21.78</v>
      </c>
      <c r="I18" s="52">
        <f>+'BILLED CONSUMPTION'!H18+'BILLED BASE'!G18</f>
        <v>0</v>
      </c>
      <c r="J18" s="52">
        <f>+'BILLED CONSUMPTION'!I18+'BILLED BASE'!H18</f>
        <v>38.72</v>
      </c>
      <c r="K18" s="52">
        <f>+'BILLED CONSUMPTION'!J18+'BILLED BASE'!I18</f>
        <v>0</v>
      </c>
      <c r="L18" s="52">
        <f>+'BILLED CONSUMPTION'!K18+'BILLED BASE'!J18</f>
        <v>0</v>
      </c>
      <c r="M18" s="52">
        <f>+'BILLED CONSUMPTION'!L18+'BILLED BASE'!K18</f>
        <v>0</v>
      </c>
      <c r="N18" s="52">
        <f>+'BILLED CONSUMPTION'!M18+'BILLED BASE'!L18</f>
        <v>0</v>
      </c>
      <c r="O18" s="52">
        <f>+'BILLED CONSUMPTION'!N18+'BILLED BASE'!M18</f>
        <v>0</v>
      </c>
      <c r="P18" s="52">
        <f>+'BILLED CONSUMPTION'!O18+'BILLED BASE'!N18</f>
        <v>0</v>
      </c>
      <c r="Q18" s="52">
        <f>+'BILLED CONSUMPTION'!P18+'BILLED BASE'!O18</f>
        <v>0</v>
      </c>
      <c r="R18" s="52">
        <f>+'BILLED CONSUMPTION'!Q18+'BILLED BASE'!P18</f>
        <v>0</v>
      </c>
      <c r="U18" s="85"/>
    </row>
    <row r="19" spans="1:21" ht="15" x14ac:dyDescent="0.25">
      <c r="A19" s="200" t="s">
        <v>106</v>
      </c>
      <c r="B19" s="166">
        <f>+CONSUMPTION!B19</f>
        <v>0.01</v>
      </c>
      <c r="C19" s="169">
        <v>600</v>
      </c>
      <c r="D19" s="167">
        <f>+CONSUMPTION!E19</f>
        <v>188000</v>
      </c>
      <c r="E19" s="137">
        <f>+BASE!C19</f>
        <v>24.83</v>
      </c>
      <c r="F19" s="168">
        <f t="shared" ref="F19:F21" si="1">SUM(G19:R19)</f>
        <v>6026.6099999999988</v>
      </c>
      <c r="G19" s="52">
        <f>+'BILLED CONSUMPTION'!F19+'BILLED BASE'!E19</f>
        <v>0</v>
      </c>
      <c r="H19" s="52">
        <f>+'BILLED CONSUMPTION'!G19+'BILLED BASE'!F19</f>
        <v>0</v>
      </c>
      <c r="I19" s="52">
        <f>+'BILLED CONSUMPTION'!H19+'BILLED BASE'!G19</f>
        <v>0</v>
      </c>
      <c r="J19" s="52">
        <f>+'BILLED CONSUMPTION'!I19+'BILLED BASE'!H19</f>
        <v>0</v>
      </c>
      <c r="K19" s="52">
        <f>+'BILLED CONSUMPTION'!J19+'BILLED BASE'!I19</f>
        <v>1108.3899999999999</v>
      </c>
      <c r="L19" s="52">
        <f>+'BILLED CONSUMPTION'!K19+'BILLED BASE'!J19</f>
        <v>1252.05</v>
      </c>
      <c r="M19" s="52">
        <f>+'BILLED CONSUMPTION'!L19+'BILLED BASE'!K19</f>
        <v>1226.3899999999999</v>
      </c>
      <c r="N19" s="52">
        <f>+'BILLED CONSUMPTION'!M19+'BILLED BASE'!L19</f>
        <v>1233.3899999999999</v>
      </c>
      <c r="O19" s="52">
        <f>+'BILLED CONSUMPTION'!N19+'BILLED BASE'!M19</f>
        <v>1206.3899999999999</v>
      </c>
      <c r="P19" s="52">
        <f>+'BILLED CONSUMPTION'!O19+'BILLED BASE'!N19</f>
        <v>0</v>
      </c>
      <c r="Q19" s="52">
        <f>+'BILLED CONSUMPTION'!P19+'BILLED BASE'!O19</f>
        <v>0</v>
      </c>
      <c r="R19" s="52">
        <f>+'BILLED CONSUMPTION'!Q19+'BILLED BASE'!P19</f>
        <v>0</v>
      </c>
      <c r="U19" s="85"/>
    </row>
    <row r="20" spans="1:21" ht="15" x14ac:dyDescent="0.25">
      <c r="A20" s="200" t="s">
        <v>106</v>
      </c>
      <c r="B20" s="166">
        <f>+CONSUMPTION!B20</f>
        <v>1.15E-2</v>
      </c>
      <c r="C20" s="169">
        <v>2400</v>
      </c>
      <c r="D20" s="167">
        <f>+CONSUMPTION!E20</f>
        <v>315300</v>
      </c>
      <c r="E20" s="137">
        <f>+BASE!C20</f>
        <v>24.83</v>
      </c>
      <c r="F20" s="168">
        <f t="shared" si="1"/>
        <v>3625.95</v>
      </c>
      <c r="G20" s="52">
        <f>+'BILLED CONSUMPTION'!F20+'BILLED BASE'!E20</f>
        <v>0</v>
      </c>
      <c r="H20" s="52">
        <f>+'BILLED CONSUMPTION'!G20+'BILLED BASE'!F20</f>
        <v>0</v>
      </c>
      <c r="I20" s="52">
        <f>+'BILLED CONSUMPTION'!H20+'BILLED BASE'!G20</f>
        <v>0</v>
      </c>
      <c r="J20" s="52">
        <f>+'BILLED CONSUMPTION'!I20+'BILLED BASE'!H20</f>
        <v>0</v>
      </c>
      <c r="K20" s="52">
        <f>+'BILLED CONSUMPTION'!J20+'BILLED BASE'!I20</f>
        <v>172.5</v>
      </c>
      <c r="L20" s="52">
        <f>+'BILLED CONSUMPTION'!K20+'BILLED BASE'!J20</f>
        <v>837.19999999999993</v>
      </c>
      <c r="M20" s="52">
        <f>+'BILLED CONSUMPTION'!L20+'BILLED BASE'!K20</f>
        <v>964.85</v>
      </c>
      <c r="N20" s="52">
        <f>+'BILLED CONSUMPTION'!M20+'BILLED BASE'!L20</f>
        <v>1028.0999999999999</v>
      </c>
      <c r="O20" s="52">
        <f>+'BILLED CONSUMPTION'!N20+'BILLED BASE'!M20</f>
        <v>623.29999999999995</v>
      </c>
      <c r="P20" s="52">
        <f>+'BILLED CONSUMPTION'!O20+'BILLED BASE'!N20</f>
        <v>0</v>
      </c>
      <c r="Q20" s="52">
        <f>+'BILLED CONSUMPTION'!P20+'BILLED BASE'!O20</f>
        <v>0</v>
      </c>
      <c r="R20" s="52">
        <f>+'BILLED CONSUMPTION'!Q20+'BILLED BASE'!P20</f>
        <v>0</v>
      </c>
      <c r="U20" s="85"/>
    </row>
    <row r="21" spans="1:21" ht="15" x14ac:dyDescent="0.25">
      <c r="A21" s="200" t="s">
        <v>106</v>
      </c>
      <c r="B21" s="166">
        <f>+CONSUMPTION!B21</f>
        <v>0.05</v>
      </c>
      <c r="C21" s="169">
        <v>999999999</v>
      </c>
      <c r="D21" s="167">
        <f>+CONSUMPTION!E21</f>
        <v>92500</v>
      </c>
      <c r="E21" s="137">
        <f>+BASE!C21</f>
        <v>24.83</v>
      </c>
      <c r="F21" s="168">
        <f t="shared" si="1"/>
        <v>4625</v>
      </c>
      <c r="G21" s="52">
        <f>+'BILLED CONSUMPTION'!F21+'BILLED BASE'!E21</f>
        <v>0</v>
      </c>
      <c r="H21" s="52">
        <f>+'BILLED CONSUMPTION'!G21+'BILLED BASE'!F21</f>
        <v>0</v>
      </c>
      <c r="I21" s="52">
        <f>+'BILLED CONSUMPTION'!H21+'BILLED BASE'!G21</f>
        <v>0</v>
      </c>
      <c r="J21" s="52">
        <f>+'BILLED CONSUMPTION'!I21+'BILLED BASE'!H21</f>
        <v>0</v>
      </c>
      <c r="K21" s="52">
        <f>+'BILLED CONSUMPTION'!J21+'BILLED BASE'!I21</f>
        <v>80</v>
      </c>
      <c r="L21" s="52">
        <f>+'BILLED CONSUMPTION'!K21+'BILLED BASE'!J21</f>
        <v>1410</v>
      </c>
      <c r="M21" s="52">
        <f>+'BILLED CONSUMPTION'!L21+'BILLED BASE'!K21</f>
        <v>1120</v>
      </c>
      <c r="N21" s="52">
        <f>+'BILLED CONSUMPTION'!M21+'BILLED BASE'!L21</f>
        <v>1745</v>
      </c>
      <c r="O21" s="52">
        <f>+'BILLED CONSUMPTION'!N21+'BILLED BASE'!M21</f>
        <v>310</v>
      </c>
      <c r="P21" s="52">
        <f>+'BILLED CONSUMPTION'!O21+'BILLED BASE'!N21</f>
        <v>0</v>
      </c>
      <c r="Q21" s="52">
        <f>+'BILLED CONSUMPTION'!P21+'BILLED BASE'!O21</f>
        <v>0</v>
      </c>
      <c r="R21" s="52">
        <f>+'BILLED CONSUMPTION'!Q21+'BILLED BASE'!P21</f>
        <v>-40</v>
      </c>
      <c r="U21" s="85"/>
    </row>
    <row r="22" spans="1:21" ht="15" x14ac:dyDescent="0.25">
      <c r="A22" s="2" t="s">
        <v>8</v>
      </c>
      <c r="B22" s="166">
        <f>+CONSUMPTION!B22</f>
        <v>0.01</v>
      </c>
      <c r="C22" s="169">
        <v>3000</v>
      </c>
      <c r="D22" s="167">
        <f>+CONSUMPTION!E22</f>
        <v>0</v>
      </c>
      <c r="E22" s="137">
        <f>+BASE!C22</f>
        <v>49.67</v>
      </c>
      <c r="F22" s="168">
        <f t="shared" si="0"/>
        <v>0</v>
      </c>
      <c r="G22" s="52">
        <f>+'BILLED CONSUMPTION'!F22+'BILLED BASE'!E22</f>
        <v>0</v>
      </c>
      <c r="H22" s="52">
        <f>+'BILLED CONSUMPTION'!G22+'BILLED BASE'!F22</f>
        <v>0</v>
      </c>
      <c r="I22" s="52">
        <f>+'BILLED CONSUMPTION'!H22+'BILLED BASE'!G22</f>
        <v>0</v>
      </c>
      <c r="J22" s="52">
        <f>+'BILLED CONSUMPTION'!I22+'BILLED BASE'!H22</f>
        <v>0</v>
      </c>
      <c r="K22" s="52">
        <f>+'BILLED CONSUMPTION'!J22+'BILLED BASE'!I22</f>
        <v>0</v>
      </c>
      <c r="L22" s="52">
        <f>+'BILLED CONSUMPTION'!K22+'BILLED BASE'!J22</f>
        <v>0</v>
      </c>
      <c r="M22" s="52">
        <f>+'BILLED CONSUMPTION'!L22+'BILLED BASE'!K22</f>
        <v>0</v>
      </c>
      <c r="N22" s="52">
        <f>+'BILLED CONSUMPTION'!M22+'BILLED BASE'!L22</f>
        <v>0</v>
      </c>
      <c r="O22" s="52">
        <f>+'BILLED CONSUMPTION'!N22+'BILLED BASE'!M22</f>
        <v>0</v>
      </c>
      <c r="P22" s="52">
        <f>+'BILLED CONSUMPTION'!O22+'BILLED BASE'!N22</f>
        <v>0</v>
      </c>
      <c r="Q22" s="52">
        <f>+'BILLED CONSUMPTION'!P22+'BILLED BASE'!O22</f>
        <v>0</v>
      </c>
      <c r="R22" s="52">
        <f>+'BILLED CONSUMPTION'!Q22+'BILLED BASE'!P22</f>
        <v>0</v>
      </c>
    </row>
    <row r="23" spans="1:21" ht="15" x14ac:dyDescent="0.25">
      <c r="A23" s="2" t="s">
        <v>8</v>
      </c>
      <c r="B23" s="166">
        <f>+CONSUMPTION!B23</f>
        <v>1.15E-2</v>
      </c>
      <c r="C23" s="169">
        <v>12000</v>
      </c>
      <c r="D23" s="167">
        <f>+CONSUMPTION!E23</f>
        <v>0</v>
      </c>
      <c r="E23" s="137">
        <f>+BASE!C23</f>
        <v>49.67</v>
      </c>
      <c r="F23" s="168">
        <f t="shared" si="0"/>
        <v>0</v>
      </c>
      <c r="G23" s="52">
        <f>+'BILLED CONSUMPTION'!F23+'BILLED BASE'!E23</f>
        <v>0</v>
      </c>
      <c r="H23" s="52">
        <f>+'BILLED CONSUMPTION'!G23+'BILLED BASE'!F23</f>
        <v>0</v>
      </c>
      <c r="I23" s="52">
        <f>+'BILLED CONSUMPTION'!H23+'BILLED BASE'!G23</f>
        <v>0</v>
      </c>
      <c r="J23" s="52">
        <f>+'BILLED CONSUMPTION'!I23+'BILLED BASE'!H23</f>
        <v>0</v>
      </c>
      <c r="K23" s="52">
        <f>+'BILLED CONSUMPTION'!J23+'BILLED BASE'!I23</f>
        <v>0</v>
      </c>
      <c r="L23" s="52">
        <f>+'BILLED CONSUMPTION'!K23+'BILLED BASE'!J23</f>
        <v>0</v>
      </c>
      <c r="M23" s="52">
        <f>+'BILLED CONSUMPTION'!L23+'BILLED BASE'!K23</f>
        <v>0</v>
      </c>
      <c r="N23" s="52">
        <f>+'BILLED CONSUMPTION'!M23+'BILLED BASE'!L23</f>
        <v>0</v>
      </c>
      <c r="O23" s="52">
        <f>+'BILLED CONSUMPTION'!N23+'BILLED BASE'!M23</f>
        <v>0</v>
      </c>
      <c r="P23" s="52">
        <f>+'BILLED CONSUMPTION'!O23+'BILLED BASE'!N23</f>
        <v>0</v>
      </c>
      <c r="Q23" s="52">
        <f>+'BILLED CONSUMPTION'!P23+'BILLED BASE'!O23</f>
        <v>0</v>
      </c>
      <c r="R23" s="52">
        <f>+'BILLED CONSUMPTION'!Q23+'BILLED BASE'!P23</f>
        <v>0</v>
      </c>
    </row>
    <row r="24" spans="1:21" ht="15" x14ac:dyDescent="0.25">
      <c r="A24" s="2" t="s">
        <v>8</v>
      </c>
      <c r="B24" s="166">
        <f>+CONSUMPTION!B24</f>
        <v>2.4199999999999999E-2</v>
      </c>
      <c r="C24" s="169">
        <v>999999999</v>
      </c>
      <c r="D24" s="167">
        <f>+CONSUMPTION!E24</f>
        <v>0</v>
      </c>
      <c r="E24" s="137">
        <f>+BASE!C24</f>
        <v>49.67</v>
      </c>
      <c r="F24" s="168">
        <f t="shared" si="0"/>
        <v>0</v>
      </c>
      <c r="G24" s="52">
        <f>+'BILLED CONSUMPTION'!F24+'BILLED BASE'!E24</f>
        <v>0</v>
      </c>
      <c r="H24" s="52">
        <f>+'BILLED CONSUMPTION'!G24+'BILLED BASE'!F24</f>
        <v>0</v>
      </c>
      <c r="I24" s="52">
        <f>+'BILLED CONSUMPTION'!H24+'BILLED BASE'!G24</f>
        <v>0</v>
      </c>
      <c r="J24" s="52">
        <f>+'BILLED CONSUMPTION'!I24+'BILLED BASE'!H24</f>
        <v>0</v>
      </c>
      <c r="K24" s="52">
        <f>+'BILLED CONSUMPTION'!J24+'BILLED BASE'!I24</f>
        <v>0</v>
      </c>
      <c r="L24" s="52">
        <f>+'BILLED CONSUMPTION'!K24+'BILLED BASE'!J24</f>
        <v>0</v>
      </c>
      <c r="M24" s="52">
        <f>+'BILLED CONSUMPTION'!L24+'BILLED BASE'!K24</f>
        <v>0</v>
      </c>
      <c r="N24" s="52">
        <f>+'BILLED CONSUMPTION'!M24+'BILLED BASE'!L24</f>
        <v>0</v>
      </c>
      <c r="O24" s="52">
        <f>+'BILLED CONSUMPTION'!N24+'BILLED BASE'!M24</f>
        <v>0</v>
      </c>
      <c r="P24" s="52">
        <f>+'BILLED CONSUMPTION'!O24+'BILLED BASE'!N24</f>
        <v>0</v>
      </c>
      <c r="Q24" s="52">
        <f>+'BILLED CONSUMPTION'!P24+'BILLED BASE'!O24</f>
        <v>0</v>
      </c>
      <c r="R24" s="52">
        <f>+'BILLED CONSUMPTION'!Q24+'BILLED BASE'!P24</f>
        <v>0</v>
      </c>
      <c r="U24" s="85"/>
    </row>
    <row r="25" spans="1:21" ht="15" x14ac:dyDescent="0.25">
      <c r="A25" s="2" t="s">
        <v>9</v>
      </c>
      <c r="B25" s="166">
        <f>+CONSUMPTION!B25</f>
        <v>0.01</v>
      </c>
      <c r="C25" s="169">
        <v>4800</v>
      </c>
      <c r="D25" s="167">
        <f>+CONSUMPTION!E25</f>
        <v>163200</v>
      </c>
      <c r="E25" s="137">
        <f>+BASE!C25</f>
        <v>79.47</v>
      </c>
      <c r="F25" s="168">
        <f t="shared" si="0"/>
        <v>3300.8700000000003</v>
      </c>
      <c r="G25" s="52">
        <f>+'BILLED CONSUMPTION'!F25+'BILLED BASE'!E25</f>
        <v>175.47</v>
      </c>
      <c r="H25" s="52">
        <f>+'BILLED CONSUMPTION'!G25+'BILLED BASE'!F25</f>
        <v>175.47</v>
      </c>
      <c r="I25" s="52">
        <f>+'BILLED CONSUMPTION'!H25+'BILLED BASE'!G25</f>
        <v>302.94</v>
      </c>
      <c r="J25" s="52">
        <f>+'BILLED CONSUMPTION'!I25+'BILLED BASE'!H25</f>
        <v>302.94</v>
      </c>
      <c r="K25" s="52">
        <f>+'BILLED CONSUMPTION'!J25+'BILLED BASE'!I25</f>
        <v>302.94</v>
      </c>
      <c r="L25" s="52">
        <f>+'BILLED CONSUMPTION'!K25+'BILLED BASE'!J25</f>
        <v>223.47</v>
      </c>
      <c r="M25" s="52">
        <f>+'BILLED CONSUMPTION'!L25+'BILLED BASE'!K25</f>
        <v>302.94</v>
      </c>
      <c r="N25" s="52">
        <f>+'BILLED CONSUMPTION'!M25+'BILLED BASE'!L25</f>
        <v>302.94</v>
      </c>
      <c r="O25" s="52">
        <f>+'BILLED CONSUMPTION'!N25+'BILLED BASE'!M25</f>
        <v>302.94</v>
      </c>
      <c r="P25" s="52">
        <f>+'BILLED CONSUMPTION'!O25+'BILLED BASE'!N25</f>
        <v>302.94</v>
      </c>
      <c r="Q25" s="52">
        <f>+'BILLED CONSUMPTION'!P25+'BILLED BASE'!O25</f>
        <v>302.94</v>
      </c>
      <c r="R25" s="52">
        <f>+'BILLED CONSUMPTION'!Q25+'BILLED BASE'!P25</f>
        <v>302.94</v>
      </c>
    </row>
    <row r="26" spans="1:21" ht="15" x14ac:dyDescent="0.25">
      <c r="A26" s="2" t="s">
        <v>9</v>
      </c>
      <c r="B26" s="166">
        <f>+CONSUMPTION!B26</f>
        <v>1.15E-2</v>
      </c>
      <c r="C26" s="169">
        <v>19200</v>
      </c>
      <c r="D26" s="167">
        <f>+CONSUMPTION!E26</f>
        <v>501400</v>
      </c>
      <c r="E26" s="137">
        <f>+BASE!C26</f>
        <v>79.47</v>
      </c>
      <c r="F26" s="168">
        <f t="shared" si="0"/>
        <v>5766.0999999999995</v>
      </c>
      <c r="G26" s="52">
        <f>+'BILLED CONSUMPTION'!F26+'BILLED BASE'!E26</f>
        <v>359.95</v>
      </c>
      <c r="H26" s="52">
        <f>+'BILLED CONSUMPTION'!G26+'BILLED BASE'!F26</f>
        <v>331.2</v>
      </c>
      <c r="I26" s="52">
        <f>+'BILLED CONSUMPTION'!H26+'BILLED BASE'!G26</f>
        <v>389.84999999999997</v>
      </c>
      <c r="J26" s="52">
        <f>+'BILLED CONSUMPTION'!I26+'BILLED BASE'!H26</f>
        <v>462.3</v>
      </c>
      <c r="K26" s="52">
        <f>+'BILLED CONSUMPTION'!J26+'BILLED BASE'!I26</f>
        <v>438.15</v>
      </c>
      <c r="L26" s="52">
        <f>+'BILLED CONSUMPTION'!K26+'BILLED BASE'!J26</f>
        <v>531.29999999999995</v>
      </c>
      <c r="M26" s="52">
        <f>+'BILLED CONSUMPTION'!L26+'BILLED BASE'!K26</f>
        <v>534.75</v>
      </c>
      <c r="N26" s="52">
        <f>+'BILLED CONSUMPTION'!M26+'BILLED BASE'!L26</f>
        <v>619.85</v>
      </c>
      <c r="O26" s="52">
        <f>+'BILLED CONSUMPTION'!N26+'BILLED BASE'!M26</f>
        <v>602.6</v>
      </c>
      <c r="P26" s="52">
        <f>+'BILLED CONSUMPTION'!O26+'BILLED BASE'!N26</f>
        <v>487.59999999999997</v>
      </c>
      <c r="Q26" s="52">
        <f>+'BILLED CONSUMPTION'!P26+'BILLED BASE'!O26</f>
        <v>489.9</v>
      </c>
      <c r="R26" s="52">
        <f>+'BILLED CONSUMPTION'!Q26+'BILLED BASE'!P26</f>
        <v>518.65</v>
      </c>
    </row>
    <row r="27" spans="1:21" ht="15" x14ac:dyDescent="0.25">
      <c r="A27" s="2" t="s">
        <v>9</v>
      </c>
      <c r="B27" s="166">
        <f>+CONSUMPTION!B27</f>
        <v>2.4199999999999999E-2</v>
      </c>
      <c r="C27" s="169">
        <v>999999999</v>
      </c>
      <c r="D27" s="167">
        <f>+CONSUMPTION!E27</f>
        <v>836100</v>
      </c>
      <c r="E27" s="137">
        <f>+BASE!C27</f>
        <v>79.47</v>
      </c>
      <c r="F27" s="168">
        <f t="shared" si="0"/>
        <v>20233.62</v>
      </c>
      <c r="G27" s="52">
        <f>+'BILLED CONSUMPTION'!F27+'BILLED BASE'!E27</f>
        <v>1449.58</v>
      </c>
      <c r="H27" s="52">
        <f>+'BILLED CONSUMPTION'!G27+'BILLED BASE'!F27</f>
        <v>1360.04</v>
      </c>
      <c r="I27" s="52">
        <f>+'BILLED CONSUMPTION'!H27+'BILLED BASE'!G27</f>
        <v>1452</v>
      </c>
      <c r="J27" s="52">
        <f>+'BILLED CONSUMPTION'!I27+'BILLED BASE'!H27</f>
        <v>2190.1</v>
      </c>
      <c r="K27" s="52">
        <f>+'BILLED CONSUMPTION'!J27+'BILLED BASE'!I27</f>
        <v>1706.1</v>
      </c>
      <c r="L27" s="52">
        <f>+'BILLED CONSUMPTION'!K27+'BILLED BASE'!J27</f>
        <v>2618.44</v>
      </c>
      <c r="M27" s="52">
        <f>+'BILLED CONSUMPTION'!L27+'BILLED BASE'!K27</f>
        <v>1565.74</v>
      </c>
      <c r="N27" s="52">
        <f>+'BILLED CONSUMPTION'!M27+'BILLED BASE'!L27</f>
        <v>2424.84</v>
      </c>
      <c r="O27" s="52">
        <f>+'BILLED CONSUMPTION'!N27+'BILLED BASE'!M27</f>
        <v>1401.18</v>
      </c>
      <c r="P27" s="52">
        <f>+'BILLED CONSUMPTION'!O27+'BILLED BASE'!N27</f>
        <v>827.64</v>
      </c>
      <c r="Q27" s="52">
        <f>+'BILLED CONSUMPTION'!P27+'BILLED BASE'!O27</f>
        <v>1805.32</v>
      </c>
      <c r="R27" s="52">
        <f>+'BILLED CONSUMPTION'!Q27+'BILLED BASE'!P27</f>
        <v>1432.6399999999999</v>
      </c>
      <c r="U27" s="85"/>
    </row>
    <row r="28" spans="1:21" ht="15" x14ac:dyDescent="0.25">
      <c r="A28" s="110" t="s">
        <v>86</v>
      </c>
      <c r="B28" s="166">
        <f>+CONSUMPTION!B28</f>
        <v>0.01</v>
      </c>
      <c r="C28" s="169">
        <v>15000</v>
      </c>
      <c r="D28" s="167">
        <f>+CONSUMPTION!E28</f>
        <v>180000</v>
      </c>
      <c r="E28" s="137">
        <f>+BASE!C28</f>
        <v>248.33</v>
      </c>
      <c r="F28" s="168">
        <f t="shared" si="0"/>
        <v>4779.96</v>
      </c>
      <c r="G28" s="52">
        <f>+'BILLED CONSUMPTION'!F28+'BILLED BASE'!E28</f>
        <v>398.33000000000004</v>
      </c>
      <c r="H28" s="52">
        <f>+'BILLED CONSUMPTION'!G28+'BILLED BASE'!F28</f>
        <v>398.33000000000004</v>
      </c>
      <c r="I28" s="52">
        <f>+'BILLED CONSUMPTION'!H28+'BILLED BASE'!G28</f>
        <v>398.33000000000004</v>
      </c>
      <c r="J28" s="52">
        <f>+'BILLED CONSUMPTION'!I28+'BILLED BASE'!H28</f>
        <v>398.33000000000004</v>
      </c>
      <c r="K28" s="52">
        <f>+'BILLED CONSUMPTION'!J28+'BILLED BASE'!I28</f>
        <v>398.33000000000004</v>
      </c>
      <c r="L28" s="52">
        <f>+'BILLED CONSUMPTION'!K28+'BILLED BASE'!J28</f>
        <v>398.33000000000004</v>
      </c>
      <c r="M28" s="52">
        <f>+'BILLED CONSUMPTION'!L28+'BILLED BASE'!K28</f>
        <v>398.33000000000004</v>
      </c>
      <c r="N28" s="52">
        <f>+'BILLED CONSUMPTION'!M28+'BILLED BASE'!L28</f>
        <v>398.33000000000004</v>
      </c>
      <c r="O28" s="52">
        <f>+'BILLED CONSUMPTION'!N28+'BILLED BASE'!M28</f>
        <v>398.33000000000004</v>
      </c>
      <c r="P28" s="52">
        <f>+'BILLED CONSUMPTION'!O28+'BILLED BASE'!N28</f>
        <v>398.33000000000004</v>
      </c>
      <c r="Q28" s="52">
        <f>+'BILLED CONSUMPTION'!P28+'BILLED BASE'!O28</f>
        <v>398.33000000000004</v>
      </c>
      <c r="R28" s="52">
        <f>+'BILLED CONSUMPTION'!Q28+'BILLED BASE'!P28</f>
        <v>398.33000000000004</v>
      </c>
      <c r="U28" s="85"/>
    </row>
    <row r="29" spans="1:21" ht="15" x14ac:dyDescent="0.25">
      <c r="A29" s="110" t="s">
        <v>86</v>
      </c>
      <c r="B29" s="166">
        <f>+CONSUMPTION!B29</f>
        <v>1.15E-2</v>
      </c>
      <c r="C29" s="169">
        <v>60000</v>
      </c>
      <c r="D29" s="167">
        <f>+CONSUMPTION!E29</f>
        <v>339000</v>
      </c>
      <c r="E29" s="137">
        <f>+BASE!C29</f>
        <v>248.33</v>
      </c>
      <c r="F29" s="168">
        <f t="shared" si="0"/>
        <v>3898.5</v>
      </c>
      <c r="G29" s="52">
        <f>+'BILLED CONSUMPTION'!F29+'BILLED BASE'!E29</f>
        <v>178.25</v>
      </c>
      <c r="H29" s="52">
        <f>+'BILLED CONSUMPTION'!G29+'BILLED BASE'!F29</f>
        <v>80.5</v>
      </c>
      <c r="I29" s="52">
        <f>+'BILLED CONSUMPTION'!H29+'BILLED BASE'!G29</f>
        <v>155.25</v>
      </c>
      <c r="J29" s="52">
        <f>+'BILLED CONSUMPTION'!I29+'BILLED BASE'!H29</f>
        <v>198.95</v>
      </c>
      <c r="K29" s="52">
        <f>+'BILLED CONSUMPTION'!J29+'BILLED BASE'!I29</f>
        <v>188.6</v>
      </c>
      <c r="L29" s="52">
        <f>+'BILLED CONSUMPTION'!K29+'BILLED BASE'!J29</f>
        <v>603.75</v>
      </c>
      <c r="M29" s="52">
        <f>+'BILLED CONSUMPTION'!L29+'BILLED BASE'!K29</f>
        <v>690</v>
      </c>
      <c r="N29" s="52">
        <f>+'BILLED CONSUMPTION'!M29+'BILLED BASE'!L29</f>
        <v>690</v>
      </c>
      <c r="O29" s="52">
        <f>+'BILLED CONSUMPTION'!N29+'BILLED BASE'!M29</f>
        <v>690</v>
      </c>
      <c r="P29" s="52">
        <f>+'BILLED CONSUMPTION'!O29+'BILLED BASE'!N29</f>
        <v>125.35</v>
      </c>
      <c r="Q29" s="52">
        <f>+'BILLED CONSUMPTION'!P29+'BILLED BASE'!O29</f>
        <v>170.2</v>
      </c>
      <c r="R29" s="52">
        <f>+'BILLED CONSUMPTION'!Q29+'BILLED BASE'!P29</f>
        <v>127.64999999999999</v>
      </c>
      <c r="U29" s="85"/>
    </row>
    <row r="30" spans="1:21" ht="15" x14ac:dyDescent="0.25">
      <c r="A30" s="110" t="s">
        <v>86</v>
      </c>
      <c r="B30" s="166">
        <f>+CONSUMPTION!B30</f>
        <v>2.4199999999999999E-2</v>
      </c>
      <c r="C30" s="169">
        <v>999999999</v>
      </c>
      <c r="D30" s="167">
        <f>+CONSUMPTION!E30</f>
        <v>255200</v>
      </c>
      <c r="E30" s="137">
        <f>+BASE!C30</f>
        <v>248.33</v>
      </c>
      <c r="F30" s="168">
        <f t="shared" si="0"/>
        <v>6175.8399999999992</v>
      </c>
      <c r="G30" s="52">
        <f>+'BILLED CONSUMPTION'!F30+'BILLED BASE'!E30</f>
        <v>0</v>
      </c>
      <c r="H30" s="52">
        <f>+'BILLED CONSUMPTION'!G30+'BILLED BASE'!F30</f>
        <v>0</v>
      </c>
      <c r="I30" s="52">
        <f>+'BILLED CONSUMPTION'!H30+'BILLED BASE'!G30</f>
        <v>0</v>
      </c>
      <c r="J30" s="52">
        <f>+'BILLED CONSUMPTION'!I30+'BILLED BASE'!H30</f>
        <v>0</v>
      </c>
      <c r="K30" s="52">
        <f>+'BILLED CONSUMPTION'!J30+'BILLED BASE'!I30</f>
        <v>0</v>
      </c>
      <c r="L30" s="52">
        <f>+'BILLED CONSUMPTION'!K30+'BILLED BASE'!J30</f>
        <v>0</v>
      </c>
      <c r="M30" s="52">
        <f>+'BILLED CONSUMPTION'!L30+'BILLED BASE'!K30</f>
        <v>1243.8799999999999</v>
      </c>
      <c r="N30" s="52">
        <f>+'BILLED CONSUMPTION'!M30+'BILLED BASE'!L30</f>
        <v>3392.8399999999997</v>
      </c>
      <c r="O30" s="52">
        <f>+'BILLED CONSUMPTION'!N30+'BILLED BASE'!M30</f>
        <v>1539.12</v>
      </c>
      <c r="P30" s="52">
        <f>+'BILLED CONSUMPTION'!O30+'BILLED BASE'!N30</f>
        <v>0</v>
      </c>
      <c r="Q30" s="52">
        <f>+'BILLED CONSUMPTION'!P30+'BILLED BASE'!O30</f>
        <v>0</v>
      </c>
      <c r="R30" s="52">
        <f>+'BILLED CONSUMPTION'!Q30+'BILLED BASE'!P30</f>
        <v>0</v>
      </c>
      <c r="U30" s="85"/>
    </row>
    <row r="31" spans="1:21" ht="15" x14ac:dyDescent="0.25">
      <c r="A31" s="2" t="s">
        <v>10</v>
      </c>
      <c r="B31" s="166">
        <f>+CONSUMPTION!B31</f>
        <v>0.01</v>
      </c>
      <c r="C31" s="169">
        <v>600</v>
      </c>
      <c r="D31" s="167">
        <f>+CONSUMPTION!E31</f>
        <v>981600</v>
      </c>
      <c r="E31" s="137">
        <f>+BASE!C31</f>
        <v>14.9</v>
      </c>
      <c r="F31" s="168">
        <f t="shared" si="0"/>
        <v>57257.600000000006</v>
      </c>
      <c r="G31" s="52">
        <f>+'BILLED CONSUMPTION'!F31+'BILLED BASE'!E31</f>
        <v>4510.6000000000004</v>
      </c>
      <c r="H31" s="52">
        <f>+'BILLED CONSUMPTION'!G31+'BILLED BASE'!F31</f>
        <v>4531.5</v>
      </c>
      <c r="I31" s="52">
        <f>+'BILLED CONSUMPTION'!H31+'BILLED BASE'!G31</f>
        <v>4514.3</v>
      </c>
      <c r="J31" s="52">
        <f>+'BILLED CONSUMPTION'!I31+'BILLED BASE'!H31</f>
        <v>4526.6000000000004</v>
      </c>
      <c r="K31" s="52">
        <f>+'BILLED CONSUMPTION'!J31+'BILLED BASE'!I31</f>
        <v>4636.3999999999996</v>
      </c>
      <c r="L31" s="52">
        <f>+'BILLED CONSUMPTION'!K31+'BILLED BASE'!J31</f>
        <v>4987.5</v>
      </c>
      <c r="M31" s="52">
        <f>+'BILLED CONSUMPTION'!L31+'BILLED BASE'!K31</f>
        <v>5082.5</v>
      </c>
      <c r="N31" s="52">
        <f>+'BILLED CONSUMPTION'!M31+'BILLED BASE'!L31</f>
        <v>5108.5</v>
      </c>
      <c r="O31" s="52">
        <f>+'BILLED CONSUMPTION'!N31+'BILLED BASE'!M31</f>
        <v>5180.3</v>
      </c>
      <c r="P31" s="52">
        <f>+'BILLED CONSUMPTION'!O31+'BILLED BASE'!N31</f>
        <v>4973.5</v>
      </c>
      <c r="Q31" s="52">
        <f>+'BILLED CONSUMPTION'!P31+'BILLED BASE'!O31</f>
        <v>4624.6000000000004</v>
      </c>
      <c r="R31" s="52">
        <f>+'BILLED CONSUMPTION'!Q31+'BILLED BASE'!P31</f>
        <v>4581.3</v>
      </c>
    </row>
    <row r="32" spans="1:21" ht="15" x14ac:dyDescent="0.25">
      <c r="A32" s="2" t="s">
        <v>10</v>
      </c>
      <c r="B32" s="166">
        <f>+CONSUMPTION!B32</f>
        <v>1.15E-2</v>
      </c>
      <c r="C32" s="169">
        <v>2400</v>
      </c>
      <c r="D32" s="167">
        <f>+CONSUMPTION!E32</f>
        <v>1718200</v>
      </c>
      <c r="E32" s="137">
        <f>+BASE!C32</f>
        <v>14.9</v>
      </c>
      <c r="F32" s="168">
        <f t="shared" si="0"/>
        <v>19759.299999999996</v>
      </c>
      <c r="G32" s="52">
        <f>+'BILLED CONSUMPTION'!F32+'BILLED BASE'!E32</f>
        <v>733.69999999999993</v>
      </c>
      <c r="H32" s="52">
        <f>+'BILLED CONSUMPTION'!G32+'BILLED BASE'!F32</f>
        <v>719.9</v>
      </c>
      <c r="I32" s="52">
        <f>+'BILLED CONSUMPTION'!H32+'BILLED BASE'!G32</f>
        <v>561.20000000000005</v>
      </c>
      <c r="J32" s="52">
        <f>+'BILLED CONSUMPTION'!I32+'BILLED BASE'!H32</f>
        <v>838.35</v>
      </c>
      <c r="K32" s="52">
        <f>+'BILLED CONSUMPTION'!J32+'BILLED BASE'!I32</f>
        <v>908.5</v>
      </c>
      <c r="L32" s="52">
        <f>+'BILLED CONSUMPTION'!K32+'BILLED BASE'!J32</f>
        <v>2317.25</v>
      </c>
      <c r="M32" s="52">
        <f>+'BILLED CONSUMPTION'!L32+'BILLED BASE'!K32</f>
        <v>2852</v>
      </c>
      <c r="N32" s="52">
        <f>+'BILLED CONSUMPTION'!M32+'BILLED BASE'!L32</f>
        <v>3211.95</v>
      </c>
      <c r="O32" s="52">
        <f>+'BILLED CONSUMPTION'!N32+'BILLED BASE'!M32</f>
        <v>3443.1</v>
      </c>
      <c r="P32" s="52">
        <f>+'BILLED CONSUMPTION'!O32+'BILLED BASE'!N32</f>
        <v>2202.25</v>
      </c>
      <c r="Q32" s="52">
        <f>+'BILLED CONSUMPTION'!P32+'BILLED BASE'!O32</f>
        <v>1123.55</v>
      </c>
      <c r="R32" s="52">
        <f>+'BILLED CONSUMPTION'!Q32+'BILLED BASE'!P32</f>
        <v>847.55</v>
      </c>
    </row>
    <row r="33" spans="1:21" ht="15" x14ac:dyDescent="0.25">
      <c r="A33" s="2" t="s">
        <v>10</v>
      </c>
      <c r="B33" s="166">
        <f>+CONSUMPTION!B33</f>
        <v>2.4199999999999999E-2</v>
      </c>
      <c r="C33" s="169">
        <v>999999999</v>
      </c>
      <c r="D33" s="167">
        <f>+CONSUMPTION!E33</f>
        <v>1934700</v>
      </c>
      <c r="E33" s="137">
        <f>+BASE!C33</f>
        <v>14.9</v>
      </c>
      <c r="F33" s="168">
        <f t="shared" si="0"/>
        <v>46819.74</v>
      </c>
      <c r="G33" s="52">
        <f>+'BILLED CONSUMPTION'!F33+'BILLED BASE'!E33</f>
        <v>1154.3399999999999</v>
      </c>
      <c r="H33" s="52">
        <f>+'BILLED CONSUMPTION'!G33+'BILLED BASE'!F33</f>
        <v>4297.92</v>
      </c>
      <c r="I33" s="52">
        <f>+'BILLED CONSUMPTION'!H33+'BILLED BASE'!G33</f>
        <v>220.22</v>
      </c>
      <c r="J33" s="52">
        <f>+'BILLED CONSUMPTION'!I33+'BILLED BASE'!H33</f>
        <v>1493.1399999999999</v>
      </c>
      <c r="K33" s="52">
        <f>+'BILLED CONSUMPTION'!J33+'BILLED BASE'!I33</f>
        <v>544.5</v>
      </c>
      <c r="L33" s="52">
        <f>+'BILLED CONSUMPTION'!K33+'BILLED BASE'!J33</f>
        <v>3574.3399999999997</v>
      </c>
      <c r="M33" s="52">
        <f>+'BILLED CONSUMPTION'!L33+'BILLED BASE'!K33</f>
        <v>7339.86</v>
      </c>
      <c r="N33" s="52">
        <f>+'BILLED CONSUMPTION'!M33+'BILLED BASE'!L33</f>
        <v>9075</v>
      </c>
      <c r="O33" s="52">
        <f>+'BILLED CONSUMPTION'!N33+'BILLED BASE'!M33</f>
        <v>11388.52</v>
      </c>
      <c r="P33" s="52">
        <f>+'BILLED CONSUMPTION'!O33+'BILLED BASE'!N33</f>
        <v>4697.22</v>
      </c>
      <c r="Q33" s="52">
        <f>+'BILLED CONSUMPTION'!P33+'BILLED BASE'!O33</f>
        <v>2144.12</v>
      </c>
      <c r="R33" s="52">
        <f>+'BILLED CONSUMPTION'!Q33+'BILLED BASE'!P33</f>
        <v>890.56</v>
      </c>
      <c r="U33" s="85"/>
    </row>
    <row r="34" spans="1:21" ht="15" x14ac:dyDescent="0.25">
      <c r="A34" s="2" t="s">
        <v>11</v>
      </c>
      <c r="B34" s="166">
        <f>+CONSUMPTION!B34</f>
        <v>0.01</v>
      </c>
      <c r="C34" s="169">
        <v>1500</v>
      </c>
      <c r="D34" s="167">
        <f>+CONSUMPTION!E34</f>
        <v>1476900</v>
      </c>
      <c r="E34" s="137">
        <f>+BASE!C34</f>
        <v>24.83</v>
      </c>
      <c r="F34" s="168">
        <f t="shared" si="0"/>
        <v>60828.649999999994</v>
      </c>
      <c r="G34" s="52">
        <f>+'BILLED CONSUMPTION'!F34+'BILLED BASE'!E34</f>
        <v>4657.99</v>
      </c>
      <c r="H34" s="52">
        <f>+'BILLED CONSUMPTION'!G34+'BILLED BASE'!F34</f>
        <v>4649.99</v>
      </c>
      <c r="I34" s="52">
        <f>+'BILLED CONSUMPTION'!H34+'BILLED BASE'!G34</f>
        <v>4714.4799999999996</v>
      </c>
      <c r="J34" s="52">
        <f>+'BILLED CONSUMPTION'!I34+'BILLED BASE'!H34</f>
        <v>4688.99</v>
      </c>
      <c r="K34" s="52">
        <f>+'BILLED CONSUMPTION'!J34+'BILLED BASE'!I34</f>
        <v>4815.82</v>
      </c>
      <c r="L34" s="52">
        <f>+'BILLED CONSUMPTION'!K34+'BILLED BASE'!J34</f>
        <v>5292.82</v>
      </c>
      <c r="M34" s="52">
        <f>+'BILLED CONSUMPTION'!L34+'BILLED BASE'!K34</f>
        <v>5668.48</v>
      </c>
      <c r="N34" s="52">
        <f>+'BILLED CONSUMPTION'!M34+'BILLED BASE'!L34</f>
        <v>5640.65</v>
      </c>
      <c r="O34" s="52">
        <f>+'BILLED CONSUMPTION'!N34+'BILLED BASE'!M34</f>
        <v>5682.65</v>
      </c>
      <c r="P34" s="52">
        <f>+'BILLED CONSUMPTION'!O34+'BILLED BASE'!N34</f>
        <v>5304.65</v>
      </c>
      <c r="Q34" s="52">
        <f>+'BILLED CONSUMPTION'!P34+'BILLED BASE'!O34</f>
        <v>4939.6499999999996</v>
      </c>
      <c r="R34" s="52">
        <f>+'BILLED CONSUMPTION'!Q34+'BILLED BASE'!P34</f>
        <v>4772.4799999999996</v>
      </c>
    </row>
    <row r="35" spans="1:21" ht="15" x14ac:dyDescent="0.25">
      <c r="A35" s="2" t="s">
        <v>11</v>
      </c>
      <c r="B35" s="166">
        <f>+CONSUMPTION!B35</f>
        <v>1.15E-2</v>
      </c>
      <c r="C35" s="169">
        <v>6000</v>
      </c>
      <c r="D35" s="167">
        <f>+CONSUMPTION!E35</f>
        <v>2470700</v>
      </c>
      <c r="E35" s="137">
        <f>+BASE!C35</f>
        <v>24.83</v>
      </c>
      <c r="F35" s="168">
        <f t="shared" si="0"/>
        <v>28413.05</v>
      </c>
      <c r="G35" s="52">
        <f>+'BILLED CONSUMPTION'!F35+'BILLED BASE'!E35</f>
        <v>1159.2</v>
      </c>
      <c r="H35" s="52">
        <f>+'BILLED CONSUMPTION'!G35+'BILLED BASE'!F35</f>
        <v>980.94999999999993</v>
      </c>
      <c r="I35" s="52">
        <f>+'BILLED CONSUMPTION'!H35+'BILLED BASE'!G35</f>
        <v>975.19999999999993</v>
      </c>
      <c r="J35" s="52">
        <f>+'BILLED CONSUMPTION'!I35+'BILLED BASE'!H35</f>
        <v>1148.8499999999999</v>
      </c>
      <c r="K35" s="52">
        <f>+'BILLED CONSUMPTION'!J35+'BILLED BASE'!I35</f>
        <v>1307.55</v>
      </c>
      <c r="L35" s="52">
        <f>+'BILLED CONSUMPTION'!K35+'BILLED BASE'!J35</f>
        <v>3217.7</v>
      </c>
      <c r="M35" s="52">
        <f>+'BILLED CONSUMPTION'!L35+'BILLED BASE'!K35</f>
        <v>4844.95</v>
      </c>
      <c r="N35" s="52">
        <f>+'BILLED CONSUMPTION'!M35+'BILLED BASE'!L35</f>
        <v>4977.2</v>
      </c>
      <c r="O35" s="52">
        <f>+'BILLED CONSUMPTION'!N35+'BILLED BASE'!M35</f>
        <v>5108.3</v>
      </c>
      <c r="P35" s="52">
        <f>+'BILLED CONSUMPTION'!O35+'BILLED BASE'!N35</f>
        <v>2321.85</v>
      </c>
      <c r="Q35" s="52">
        <f>+'BILLED CONSUMPTION'!P35+'BILLED BASE'!O35</f>
        <v>1361.6</v>
      </c>
      <c r="R35" s="52">
        <f>+'BILLED CONSUMPTION'!Q35+'BILLED BASE'!P35</f>
        <v>1009.6999999999999</v>
      </c>
    </row>
    <row r="36" spans="1:21" ht="15" x14ac:dyDescent="0.25">
      <c r="A36" s="2" t="s">
        <v>11</v>
      </c>
      <c r="B36" s="166">
        <f>+CONSUMPTION!B36</f>
        <v>2.4199999999999999E-2</v>
      </c>
      <c r="C36" s="169">
        <v>999999999</v>
      </c>
      <c r="D36" s="167">
        <f>+CONSUMPTION!E36</f>
        <v>2330700</v>
      </c>
      <c r="E36" s="137">
        <f>+BASE!C36</f>
        <v>24.83</v>
      </c>
      <c r="F36" s="168">
        <f t="shared" si="0"/>
        <v>56402.939999999995</v>
      </c>
      <c r="G36" s="52">
        <f>+'BILLED CONSUMPTION'!F36+'BILLED BASE'!E36</f>
        <v>892.98</v>
      </c>
      <c r="H36" s="52">
        <f>+'BILLED CONSUMPTION'!G36+'BILLED BASE'!F36</f>
        <v>834.9</v>
      </c>
      <c r="I36" s="52">
        <f>+'BILLED CONSUMPTION'!H36+'BILLED BASE'!G36</f>
        <v>713.9</v>
      </c>
      <c r="J36" s="52">
        <f>+'BILLED CONSUMPTION'!I36+'BILLED BASE'!H36</f>
        <v>1188.22</v>
      </c>
      <c r="K36" s="52">
        <f>+'BILLED CONSUMPTION'!J36+'BILLED BASE'!I36</f>
        <v>1326.1599999999999</v>
      </c>
      <c r="L36" s="52">
        <f>+'BILLED CONSUMPTION'!K36+'BILLED BASE'!J36</f>
        <v>4982.78</v>
      </c>
      <c r="M36" s="52">
        <f>+'BILLED CONSUMPTION'!L36+'BILLED BASE'!K36</f>
        <v>9762.2799999999988</v>
      </c>
      <c r="N36" s="52">
        <f>+'BILLED CONSUMPTION'!M36+'BILLED BASE'!L36</f>
        <v>15250.84</v>
      </c>
      <c r="O36" s="52">
        <f>+'BILLED CONSUMPTION'!N36+'BILLED BASE'!M36</f>
        <v>18021.739999999998</v>
      </c>
      <c r="P36" s="52">
        <f>+'BILLED CONSUMPTION'!O36+'BILLED BASE'!N36</f>
        <v>2369.1799999999998</v>
      </c>
      <c r="Q36" s="52">
        <f>+'BILLED CONSUMPTION'!P36+'BILLED BASE'!O36</f>
        <v>713.9</v>
      </c>
      <c r="R36" s="52">
        <f>+'BILLED CONSUMPTION'!Q36+'BILLED BASE'!P36</f>
        <v>346.06</v>
      </c>
      <c r="U36" s="85"/>
    </row>
    <row r="37" spans="1:21" ht="15" x14ac:dyDescent="0.25">
      <c r="A37" s="2" t="s">
        <v>12</v>
      </c>
      <c r="B37" s="166">
        <f>+CONSUMPTION!B37</f>
        <v>0.01</v>
      </c>
      <c r="C37" s="169">
        <v>3000</v>
      </c>
      <c r="D37" s="167">
        <f>+CONSUMPTION!E37</f>
        <v>542700</v>
      </c>
      <c r="E37" s="137">
        <f>+BASE!C37</f>
        <v>49.67</v>
      </c>
      <c r="F37" s="168">
        <f t="shared" si="0"/>
        <v>25096.320000000003</v>
      </c>
      <c r="G37" s="52">
        <f>+'BILLED CONSUMPTION'!F37+'BILLED BASE'!E37</f>
        <v>1892.1100000000001</v>
      </c>
      <c r="H37" s="52">
        <f>+'BILLED CONSUMPTION'!G37+'BILLED BASE'!F37</f>
        <v>1873.1100000000001</v>
      </c>
      <c r="I37" s="52">
        <f>+'BILLED CONSUMPTION'!H37+'BILLED BASE'!G37</f>
        <v>1818.1100000000001</v>
      </c>
      <c r="J37" s="52">
        <f>+'BILLED CONSUMPTION'!I37+'BILLED BASE'!H37</f>
        <v>1916.1100000000001</v>
      </c>
      <c r="K37" s="52">
        <f>+'BILLED CONSUMPTION'!J37+'BILLED BASE'!I37</f>
        <v>1933.1100000000001</v>
      </c>
      <c r="L37" s="52">
        <f>+'BILLED CONSUMPTION'!K37+'BILLED BASE'!J37</f>
        <v>2342.11</v>
      </c>
      <c r="M37" s="52">
        <f>+'BILLED CONSUMPTION'!L37+'BILLED BASE'!K37</f>
        <v>2409.11</v>
      </c>
      <c r="N37" s="52">
        <f>+'BILLED CONSUMPTION'!M37+'BILLED BASE'!L37</f>
        <v>2437.11</v>
      </c>
      <c r="O37" s="52">
        <f>+'BILLED CONSUMPTION'!N37+'BILLED BASE'!M37</f>
        <v>2425.11</v>
      </c>
      <c r="P37" s="52">
        <f>+'BILLED CONSUMPTION'!O37+'BILLED BASE'!N37</f>
        <v>2233.11</v>
      </c>
      <c r="Q37" s="52">
        <f>+'BILLED CONSUMPTION'!P37+'BILLED BASE'!O37</f>
        <v>1929.1100000000001</v>
      </c>
      <c r="R37" s="52">
        <f>+'BILLED CONSUMPTION'!Q37+'BILLED BASE'!P37</f>
        <v>1888.1100000000001</v>
      </c>
    </row>
    <row r="38" spans="1:21" ht="15" x14ac:dyDescent="0.25">
      <c r="A38" s="2" t="s">
        <v>12</v>
      </c>
      <c r="B38" s="166">
        <f>+CONSUMPTION!B38</f>
        <v>1.15E-2</v>
      </c>
      <c r="C38" s="169">
        <v>12000</v>
      </c>
      <c r="D38" s="167">
        <f>+CONSUMPTION!E38</f>
        <v>958200</v>
      </c>
      <c r="E38" s="137">
        <f>+BASE!C38</f>
        <v>49.67</v>
      </c>
      <c r="F38" s="168">
        <f t="shared" si="0"/>
        <v>11019.3</v>
      </c>
      <c r="G38" s="52">
        <f>+'BILLED CONSUMPTION'!F38+'BILLED BASE'!E38</f>
        <v>240.35</v>
      </c>
      <c r="H38" s="52">
        <f>+'BILLED CONSUMPTION'!G38+'BILLED BASE'!F38</f>
        <v>124.2</v>
      </c>
      <c r="I38" s="52">
        <f>+'BILLED CONSUMPTION'!H38+'BILLED BASE'!G38</f>
        <v>104.64999999999999</v>
      </c>
      <c r="J38" s="52">
        <f>+'BILLED CONSUMPTION'!I38+'BILLED BASE'!H38</f>
        <v>149.5</v>
      </c>
      <c r="K38" s="52">
        <f>+'BILLED CONSUMPTION'!J38+'BILLED BASE'!I38</f>
        <v>115</v>
      </c>
      <c r="L38" s="52">
        <f>+'BILLED CONSUMPTION'!K38+'BILLED BASE'!J38</f>
        <v>1727.3</v>
      </c>
      <c r="M38" s="52">
        <f>+'BILLED CONSUMPTION'!L38+'BILLED BASE'!K38</f>
        <v>2053.9</v>
      </c>
      <c r="N38" s="52">
        <f>+'BILLED CONSUMPTION'!M38+'BILLED BASE'!L38</f>
        <v>2226.4</v>
      </c>
      <c r="O38" s="52">
        <f>+'BILLED CONSUMPTION'!N38+'BILLED BASE'!M38</f>
        <v>2427.65</v>
      </c>
      <c r="P38" s="52">
        <f>+'BILLED CONSUMPTION'!O38+'BILLED BASE'!N38</f>
        <v>1449</v>
      </c>
      <c r="Q38" s="52">
        <f>+'BILLED CONSUMPTION'!P38+'BILLED BASE'!O38</f>
        <v>133.4</v>
      </c>
      <c r="R38" s="52">
        <f>+'BILLED CONSUMPTION'!Q38+'BILLED BASE'!P38</f>
        <v>267.95</v>
      </c>
    </row>
    <row r="39" spans="1:21" ht="15" x14ac:dyDescent="0.25">
      <c r="A39" s="2" t="s">
        <v>12</v>
      </c>
      <c r="B39" s="166">
        <f>+CONSUMPTION!B39</f>
        <v>2.4199999999999999E-2</v>
      </c>
      <c r="C39" s="169">
        <v>999999999</v>
      </c>
      <c r="D39" s="167">
        <f>+CONSUMPTION!E39</f>
        <v>1435500</v>
      </c>
      <c r="E39" s="137">
        <f>+BASE!C39</f>
        <v>49.67</v>
      </c>
      <c r="F39" s="168">
        <f t="shared" si="0"/>
        <v>34739.099999999991</v>
      </c>
      <c r="G39" s="52">
        <f>+'BILLED CONSUMPTION'!F39+'BILLED BASE'!E39</f>
        <v>0</v>
      </c>
      <c r="H39" s="52">
        <f>+'BILLED CONSUMPTION'!G39+'BILLED BASE'!F39</f>
        <v>0</v>
      </c>
      <c r="I39" s="52">
        <f>+'BILLED CONSUMPTION'!H39+'BILLED BASE'!G39</f>
        <v>0</v>
      </c>
      <c r="J39" s="52">
        <f>+'BILLED CONSUMPTION'!I39+'BILLED BASE'!H39</f>
        <v>0</v>
      </c>
      <c r="K39" s="52">
        <f>+'BILLED CONSUMPTION'!J39+'BILLED BASE'!I39</f>
        <v>0</v>
      </c>
      <c r="L39" s="52">
        <f>+'BILLED CONSUMPTION'!K39+'BILLED BASE'!J39</f>
        <v>3017.74</v>
      </c>
      <c r="M39" s="52">
        <f>+'BILLED CONSUMPTION'!L39+'BILLED BASE'!K39</f>
        <v>6964.76</v>
      </c>
      <c r="N39" s="52">
        <f>+'BILLED CONSUMPTION'!M39+'BILLED BASE'!L39</f>
        <v>8915.2799999999988</v>
      </c>
      <c r="O39" s="52">
        <f>+'BILLED CONSUMPTION'!N39+'BILLED BASE'!M39</f>
        <v>13343.88</v>
      </c>
      <c r="P39" s="52">
        <f>+'BILLED CONSUMPTION'!O39+'BILLED BASE'!N39</f>
        <v>2422.42</v>
      </c>
      <c r="Q39" s="52">
        <f>+'BILLED CONSUMPTION'!P39+'BILLED BASE'!O39</f>
        <v>0</v>
      </c>
      <c r="R39" s="52">
        <f>+'BILLED CONSUMPTION'!Q39+'BILLED BASE'!P39</f>
        <v>75.02</v>
      </c>
      <c r="U39" s="85"/>
    </row>
    <row r="40" spans="1:21" ht="15" x14ac:dyDescent="0.25">
      <c r="A40" s="2" t="s">
        <v>13</v>
      </c>
      <c r="B40" s="166">
        <f>+CONSUMPTION!B40</f>
        <v>0.01</v>
      </c>
      <c r="C40" s="169">
        <v>4800</v>
      </c>
      <c r="D40" s="167">
        <f>+CONSUMPTION!E40</f>
        <v>4072300</v>
      </c>
      <c r="E40" s="137">
        <f>+BASE!C40</f>
        <v>79.47</v>
      </c>
      <c r="F40" s="168">
        <f t="shared" si="0"/>
        <v>149040.60999999999</v>
      </c>
      <c r="G40" s="52">
        <f>+'BILLED CONSUMPTION'!F40+'BILLED BASE'!E40</f>
        <v>11612.17</v>
      </c>
      <c r="H40" s="52">
        <f>+'BILLED CONSUMPTION'!G40+'BILLED BASE'!F40</f>
        <v>11843.64</v>
      </c>
      <c r="I40" s="52">
        <f>+'BILLED CONSUMPTION'!H40+'BILLED BASE'!G40</f>
        <v>11564.11</v>
      </c>
      <c r="J40" s="52">
        <f>+'BILLED CONSUMPTION'!I40+'BILLED BASE'!H40</f>
        <v>12013.11</v>
      </c>
      <c r="K40" s="52">
        <f>+'BILLED CONSUMPTION'!J40+'BILLED BASE'!I40</f>
        <v>12255.58</v>
      </c>
      <c r="L40" s="52">
        <f>+'BILLED CONSUMPTION'!K40+'BILLED BASE'!J40</f>
        <v>13080.58</v>
      </c>
      <c r="M40" s="52">
        <f>+'BILLED CONSUMPTION'!L40+'BILLED BASE'!K40</f>
        <v>13041.58</v>
      </c>
      <c r="N40" s="52">
        <f>+'BILLED CONSUMPTION'!M40+'BILLED BASE'!L40</f>
        <v>12984.05</v>
      </c>
      <c r="O40" s="52">
        <f>+'BILLED CONSUMPTION'!N40+'BILLED BASE'!M40</f>
        <v>13254.05</v>
      </c>
      <c r="P40" s="52">
        <f>+'BILLED CONSUMPTION'!O40+'BILLED BASE'!N40</f>
        <v>12771.58</v>
      </c>
      <c r="Q40" s="52">
        <f>+'BILLED CONSUMPTION'!P40+'BILLED BASE'!O40</f>
        <v>12317.58</v>
      </c>
      <c r="R40" s="52">
        <f>+'BILLED CONSUMPTION'!Q40+'BILLED BASE'!P40</f>
        <v>12302.58</v>
      </c>
    </row>
    <row r="41" spans="1:21" ht="15" x14ac:dyDescent="0.25">
      <c r="A41" s="2" t="s">
        <v>13</v>
      </c>
      <c r="B41" s="166">
        <f>+CONSUMPTION!B41</f>
        <v>1.15E-2</v>
      </c>
      <c r="C41" s="169">
        <v>19200</v>
      </c>
      <c r="D41" s="167">
        <f>+CONSUMPTION!E41</f>
        <v>5118600</v>
      </c>
      <c r="E41" s="137">
        <f>+BASE!C41</f>
        <v>79.47</v>
      </c>
      <c r="F41" s="168">
        <f t="shared" si="0"/>
        <v>58863.899999999994</v>
      </c>
      <c r="G41" s="52">
        <f>+'BILLED CONSUMPTION'!F41+'BILLED BASE'!E41</f>
        <v>3232.65</v>
      </c>
      <c r="H41" s="52">
        <f>+'BILLED CONSUMPTION'!G41+'BILLED BASE'!F41</f>
        <v>3381</v>
      </c>
      <c r="I41" s="52">
        <f>+'BILLED CONSUMPTION'!H41+'BILLED BASE'!G41</f>
        <v>2747.35</v>
      </c>
      <c r="J41" s="52">
        <f>+'BILLED CONSUMPTION'!I41+'BILLED BASE'!H41</f>
        <v>3865.15</v>
      </c>
      <c r="K41" s="52">
        <f>+'BILLED CONSUMPTION'!J41+'BILLED BASE'!I41</f>
        <v>4157.25</v>
      </c>
      <c r="L41" s="52">
        <f>+'BILLED CONSUMPTION'!K41+'BILLED BASE'!J41</f>
        <v>6828.7</v>
      </c>
      <c r="M41" s="52">
        <f>+'BILLED CONSUMPTION'!L41+'BILLED BASE'!K41</f>
        <v>7759.05</v>
      </c>
      <c r="N41" s="52">
        <f>+'BILLED CONSUMPTION'!M41+'BILLED BASE'!L41</f>
        <v>7341.5999999999995</v>
      </c>
      <c r="O41" s="52">
        <f>+'BILLED CONSUMPTION'!N41+'BILLED BASE'!M41</f>
        <v>7878.65</v>
      </c>
      <c r="P41" s="52">
        <f>+'BILLED CONSUMPTION'!O41+'BILLED BASE'!N41</f>
        <v>4379.2</v>
      </c>
      <c r="Q41" s="52">
        <f>+'BILLED CONSUMPTION'!P41+'BILLED BASE'!O41</f>
        <v>3775.45</v>
      </c>
      <c r="R41" s="52">
        <f>+'BILLED CONSUMPTION'!Q41+'BILLED BASE'!P41</f>
        <v>3517.85</v>
      </c>
    </row>
    <row r="42" spans="1:21" ht="15" x14ac:dyDescent="0.25">
      <c r="A42" s="2" t="s">
        <v>13</v>
      </c>
      <c r="B42" s="166">
        <f>+CONSUMPTION!B42</f>
        <v>2.4199999999999999E-2</v>
      </c>
      <c r="C42" s="169">
        <v>999999999</v>
      </c>
      <c r="D42" s="167">
        <f>+CONSUMPTION!E42</f>
        <v>4374600</v>
      </c>
      <c r="E42" s="137">
        <f>+BASE!C42</f>
        <v>79.47</v>
      </c>
      <c r="F42" s="168">
        <f t="shared" si="0"/>
        <v>105865.32</v>
      </c>
      <c r="G42" s="52">
        <f>+'BILLED CONSUMPTION'!F42+'BILLED BASE'!E42</f>
        <v>808.28</v>
      </c>
      <c r="H42" s="52">
        <f>+'BILLED CONSUMPTION'!G42+'BILLED BASE'!F42</f>
        <v>2347.4</v>
      </c>
      <c r="I42" s="52">
        <f>+'BILLED CONSUMPTION'!H42+'BILLED BASE'!G42</f>
        <v>3146</v>
      </c>
      <c r="J42" s="52">
        <f>+'BILLED CONSUMPTION'!I42+'BILLED BASE'!H42</f>
        <v>3148.42</v>
      </c>
      <c r="K42" s="52">
        <f>+'BILLED CONSUMPTION'!J42+'BILLED BASE'!I42</f>
        <v>3538.04</v>
      </c>
      <c r="L42" s="52">
        <f>+'BILLED CONSUMPTION'!K42+'BILLED BASE'!J42</f>
        <v>13610.08</v>
      </c>
      <c r="M42" s="52">
        <f>+'BILLED CONSUMPTION'!L42+'BILLED BASE'!K42</f>
        <v>20645.02</v>
      </c>
      <c r="N42" s="52">
        <f>+'BILLED CONSUMPTION'!M42+'BILLED BASE'!L42</f>
        <v>25192.2</v>
      </c>
      <c r="O42" s="52">
        <f>+'BILLED CONSUMPTION'!N42+'BILLED BASE'!M42</f>
        <v>24454.1</v>
      </c>
      <c r="P42" s="52">
        <f>+'BILLED CONSUMPTION'!O42+'BILLED BASE'!N42</f>
        <v>3271.8399999999997</v>
      </c>
      <c r="Q42" s="52">
        <f>+'BILLED CONSUMPTION'!P42+'BILLED BASE'!O42</f>
        <v>2860.44</v>
      </c>
      <c r="R42" s="52">
        <f>+'BILLED CONSUMPTION'!Q42+'BILLED BASE'!P42</f>
        <v>2843.5</v>
      </c>
      <c r="U42" s="85"/>
    </row>
    <row r="43" spans="1:21" ht="15" x14ac:dyDescent="0.25">
      <c r="A43" s="2" t="s">
        <v>14</v>
      </c>
      <c r="B43" s="166">
        <f>+CONSUMPTION!B43</f>
        <v>0.01</v>
      </c>
      <c r="C43" s="169">
        <v>9000</v>
      </c>
      <c r="D43" s="167">
        <f>+CONSUMPTION!E43</f>
        <v>1345600</v>
      </c>
      <c r="E43" s="137">
        <f>+BASE!C43</f>
        <v>149</v>
      </c>
      <c r="F43" s="168">
        <f t="shared" si="0"/>
        <v>40723</v>
      </c>
      <c r="G43" s="52">
        <f>+'BILLED CONSUMPTION'!F43+'BILLED BASE'!E43</f>
        <v>3225</v>
      </c>
      <c r="H43" s="52">
        <f>+'BILLED CONSUMPTION'!G43+'BILLED BASE'!F43</f>
        <v>3470</v>
      </c>
      <c r="I43" s="52">
        <f>+'BILLED CONSUMPTION'!H43+'BILLED BASE'!G43</f>
        <v>3363</v>
      </c>
      <c r="J43" s="52">
        <f>+'BILLED CONSUMPTION'!I43+'BILLED BASE'!H43</f>
        <v>3367</v>
      </c>
      <c r="K43" s="52">
        <f>+'BILLED CONSUMPTION'!J43+'BILLED BASE'!I43</f>
        <v>3430</v>
      </c>
      <c r="L43" s="52">
        <f>+'BILLED CONSUMPTION'!K43+'BILLED BASE'!J43</f>
        <v>3539</v>
      </c>
      <c r="M43" s="52">
        <f>+'BILLED CONSUMPTION'!L43+'BILLED BASE'!K43</f>
        <v>3401</v>
      </c>
      <c r="N43" s="52">
        <f>+'BILLED CONSUMPTION'!M43+'BILLED BASE'!L43</f>
        <v>3261</v>
      </c>
      <c r="O43" s="52">
        <f>+'BILLED CONSUMPTION'!N43+'BILLED BASE'!M43</f>
        <v>3419</v>
      </c>
      <c r="P43" s="52">
        <f>+'BILLED CONSUMPTION'!O43+'BILLED BASE'!N43</f>
        <v>3414</v>
      </c>
      <c r="Q43" s="52">
        <f>+'BILLED CONSUMPTION'!P43+'BILLED BASE'!O43</f>
        <v>3437</v>
      </c>
      <c r="R43" s="52">
        <f>+'BILLED CONSUMPTION'!Q43+'BILLED BASE'!P43</f>
        <v>3397</v>
      </c>
    </row>
    <row r="44" spans="1:21" ht="15" x14ac:dyDescent="0.25">
      <c r="A44" s="2" t="s">
        <v>14</v>
      </c>
      <c r="B44" s="166">
        <f>+CONSUMPTION!B44</f>
        <v>1.15E-2</v>
      </c>
      <c r="C44" s="169">
        <v>36000</v>
      </c>
      <c r="D44" s="167">
        <f>+CONSUMPTION!E44</f>
        <v>1823500</v>
      </c>
      <c r="E44" s="137">
        <f>+BASE!C44</f>
        <v>149</v>
      </c>
      <c r="F44" s="168">
        <f t="shared" si="0"/>
        <v>20970.25</v>
      </c>
      <c r="G44" s="52">
        <f>+'BILLED CONSUMPTION'!F44+'BILLED BASE'!E44</f>
        <v>1083.3</v>
      </c>
      <c r="H44" s="52">
        <f>+'BILLED CONSUMPTION'!G44+'BILLED BASE'!F44</f>
        <v>1135.05</v>
      </c>
      <c r="I44" s="52">
        <f>+'BILLED CONSUMPTION'!H44+'BILLED BASE'!G44</f>
        <v>1286.8499999999999</v>
      </c>
      <c r="J44" s="52">
        <f>+'BILLED CONSUMPTION'!I44+'BILLED BASE'!H44</f>
        <v>1711.2</v>
      </c>
      <c r="K44" s="52">
        <f>+'BILLED CONSUMPTION'!J44+'BILLED BASE'!I44</f>
        <v>2038.95</v>
      </c>
      <c r="L44" s="52">
        <f>+'BILLED CONSUMPTION'!K44+'BILLED BASE'!J44</f>
        <v>2498.9499999999998</v>
      </c>
      <c r="M44" s="52">
        <f>+'BILLED CONSUMPTION'!L44+'BILLED BASE'!K44</f>
        <v>2159.6999999999998</v>
      </c>
      <c r="N44" s="52">
        <f>+'BILLED CONSUMPTION'!M44+'BILLED BASE'!L44</f>
        <v>2237.9</v>
      </c>
      <c r="O44" s="52">
        <f>+'BILLED CONSUMPTION'!N44+'BILLED BASE'!M44</f>
        <v>2639.25</v>
      </c>
      <c r="P44" s="52">
        <f>+'BILLED CONSUMPTION'!O44+'BILLED BASE'!N44</f>
        <v>1223.5999999999999</v>
      </c>
      <c r="Q44" s="52">
        <f>+'BILLED CONSUMPTION'!P44+'BILLED BASE'!O44</f>
        <v>1493.85</v>
      </c>
      <c r="R44" s="52">
        <f>+'BILLED CONSUMPTION'!Q44+'BILLED BASE'!P44</f>
        <v>1461.6499999999999</v>
      </c>
    </row>
    <row r="45" spans="1:21" ht="15" x14ac:dyDescent="0.25">
      <c r="A45" s="2" t="s">
        <v>14</v>
      </c>
      <c r="B45" s="166">
        <f>+CONSUMPTION!B45</f>
        <v>2.4199999999999999E-2</v>
      </c>
      <c r="C45" s="169">
        <v>999999999</v>
      </c>
      <c r="D45" s="167">
        <f>+CONSUMPTION!E45</f>
        <v>731300</v>
      </c>
      <c r="E45" s="137">
        <f>+BASE!C45</f>
        <v>149</v>
      </c>
      <c r="F45" s="168">
        <f t="shared" si="0"/>
        <v>17697.46</v>
      </c>
      <c r="G45" s="52">
        <f>+'BILLED CONSUMPTION'!F45+'BILLED BASE'!E45</f>
        <v>309.76</v>
      </c>
      <c r="H45" s="52">
        <f>+'BILLED CONSUMPTION'!G45+'BILLED BASE'!F45</f>
        <v>0</v>
      </c>
      <c r="I45" s="52">
        <f>+'BILLED CONSUMPTION'!H45+'BILLED BASE'!G45</f>
        <v>0</v>
      </c>
      <c r="J45" s="52">
        <f>+'BILLED CONSUMPTION'!I45+'BILLED BASE'!H45</f>
        <v>0</v>
      </c>
      <c r="K45" s="52">
        <f>+'BILLED CONSUMPTION'!J45+'BILLED BASE'!I45</f>
        <v>1212.42</v>
      </c>
      <c r="L45" s="52">
        <f>+'BILLED CONSUMPTION'!K45+'BILLED BASE'!J45</f>
        <v>5425.6399999999994</v>
      </c>
      <c r="M45" s="52">
        <f>+'BILLED CONSUMPTION'!L45+'BILLED BASE'!K45</f>
        <v>2599.08</v>
      </c>
      <c r="N45" s="52">
        <f>+'BILLED CONSUMPTION'!M45+'BILLED BASE'!L45</f>
        <v>3063.72</v>
      </c>
      <c r="O45" s="52">
        <f>+'BILLED CONSUMPTION'!N45+'BILLED BASE'!M45</f>
        <v>4547.18</v>
      </c>
      <c r="P45" s="52">
        <f>+'BILLED CONSUMPTION'!O45+'BILLED BASE'!N45</f>
        <v>193.6</v>
      </c>
      <c r="Q45" s="52">
        <f>+'BILLED CONSUMPTION'!P45+'BILLED BASE'!O45</f>
        <v>346.06</v>
      </c>
      <c r="R45" s="52">
        <f>+'BILLED CONSUMPTION'!Q45+'BILLED BASE'!P45</f>
        <v>0</v>
      </c>
      <c r="U45" s="85"/>
    </row>
    <row r="46" spans="1:21" ht="15" x14ac:dyDescent="0.25">
      <c r="A46" s="2" t="s">
        <v>61</v>
      </c>
      <c r="B46" s="166">
        <f>+CONSUMPTION!B46</f>
        <v>0.01</v>
      </c>
      <c r="C46" s="169">
        <v>15000</v>
      </c>
      <c r="D46" s="167">
        <f>+CONSUMPTION!E46</f>
        <v>181100</v>
      </c>
      <c r="E46" s="137">
        <f>+BASE!C46</f>
        <v>248.33</v>
      </c>
      <c r="F46" s="168">
        <f t="shared" si="0"/>
        <v>7770.9199999999992</v>
      </c>
      <c r="G46" s="52">
        <f>+'BILLED CONSUMPTION'!F46+'BILLED BASE'!E46</f>
        <v>645.66000000000008</v>
      </c>
      <c r="H46" s="52">
        <f>+'BILLED CONSUMPTION'!G46+'BILLED BASE'!F46</f>
        <v>647.66000000000008</v>
      </c>
      <c r="I46" s="52">
        <f>+'BILLED CONSUMPTION'!H46+'BILLED BASE'!G46</f>
        <v>647.66000000000008</v>
      </c>
      <c r="J46" s="52">
        <f>+'BILLED CONSUMPTION'!I46+'BILLED BASE'!H46</f>
        <v>647.66000000000008</v>
      </c>
      <c r="K46" s="52">
        <f>+'BILLED CONSUMPTION'!J46+'BILLED BASE'!I46</f>
        <v>647.66000000000008</v>
      </c>
      <c r="L46" s="52">
        <f>+'BILLED CONSUMPTION'!K46+'BILLED BASE'!J46</f>
        <v>649.66000000000008</v>
      </c>
      <c r="M46" s="52">
        <f>+'BILLED CONSUMPTION'!L46+'BILLED BASE'!K46</f>
        <v>648.66000000000008</v>
      </c>
      <c r="N46" s="52">
        <f>+'BILLED CONSUMPTION'!M46+'BILLED BASE'!L46</f>
        <v>648.66000000000008</v>
      </c>
      <c r="O46" s="52">
        <f>+'BILLED CONSUMPTION'!N46+'BILLED BASE'!M46</f>
        <v>647.66000000000008</v>
      </c>
      <c r="P46" s="52">
        <f>+'BILLED CONSUMPTION'!O46+'BILLED BASE'!N46</f>
        <v>646.66000000000008</v>
      </c>
      <c r="Q46" s="52">
        <f>+'BILLED CONSUMPTION'!P46+'BILLED BASE'!O46</f>
        <v>646.66000000000008</v>
      </c>
      <c r="R46" s="52">
        <f>+'BILLED CONSUMPTION'!Q46+'BILLED BASE'!P46</f>
        <v>646.66000000000008</v>
      </c>
    </row>
    <row r="47" spans="1:21" ht="15" x14ac:dyDescent="0.25">
      <c r="A47" s="2" t="s">
        <v>61</v>
      </c>
      <c r="B47" s="166">
        <f>+CONSUMPTION!B47</f>
        <v>1.15E-2</v>
      </c>
      <c r="C47" s="169">
        <v>60000</v>
      </c>
      <c r="D47" s="167">
        <f>+CONSUMPTION!E47</f>
        <v>367500</v>
      </c>
      <c r="E47" s="137">
        <f>+BASE!C47</f>
        <v>248.33</v>
      </c>
      <c r="F47" s="168">
        <f t="shared" si="0"/>
        <v>4226.25</v>
      </c>
      <c r="G47" s="52">
        <f>+'BILLED CONSUMPTION'!F47+'BILLED BASE'!E47</f>
        <v>0</v>
      </c>
      <c r="H47" s="52">
        <f>+'BILLED CONSUMPTION'!G47+'BILLED BASE'!F47</f>
        <v>106.95</v>
      </c>
      <c r="I47" s="52">
        <f>+'BILLED CONSUMPTION'!H47+'BILLED BASE'!G47</f>
        <v>31.05</v>
      </c>
      <c r="J47" s="52">
        <f>+'BILLED CONSUMPTION'!I47+'BILLED BASE'!H47</f>
        <v>112.7</v>
      </c>
      <c r="K47" s="52">
        <f>+'BILLED CONSUMPTION'!J47+'BILLED BASE'!I47</f>
        <v>311.64999999999998</v>
      </c>
      <c r="L47" s="52">
        <f>+'BILLED CONSUMPTION'!K47+'BILLED BASE'!J47</f>
        <v>690</v>
      </c>
      <c r="M47" s="52">
        <f>+'BILLED CONSUMPTION'!L47+'BILLED BASE'!K47</f>
        <v>690</v>
      </c>
      <c r="N47" s="52">
        <f>+'BILLED CONSUMPTION'!M47+'BILLED BASE'!L47</f>
        <v>690</v>
      </c>
      <c r="O47" s="52">
        <f>+'BILLED CONSUMPTION'!N47+'BILLED BASE'!M47</f>
        <v>690</v>
      </c>
      <c r="P47" s="52">
        <f>+'BILLED CONSUMPTION'!O47+'BILLED BASE'!N47</f>
        <v>607.20000000000005</v>
      </c>
      <c r="Q47" s="52">
        <f>+'BILLED CONSUMPTION'!P47+'BILLED BASE'!O47</f>
        <v>216.2</v>
      </c>
      <c r="R47" s="52">
        <f>+'BILLED CONSUMPTION'!Q47+'BILLED BASE'!P47</f>
        <v>80.5</v>
      </c>
    </row>
    <row r="48" spans="1:21" ht="15" x14ac:dyDescent="0.25">
      <c r="A48" s="2" t="s">
        <v>61</v>
      </c>
      <c r="B48" s="166">
        <f>+CONSUMPTION!B48</f>
        <v>2.4199999999999999E-2</v>
      </c>
      <c r="C48" s="169">
        <v>999999999</v>
      </c>
      <c r="D48" s="167">
        <f>+CONSUMPTION!E48</f>
        <v>707600</v>
      </c>
      <c r="E48" s="137">
        <f>+BASE!C48</f>
        <v>248.33</v>
      </c>
      <c r="F48" s="168">
        <f t="shared" si="0"/>
        <v>17123.919999999998</v>
      </c>
      <c r="G48" s="52">
        <f>+'BILLED CONSUMPTION'!F48+'BILLED BASE'!E48</f>
        <v>0</v>
      </c>
      <c r="H48" s="52">
        <f>+'BILLED CONSUMPTION'!G48+'BILLED BASE'!F48</f>
        <v>0</v>
      </c>
      <c r="I48" s="52">
        <f>+'BILLED CONSUMPTION'!H48+'BILLED BASE'!G48</f>
        <v>0</v>
      </c>
      <c r="J48" s="52">
        <f>+'BILLED CONSUMPTION'!I48+'BILLED BASE'!H48</f>
        <v>0</v>
      </c>
      <c r="K48" s="52">
        <f>+'BILLED CONSUMPTION'!J48+'BILLED BASE'!I48</f>
        <v>0</v>
      </c>
      <c r="L48" s="52">
        <f>+'BILLED CONSUMPTION'!K48+'BILLED BASE'!J48</f>
        <v>2966.92</v>
      </c>
      <c r="M48" s="52">
        <f>+'BILLED CONSUMPTION'!L48+'BILLED BASE'!K48</f>
        <v>4218.0599999999995</v>
      </c>
      <c r="N48" s="52">
        <f>+'BILLED CONSUMPTION'!M48+'BILLED BASE'!L48</f>
        <v>5219.9399999999996</v>
      </c>
      <c r="O48" s="52">
        <f>+'BILLED CONSUMPTION'!N48+'BILLED BASE'!M48</f>
        <v>4719</v>
      </c>
      <c r="P48" s="52">
        <f>+'BILLED CONSUMPTION'!O48+'BILLED BASE'!N48</f>
        <v>0</v>
      </c>
      <c r="Q48" s="52">
        <f>+'BILLED CONSUMPTION'!P48+'BILLED BASE'!O48</f>
        <v>0</v>
      </c>
      <c r="R48" s="52">
        <f>+'BILLED CONSUMPTION'!Q48+'BILLED BASE'!P48</f>
        <v>0</v>
      </c>
      <c r="U48" s="85"/>
    </row>
    <row r="49" spans="1:21" ht="15" x14ac:dyDescent="0.25">
      <c r="A49" s="2" t="s">
        <v>15</v>
      </c>
      <c r="B49" s="166">
        <f>+CONSUMPTION!B49</f>
        <v>0.01</v>
      </c>
      <c r="C49" s="169">
        <v>30000</v>
      </c>
      <c r="D49" s="167">
        <f>+CONSUMPTION!E49</f>
        <v>450500</v>
      </c>
      <c r="E49" s="137">
        <f>+BASE!C49</f>
        <v>496.67</v>
      </c>
      <c r="F49" s="168">
        <f t="shared" si="0"/>
        <v>22385.119999999995</v>
      </c>
      <c r="G49" s="52">
        <f>+'BILLED CONSUMPTION'!F49+'BILLED BASE'!E49</f>
        <v>1519.01</v>
      </c>
      <c r="H49" s="52">
        <f>+'BILLED CONSUMPTION'!G49+'BILLED BASE'!F49</f>
        <v>1732.01</v>
      </c>
      <c r="I49" s="52">
        <f>+'BILLED CONSUMPTION'!H49+'BILLED BASE'!G49</f>
        <v>1655.01</v>
      </c>
      <c r="J49" s="52">
        <f>+'BILLED CONSUMPTION'!I49+'BILLED BASE'!H49</f>
        <v>1711.01</v>
      </c>
      <c r="K49" s="52">
        <f>+'BILLED CONSUMPTION'!J49+'BILLED BASE'!I49</f>
        <v>2079.0100000000002</v>
      </c>
      <c r="L49" s="52">
        <f>+'BILLED CONSUMPTION'!K49+'BILLED BASE'!J49</f>
        <v>2121.0100000000002</v>
      </c>
      <c r="M49" s="52">
        <f>+'BILLED CONSUMPTION'!L49+'BILLED BASE'!K49</f>
        <v>2115.0100000000002</v>
      </c>
      <c r="N49" s="52">
        <f>+'BILLED CONSUMPTION'!M49+'BILLED BASE'!L49</f>
        <v>2278.0100000000002</v>
      </c>
      <c r="O49" s="52">
        <f>+'BILLED CONSUMPTION'!N49+'BILLED BASE'!M49</f>
        <v>2101.0100000000002</v>
      </c>
      <c r="P49" s="52">
        <f>+'BILLED CONSUMPTION'!O49+'BILLED BASE'!N49</f>
        <v>1712.01</v>
      </c>
      <c r="Q49" s="52">
        <f>+'BILLED CONSUMPTION'!P49+'BILLED BASE'!O49</f>
        <v>1691.01</v>
      </c>
      <c r="R49" s="52">
        <f>+'BILLED CONSUMPTION'!Q49+'BILLED BASE'!P49</f>
        <v>1671.01</v>
      </c>
    </row>
    <row r="50" spans="1:21" ht="15" x14ac:dyDescent="0.25">
      <c r="A50" s="2" t="s">
        <v>15</v>
      </c>
      <c r="B50" s="166">
        <f>+CONSUMPTION!B50</f>
        <v>1.15E-2</v>
      </c>
      <c r="C50" s="169">
        <v>120000</v>
      </c>
      <c r="D50" s="167">
        <f>+CONSUMPTION!E50</f>
        <v>806900</v>
      </c>
      <c r="E50" s="137">
        <f>+BASE!C50</f>
        <v>496.67</v>
      </c>
      <c r="F50" s="168">
        <f t="shared" si="0"/>
        <v>9279.35</v>
      </c>
      <c r="G50" s="52">
        <f>+'BILLED CONSUMPTION'!F50+'BILLED BASE'!E50</f>
        <v>0</v>
      </c>
      <c r="H50" s="52">
        <f>+'BILLED CONSUMPTION'!G50+'BILLED BASE'!F50</f>
        <v>0</v>
      </c>
      <c r="I50" s="52">
        <f>+'BILLED CONSUMPTION'!H50+'BILLED BASE'!G50</f>
        <v>0</v>
      </c>
      <c r="J50" s="52">
        <f>+'BILLED CONSUMPTION'!I50+'BILLED BASE'!H50</f>
        <v>0</v>
      </c>
      <c r="K50" s="52">
        <f>+'BILLED CONSUMPTION'!J50+'BILLED BASE'!I50</f>
        <v>724.5</v>
      </c>
      <c r="L50" s="52">
        <f>+'BILLED CONSUMPTION'!K50+'BILLED BASE'!J50</f>
        <v>2095.3000000000002</v>
      </c>
      <c r="M50" s="52">
        <f>+'BILLED CONSUMPTION'!L50+'BILLED BASE'!K50</f>
        <v>1859.55</v>
      </c>
      <c r="N50" s="52">
        <f>+'BILLED CONSUMPTION'!M50+'BILLED BASE'!L50</f>
        <v>2423.0500000000002</v>
      </c>
      <c r="O50" s="52">
        <f>+'BILLED CONSUMPTION'!N50+'BILLED BASE'!M50</f>
        <v>2176.9499999999998</v>
      </c>
      <c r="P50" s="52">
        <f>+'BILLED CONSUMPTION'!O50+'BILLED BASE'!N50</f>
        <v>0</v>
      </c>
      <c r="Q50" s="52">
        <f>+'BILLED CONSUMPTION'!P50+'BILLED BASE'!O50</f>
        <v>0</v>
      </c>
      <c r="R50" s="52">
        <f>+'BILLED CONSUMPTION'!Q50+'BILLED BASE'!P50</f>
        <v>0</v>
      </c>
    </row>
    <row r="51" spans="1:21" ht="15" x14ac:dyDescent="0.25">
      <c r="A51" s="2" t="s">
        <v>15</v>
      </c>
      <c r="B51" s="166">
        <f>+CONSUMPTION!B51</f>
        <v>2.4199999999999999E-2</v>
      </c>
      <c r="C51" s="169">
        <v>999999999</v>
      </c>
      <c r="D51" s="167">
        <f>+CONSUMPTION!E51</f>
        <v>3000</v>
      </c>
      <c r="E51" s="137">
        <f>+BASE!C51</f>
        <v>496.67</v>
      </c>
      <c r="F51" s="168">
        <f t="shared" si="0"/>
        <v>72.599999999999994</v>
      </c>
      <c r="G51" s="52">
        <f>+'BILLED CONSUMPTION'!F51+'BILLED BASE'!E51</f>
        <v>0</v>
      </c>
      <c r="H51" s="52">
        <f>+'BILLED CONSUMPTION'!G51+'BILLED BASE'!F51</f>
        <v>0</v>
      </c>
      <c r="I51" s="52">
        <f>+'BILLED CONSUMPTION'!H51+'BILLED BASE'!G51</f>
        <v>0</v>
      </c>
      <c r="J51" s="52">
        <f>+'BILLED CONSUMPTION'!I51+'BILLED BASE'!H51</f>
        <v>0</v>
      </c>
      <c r="K51" s="52">
        <f>+'BILLED CONSUMPTION'!J51+'BILLED BASE'!I51</f>
        <v>0</v>
      </c>
      <c r="L51" s="52">
        <f>+'BILLED CONSUMPTION'!K51+'BILLED BASE'!J51</f>
        <v>0</v>
      </c>
      <c r="M51" s="52">
        <f>+'BILLED CONSUMPTION'!L51+'BILLED BASE'!K51</f>
        <v>0</v>
      </c>
      <c r="N51" s="52">
        <f>+'BILLED CONSUMPTION'!M51+'BILLED BASE'!L51</f>
        <v>0</v>
      </c>
      <c r="O51" s="52">
        <f>+'BILLED CONSUMPTION'!N51+'BILLED BASE'!M51</f>
        <v>72.599999999999994</v>
      </c>
      <c r="P51" s="52">
        <f>+'BILLED CONSUMPTION'!O51+'BILLED BASE'!N51</f>
        <v>0</v>
      </c>
      <c r="Q51" s="52">
        <f>+'BILLED CONSUMPTION'!P51+'BILLED BASE'!O51</f>
        <v>0</v>
      </c>
      <c r="R51" s="52">
        <f>+'BILLED CONSUMPTION'!Q51+'BILLED BASE'!P51</f>
        <v>0</v>
      </c>
      <c r="U51" s="85"/>
    </row>
    <row r="52" spans="1:21" ht="15" x14ac:dyDescent="0.25">
      <c r="A52" s="2" t="s">
        <v>16</v>
      </c>
      <c r="B52" s="166">
        <f>+CONSUMPTION!B52</f>
        <v>0</v>
      </c>
      <c r="C52" s="169">
        <v>999999999</v>
      </c>
      <c r="D52" s="167">
        <f>+CONSUMPTION!E52</f>
        <v>0</v>
      </c>
      <c r="E52" s="137">
        <f>+BASE!C52</f>
        <v>28.68</v>
      </c>
      <c r="F52" s="168">
        <f t="shared" si="0"/>
        <v>1376.64</v>
      </c>
      <c r="G52" s="52">
        <f>+'BILLED CONSUMPTION'!F52+'BILLED BASE'!E52</f>
        <v>114.72</v>
      </c>
      <c r="H52" s="52">
        <f>+'BILLED CONSUMPTION'!G52+'BILLED BASE'!F52</f>
        <v>114.72</v>
      </c>
      <c r="I52" s="52">
        <f>+'BILLED CONSUMPTION'!H52+'BILLED BASE'!G52</f>
        <v>114.72</v>
      </c>
      <c r="J52" s="52">
        <f>+'BILLED CONSUMPTION'!I52+'BILLED BASE'!H52</f>
        <v>114.72</v>
      </c>
      <c r="K52" s="52">
        <f>+'BILLED CONSUMPTION'!J52+'BILLED BASE'!I52</f>
        <v>114.72</v>
      </c>
      <c r="L52" s="52">
        <f>+'BILLED CONSUMPTION'!K52+'BILLED BASE'!J52</f>
        <v>114.72</v>
      </c>
      <c r="M52" s="52">
        <f>+'BILLED CONSUMPTION'!L52+'BILLED BASE'!K52</f>
        <v>114.72</v>
      </c>
      <c r="N52" s="52">
        <f>+'BILLED CONSUMPTION'!M52+'BILLED BASE'!L52</f>
        <v>114.72</v>
      </c>
      <c r="O52" s="52">
        <f>+'BILLED CONSUMPTION'!N52+'BILLED BASE'!M52</f>
        <v>114.72</v>
      </c>
      <c r="P52" s="52">
        <f>+'BILLED CONSUMPTION'!O52+'BILLED BASE'!N52</f>
        <v>114.72</v>
      </c>
      <c r="Q52" s="52">
        <f>+'BILLED CONSUMPTION'!P52+'BILLED BASE'!O52</f>
        <v>114.72</v>
      </c>
      <c r="R52" s="52">
        <f>+'BILLED CONSUMPTION'!Q52+'BILLED BASE'!P52</f>
        <v>114.72</v>
      </c>
    </row>
    <row r="53" spans="1:21" ht="15" x14ac:dyDescent="0.25">
      <c r="A53" s="2" t="s">
        <v>17</v>
      </c>
      <c r="B53" s="166">
        <f>+CONSUMPTION!B53</f>
        <v>0</v>
      </c>
      <c r="C53" s="169">
        <v>999999999</v>
      </c>
      <c r="D53" s="167">
        <f>+CONSUMPTION!E53</f>
        <v>4622700</v>
      </c>
      <c r="E53" s="137">
        <f>+BASE!C53</f>
        <v>0</v>
      </c>
      <c r="F53" s="168">
        <f t="shared" si="0"/>
        <v>0</v>
      </c>
      <c r="G53" s="52">
        <f>+'BILLED CONSUMPTION'!F53+'BILLED BASE'!E53</f>
        <v>0</v>
      </c>
      <c r="H53" s="52">
        <f>+'BILLED CONSUMPTION'!G53+'BILLED BASE'!F53</f>
        <v>0</v>
      </c>
      <c r="I53" s="52">
        <f>+'BILLED CONSUMPTION'!H53+'BILLED BASE'!G53</f>
        <v>0</v>
      </c>
      <c r="J53" s="52">
        <f>+'BILLED CONSUMPTION'!I53+'BILLED BASE'!H53</f>
        <v>0</v>
      </c>
      <c r="K53" s="52">
        <f>+'BILLED CONSUMPTION'!J53+'BILLED BASE'!I53</f>
        <v>0</v>
      </c>
      <c r="L53" s="52">
        <f>+'BILLED CONSUMPTION'!K53+'BILLED BASE'!J53</f>
        <v>0</v>
      </c>
      <c r="M53" s="52">
        <f>+'BILLED CONSUMPTION'!L53+'BILLED BASE'!K53</f>
        <v>0</v>
      </c>
      <c r="N53" s="52">
        <f>+'BILLED CONSUMPTION'!M53+'BILLED BASE'!L53</f>
        <v>0</v>
      </c>
      <c r="O53" s="52">
        <f>+'BILLED CONSUMPTION'!N53+'BILLED BASE'!M53</f>
        <v>0</v>
      </c>
      <c r="P53" s="52">
        <f>+'BILLED CONSUMPTION'!O53+'BILLED BASE'!N53</f>
        <v>0</v>
      </c>
      <c r="Q53" s="52">
        <f>+'BILLED CONSUMPTION'!P53+'BILLED BASE'!O53</f>
        <v>0</v>
      </c>
      <c r="R53" s="52">
        <f>+'BILLED CONSUMPTION'!Q53+'BILLED BASE'!P53</f>
        <v>0</v>
      </c>
    </row>
    <row r="54" spans="1:21" ht="15" x14ac:dyDescent="0.25">
      <c r="A54" s="2" t="s">
        <v>18</v>
      </c>
      <c r="B54" s="166">
        <f>+CONSUMPTION!B54</f>
        <v>0</v>
      </c>
      <c r="C54" s="169">
        <v>999999999</v>
      </c>
      <c r="D54" s="167">
        <f>+CONSUMPTION!E54</f>
        <v>0</v>
      </c>
      <c r="E54" s="137">
        <f>+BASE!C54</f>
        <v>0</v>
      </c>
      <c r="F54" s="168">
        <f t="shared" si="0"/>
        <v>0</v>
      </c>
      <c r="G54" s="52">
        <f>+'BILLED CONSUMPTION'!F54+'BILLED BASE'!E54</f>
        <v>0</v>
      </c>
      <c r="H54" s="52">
        <f>+'BILLED CONSUMPTION'!G54+'BILLED BASE'!F54</f>
        <v>0</v>
      </c>
      <c r="I54" s="52">
        <f>+'BILLED CONSUMPTION'!H54+'BILLED BASE'!G54</f>
        <v>0</v>
      </c>
      <c r="J54" s="52">
        <f>+'BILLED CONSUMPTION'!I54+'BILLED BASE'!H54</f>
        <v>0</v>
      </c>
      <c r="K54" s="52">
        <f>+'BILLED CONSUMPTION'!J54+'BILLED BASE'!I54</f>
        <v>0</v>
      </c>
      <c r="L54" s="52">
        <f>+'BILLED CONSUMPTION'!K54+'BILLED BASE'!J54</f>
        <v>0</v>
      </c>
      <c r="M54" s="52">
        <f>+'BILLED CONSUMPTION'!L54+'BILLED BASE'!K54</f>
        <v>0</v>
      </c>
      <c r="N54" s="52">
        <f>+'BILLED CONSUMPTION'!M54+'BILLED BASE'!L54</f>
        <v>0</v>
      </c>
      <c r="O54" s="52">
        <f>+'BILLED CONSUMPTION'!N54+'BILLED BASE'!M54</f>
        <v>0</v>
      </c>
      <c r="P54" s="52">
        <f>+'BILLED CONSUMPTION'!O54+'BILLED BASE'!N54</f>
        <v>0</v>
      </c>
      <c r="Q54" s="52">
        <f>+'BILLED CONSUMPTION'!P54+'BILLED BASE'!O54</f>
        <v>0</v>
      </c>
      <c r="R54" s="52">
        <f>+'BILLED CONSUMPTION'!Q54+'BILLED BASE'!P54</f>
        <v>0</v>
      </c>
      <c r="S54" s="85"/>
      <c r="U54" s="85"/>
    </row>
    <row r="55" spans="1:21" ht="15" x14ac:dyDescent="0.25">
      <c r="A55" s="2" t="s">
        <v>74</v>
      </c>
      <c r="B55" s="166">
        <f>+CONSUMPTION!B55</f>
        <v>0</v>
      </c>
      <c r="C55" s="169">
        <v>999999999</v>
      </c>
      <c r="D55" s="167">
        <f>+CONSUMPTION!E55</f>
        <v>0</v>
      </c>
      <c r="E55" s="137">
        <f>+BASE!C55</f>
        <v>0</v>
      </c>
      <c r="F55" s="168">
        <f t="shared" si="0"/>
        <v>-70771.7</v>
      </c>
      <c r="G55" s="52">
        <f>+'BILLED CONSUMPTION'!F55+'BILLED BASE'!E55</f>
        <v>-7630.58</v>
      </c>
      <c r="H55" s="52">
        <f>+'BILLED CONSUMPTION'!G55+'BILLED BASE'!F55</f>
        <v>-970.58</v>
      </c>
      <c r="I55" s="52">
        <f>+'BILLED CONSUMPTION'!H55+'BILLED BASE'!G55</f>
        <v>-1951.63</v>
      </c>
      <c r="J55" s="52">
        <f>+'BILLED CONSUMPTION'!I55+'BILLED BASE'!H55</f>
        <v>-6235.76</v>
      </c>
      <c r="K55" s="52">
        <f>+'BILLED CONSUMPTION'!J55+'BILLED BASE'!I55</f>
        <v>-4081.84</v>
      </c>
      <c r="L55" s="52">
        <f>+'BILLED CONSUMPTION'!K55+'BILLED BASE'!J55</f>
        <v>-647.94000000000005</v>
      </c>
      <c r="M55" s="52">
        <f>+'BILLED CONSUMPTION'!L55+'BILLED BASE'!K55</f>
        <v>-4883.72</v>
      </c>
      <c r="N55" s="52">
        <f>+'BILLED CONSUMPTION'!M55+'BILLED BASE'!L55</f>
        <v>-7980.3</v>
      </c>
      <c r="O55" s="52">
        <f>+'BILLED CONSUMPTION'!N55+'BILLED BASE'!M55</f>
        <v>-8934.34</v>
      </c>
      <c r="P55" s="52">
        <f>+'BILLED CONSUMPTION'!O55+'BILLED BASE'!N55</f>
        <v>-18994.669999999998</v>
      </c>
      <c r="Q55" s="52">
        <f>+'BILLED CONSUMPTION'!P55+'BILLED BASE'!O55</f>
        <v>-6918.76</v>
      </c>
      <c r="R55" s="52">
        <f>+'BILLED CONSUMPTION'!Q55+'BILLED BASE'!P55</f>
        <v>-1541.58</v>
      </c>
      <c r="S55" s="85"/>
      <c r="U55" s="85"/>
    </row>
    <row r="56" spans="1:21" s="8" customFormat="1" x14ac:dyDescent="0.2"/>
    <row r="57" spans="1:21" s="13" customFormat="1" ht="15" x14ac:dyDescent="0.25">
      <c r="A57" s="13" t="s">
        <v>24</v>
      </c>
      <c r="F57" s="14">
        <f>SUM(F3:F6)</f>
        <v>7901.9899999999989</v>
      </c>
      <c r="G57" s="14">
        <f>SUM(G3:G6)</f>
        <v>394</v>
      </c>
      <c r="H57" s="14">
        <f t="shared" ref="H57:R57" si="2">SUM(H3:H6)</f>
        <v>394</v>
      </c>
      <c r="I57" s="14">
        <f t="shared" si="2"/>
        <v>394</v>
      </c>
      <c r="J57" s="14">
        <f t="shared" si="2"/>
        <v>394</v>
      </c>
      <c r="K57" s="14">
        <f t="shared" si="2"/>
        <v>433.95</v>
      </c>
      <c r="L57" s="14">
        <f t="shared" si="2"/>
        <v>979.3119999999999</v>
      </c>
      <c r="M57" s="14">
        <f t="shared" si="2"/>
        <v>1199.896</v>
      </c>
      <c r="N57" s="14">
        <f t="shared" si="2"/>
        <v>1302.5439999999999</v>
      </c>
      <c r="O57" s="14">
        <f t="shared" si="2"/>
        <v>1228.288</v>
      </c>
      <c r="P57" s="14">
        <f t="shared" si="2"/>
        <v>394</v>
      </c>
      <c r="Q57" s="14">
        <f t="shared" si="2"/>
        <v>394</v>
      </c>
      <c r="R57" s="14">
        <f t="shared" si="2"/>
        <v>394</v>
      </c>
    </row>
    <row r="58" spans="1:21" s="13" customFormat="1" ht="15" x14ac:dyDescent="0.25">
      <c r="A58" s="13" t="s">
        <v>22</v>
      </c>
      <c r="F58" s="14">
        <f>SUM(F7:F30)</f>
        <v>5885716.8100000015</v>
      </c>
      <c r="G58" s="14">
        <f t="shared" ref="G58:R58" si="3">SUM(G7:G30)</f>
        <v>385741.48</v>
      </c>
      <c r="H58" s="14">
        <f t="shared" si="3"/>
        <v>382103.7</v>
      </c>
      <c r="I58" s="14">
        <f t="shared" si="3"/>
        <v>370387.87000000005</v>
      </c>
      <c r="J58" s="14">
        <f t="shared" si="3"/>
        <v>391430.62</v>
      </c>
      <c r="K58" s="14">
        <f t="shared" si="3"/>
        <v>404577.61000000004</v>
      </c>
      <c r="L58" s="14">
        <f t="shared" si="3"/>
        <v>551187.14</v>
      </c>
      <c r="M58" s="14">
        <f t="shared" si="3"/>
        <v>669746.67999999993</v>
      </c>
      <c r="N58" s="14">
        <f t="shared" si="3"/>
        <v>851453.58999999985</v>
      </c>
      <c r="O58" s="14">
        <f t="shared" si="3"/>
        <v>698169.56</v>
      </c>
      <c r="P58" s="14">
        <f t="shared" si="3"/>
        <v>399649.45</v>
      </c>
      <c r="Q58" s="14">
        <f t="shared" si="3"/>
        <v>394376.91000000009</v>
      </c>
      <c r="R58" s="14">
        <f t="shared" si="3"/>
        <v>386892.2</v>
      </c>
    </row>
    <row r="59" spans="1:21" s="13" customFormat="1" ht="15" x14ac:dyDescent="0.25">
      <c r="A59" s="13" t="s">
        <v>31</v>
      </c>
      <c r="F59" s="14">
        <f>SUM(F31:F51)</f>
        <v>794354.69999999984</v>
      </c>
      <c r="G59" s="14">
        <f>SUM(G31:G51)</f>
        <v>37677.100000000013</v>
      </c>
      <c r="H59" s="14">
        <f t="shared" ref="H59:R59" si="4">SUM(H31:H51)</f>
        <v>42676.180000000008</v>
      </c>
      <c r="I59" s="14">
        <f t="shared" si="4"/>
        <v>38063.090000000011</v>
      </c>
      <c r="J59" s="14">
        <f t="shared" si="4"/>
        <v>42526.01</v>
      </c>
      <c r="K59" s="14">
        <f t="shared" si="4"/>
        <v>45982.1</v>
      </c>
      <c r="L59" s="14">
        <f t="shared" si="4"/>
        <v>84965.37999999999</v>
      </c>
      <c r="M59" s="14">
        <f t="shared" si="4"/>
        <v>106114.55</v>
      </c>
      <c r="N59" s="14">
        <f t="shared" si="4"/>
        <v>122183.06</v>
      </c>
      <c r="O59" s="14">
        <f t="shared" si="4"/>
        <v>133620.70000000001</v>
      </c>
      <c r="P59" s="14">
        <f t="shared" si="4"/>
        <v>56192.869999999995</v>
      </c>
      <c r="Q59" s="14">
        <f t="shared" si="4"/>
        <v>43754.18</v>
      </c>
      <c r="R59" s="14">
        <f t="shared" si="4"/>
        <v>40599.48000000001</v>
      </c>
    </row>
    <row r="60" spans="1:21" s="13" customFormat="1" ht="15.75" thickBot="1" x14ac:dyDescent="0.3">
      <c r="A60" s="13" t="s">
        <v>23</v>
      </c>
      <c r="F60" s="14">
        <f>SUM(F52:F55)</f>
        <v>-69395.06</v>
      </c>
      <c r="G60" s="14">
        <f>SUM(G52:G55)</f>
        <v>-7515.86</v>
      </c>
      <c r="H60" s="14">
        <f t="shared" ref="H60:R60" si="5">SUM(H52:H55)</f>
        <v>-855.86</v>
      </c>
      <c r="I60" s="14">
        <f t="shared" si="5"/>
        <v>-1836.91</v>
      </c>
      <c r="J60" s="14">
        <f t="shared" si="5"/>
        <v>-6121.04</v>
      </c>
      <c r="K60" s="14">
        <f t="shared" si="5"/>
        <v>-3967.1200000000003</v>
      </c>
      <c r="L60" s="14">
        <f t="shared" si="5"/>
        <v>-533.22</v>
      </c>
      <c r="M60" s="14">
        <f t="shared" si="5"/>
        <v>-4769</v>
      </c>
      <c r="N60" s="14">
        <f t="shared" si="5"/>
        <v>-7865.58</v>
      </c>
      <c r="O60" s="14">
        <f t="shared" si="5"/>
        <v>-8819.6200000000008</v>
      </c>
      <c r="P60" s="14">
        <f t="shared" si="5"/>
        <v>-18879.949999999997</v>
      </c>
      <c r="Q60" s="14">
        <f t="shared" si="5"/>
        <v>-6804.04</v>
      </c>
      <c r="R60" s="14">
        <f t="shared" si="5"/>
        <v>-1426.86</v>
      </c>
    </row>
    <row r="61" spans="1:21" s="11" customFormat="1" ht="15" x14ac:dyDescent="0.25">
      <c r="A61" s="10" t="s">
        <v>21</v>
      </c>
      <c r="B61" s="10"/>
      <c r="C61" s="10"/>
      <c r="D61" s="23">
        <f t="shared" ref="D61" si="6">SUM(D3:D56)</f>
        <v>240943600</v>
      </c>
      <c r="E61" s="10"/>
      <c r="F61" s="240">
        <f t="shared" ref="F61:R61" si="7">SUM(F3:F56)</f>
        <v>6618578.4400000013</v>
      </c>
      <c r="G61" s="12">
        <f t="shared" si="7"/>
        <v>416296.71999999991</v>
      </c>
      <c r="H61" s="12">
        <f t="shared" si="7"/>
        <v>424318.02</v>
      </c>
      <c r="I61" s="12">
        <f t="shared" si="7"/>
        <v>407008.04999999993</v>
      </c>
      <c r="J61" s="12">
        <f t="shared" si="7"/>
        <v>428229.58999999985</v>
      </c>
      <c r="K61" s="12">
        <f t="shared" si="7"/>
        <v>447026.54</v>
      </c>
      <c r="L61" s="12">
        <f t="shared" si="7"/>
        <v>636598.61199999985</v>
      </c>
      <c r="M61" s="12">
        <f t="shared" si="7"/>
        <v>772292.12599999993</v>
      </c>
      <c r="N61" s="12">
        <f t="shared" si="7"/>
        <v>967073.61399999971</v>
      </c>
      <c r="O61" s="12">
        <f t="shared" si="7"/>
        <v>824198.92800000019</v>
      </c>
      <c r="P61" s="12">
        <f t="shared" si="7"/>
        <v>437356.36999999994</v>
      </c>
      <c r="Q61" s="12">
        <f t="shared" si="7"/>
        <v>431721.05000000005</v>
      </c>
      <c r="R61" s="12">
        <f t="shared" si="7"/>
        <v>426458.81999999995</v>
      </c>
    </row>
    <row r="62" spans="1:21" s="180" customFormat="1" ht="13.5" thickBot="1" x14ac:dyDescent="0.25">
      <c r="A62" s="186" t="s">
        <v>116</v>
      </c>
      <c r="F62" s="241"/>
      <c r="G62" s="180">
        <f>SUM(G57:G60)-G61</f>
        <v>0</v>
      </c>
      <c r="H62" s="180">
        <f t="shared" ref="H62:R62" si="8">SUM(H57:H60)-H61</f>
        <v>0</v>
      </c>
      <c r="I62" s="180">
        <f t="shared" si="8"/>
        <v>0</v>
      </c>
      <c r="J62" s="180">
        <f t="shared" si="8"/>
        <v>0</v>
      </c>
      <c r="K62" s="180">
        <f t="shared" si="8"/>
        <v>0</v>
      </c>
      <c r="L62" s="180">
        <f t="shared" si="8"/>
        <v>0</v>
      </c>
      <c r="M62" s="180">
        <f t="shared" si="8"/>
        <v>0</v>
      </c>
      <c r="N62" s="180">
        <f t="shared" si="8"/>
        <v>0</v>
      </c>
      <c r="O62" s="180">
        <f t="shared" si="8"/>
        <v>0</v>
      </c>
      <c r="P62" s="180">
        <f t="shared" si="8"/>
        <v>0</v>
      </c>
      <c r="Q62" s="180">
        <f t="shared" si="8"/>
        <v>0</v>
      </c>
      <c r="R62" s="180">
        <f t="shared" si="8"/>
        <v>0</v>
      </c>
    </row>
    <row r="63" spans="1:21" s="180" customFormat="1" x14ac:dyDescent="0.2">
      <c r="A63" s="186"/>
      <c r="B63" s="177"/>
      <c r="C63" s="177"/>
      <c r="D63" s="177"/>
    </row>
    <row r="64" spans="1:21" s="177" customFormat="1" ht="15" x14ac:dyDescent="0.25">
      <c r="A64" s="176" t="s">
        <v>75</v>
      </c>
      <c r="D64" s="178">
        <f>+CONSUMPTION!E64</f>
        <v>240943600</v>
      </c>
      <c r="F64" s="181">
        <f>SUM(G64:R64)</f>
        <v>6622852.7199999997</v>
      </c>
      <c r="G64" s="181">
        <f>+'BILLED CONSUMPTION'!F64+'BILLED BASE'!E64</f>
        <v>418439.29</v>
      </c>
      <c r="H64" s="181">
        <f>+'BILLED CONSUMPTION'!G64+'BILLED BASE'!F64</f>
        <v>424670.93000000005</v>
      </c>
      <c r="I64" s="181">
        <f>+'BILLED CONSUMPTION'!H64+'BILLED BASE'!G64</f>
        <v>407382.68</v>
      </c>
      <c r="J64" s="181">
        <f>+'BILLED CONSUMPTION'!I64+'BILLED BASE'!H64</f>
        <v>428162.54</v>
      </c>
      <c r="K64" s="181">
        <f>+'BILLED CONSUMPTION'!J64+'BILLED BASE'!I64</f>
        <v>447083.31000000006</v>
      </c>
      <c r="L64" s="181">
        <f>+'BILLED CONSUMPTION'!K64+'BILLED BASE'!J64</f>
        <v>636477.55000000005</v>
      </c>
      <c r="M64" s="181">
        <f>+'BILLED CONSUMPTION'!L64+'BILLED BASE'!K64</f>
        <v>772627.56</v>
      </c>
      <c r="N64" s="181">
        <f>+'BILLED CONSUMPTION'!M64+'BILLED BASE'!L64</f>
        <v>964188.43</v>
      </c>
      <c r="O64" s="181">
        <f>+'BILLED CONSUMPTION'!N64+'BILLED BASE'!M64</f>
        <v>825056.47</v>
      </c>
      <c r="P64" s="181">
        <f>+'BILLED CONSUMPTION'!O64+'BILLED BASE'!N64</f>
        <v>438004.75</v>
      </c>
      <c r="Q64" s="181">
        <f>+'BILLED CONSUMPTION'!P64+'BILLED BASE'!O64</f>
        <v>432480.20999999996</v>
      </c>
      <c r="R64" s="181">
        <f>+'BILLED CONSUMPTION'!Q64+'BILLED BASE'!P64</f>
        <v>428279</v>
      </c>
    </row>
    <row r="65" spans="1:21" s="177" customFormat="1" ht="15" x14ac:dyDescent="0.25">
      <c r="A65" s="176" t="s">
        <v>68</v>
      </c>
      <c r="D65" s="178">
        <f>+D61-D64</f>
        <v>0</v>
      </c>
      <c r="F65" s="181">
        <f>+F64-F61</f>
        <v>4274.2799999983981</v>
      </c>
      <c r="G65" s="181">
        <f>+G64-G61</f>
        <v>2142.5700000000652</v>
      </c>
      <c r="H65" s="181">
        <f t="shared" ref="H65:R65" si="9">+H64-H61</f>
        <v>352.9100000000326</v>
      </c>
      <c r="I65" s="181">
        <f t="shared" si="9"/>
        <v>374.63000000006286</v>
      </c>
      <c r="J65" s="181">
        <f t="shared" si="9"/>
        <v>-67.049999999871943</v>
      </c>
      <c r="K65" s="181">
        <f t="shared" si="9"/>
        <v>56.770000000076834</v>
      </c>
      <c r="L65" s="181">
        <f t="shared" si="9"/>
        <v>-121.06199999980163</v>
      </c>
      <c r="M65" s="181">
        <f t="shared" si="9"/>
        <v>335.4340000001248</v>
      </c>
      <c r="N65" s="181">
        <f t="shared" si="9"/>
        <v>-2885.1839999996591</v>
      </c>
      <c r="O65" s="181">
        <f t="shared" si="9"/>
        <v>857.541999999783</v>
      </c>
      <c r="P65" s="181">
        <f t="shared" si="9"/>
        <v>648.38000000006286</v>
      </c>
      <c r="Q65" s="181">
        <f t="shared" si="9"/>
        <v>759.15999999991618</v>
      </c>
      <c r="R65" s="181">
        <f t="shared" si="9"/>
        <v>1820.1800000000512</v>
      </c>
      <c r="S65" s="187"/>
      <c r="U65" s="187"/>
    </row>
    <row r="66" spans="1:21" s="177" customFormat="1" x14ac:dyDescent="0.2">
      <c r="D66" s="185"/>
    </row>
    <row r="67" spans="1:21" s="183" customFormat="1" ht="15" x14ac:dyDescent="0.25">
      <c r="A67" s="182" t="s">
        <v>82</v>
      </c>
      <c r="C67" s="178"/>
      <c r="D67" s="178"/>
      <c r="E67" s="178"/>
      <c r="F67" s="181">
        <f>SUM(G67:R67)</f>
        <v>6693554.7599999998</v>
      </c>
      <c r="G67" s="181">
        <f>+'BILLED CONSUMPTION'!F67+'BILLED BASE'!E67</f>
        <v>426081.32</v>
      </c>
      <c r="H67" s="181">
        <f>+'BILLED CONSUMPTION'!G67+'BILLED BASE'!F67</f>
        <v>425641.51</v>
      </c>
      <c r="I67" s="181">
        <f>+'BILLED CONSUMPTION'!H67+'BILLED BASE'!G67</f>
        <v>409334.31</v>
      </c>
      <c r="J67" s="181">
        <f>+'BILLED CONSUMPTION'!I67+'BILLED BASE'!H67</f>
        <v>434398.30000000005</v>
      </c>
      <c r="K67" s="181">
        <f>+'BILLED CONSUMPTION'!J67+'BILLED BASE'!I67</f>
        <v>451165.15</v>
      </c>
      <c r="L67" s="181">
        <f>+'BILLED CONSUMPTION'!K67+'BILLED BASE'!J67</f>
        <v>637125.49</v>
      </c>
      <c r="M67" s="181">
        <f>+'BILLED CONSUMPTION'!L67+'BILLED BASE'!K67</f>
        <v>777511.28</v>
      </c>
      <c r="N67" s="181">
        <f>+'BILLED CONSUMPTION'!M67+'BILLED BASE'!L67</f>
        <v>972168.73</v>
      </c>
      <c r="O67" s="181">
        <f>+'BILLED CONSUMPTION'!N67+'BILLED BASE'!M67</f>
        <v>833990.75</v>
      </c>
      <c r="P67" s="181">
        <f>+'BILLED CONSUMPTION'!O67+'BILLED BASE'!N67</f>
        <v>456999.42000000004</v>
      </c>
      <c r="Q67" s="181">
        <f>+'BILLED CONSUMPTION'!P67+'BILLED BASE'!O67</f>
        <v>439317.92000000004</v>
      </c>
      <c r="R67" s="181">
        <f>+'BILLED CONSUMPTION'!Q67+'BILLED BASE'!P67</f>
        <v>429820.58</v>
      </c>
    </row>
    <row r="68" spans="1:21" s="177" customFormat="1" ht="15" x14ac:dyDescent="0.25">
      <c r="A68" s="176" t="s">
        <v>83</v>
      </c>
      <c r="C68" s="178"/>
      <c r="D68" s="178"/>
      <c r="E68" s="178"/>
      <c r="F68" s="181">
        <f>SUM(G68:R68)</f>
        <v>6622783.0600000005</v>
      </c>
      <c r="G68" s="181">
        <f>+G67+G55</f>
        <v>418450.74</v>
      </c>
      <c r="H68" s="181">
        <f t="shared" ref="H68:R68" si="10">+H67+H55</f>
        <v>424670.93</v>
      </c>
      <c r="I68" s="181">
        <f t="shared" si="10"/>
        <v>407382.68</v>
      </c>
      <c r="J68" s="181">
        <f t="shared" si="10"/>
        <v>428162.54000000004</v>
      </c>
      <c r="K68" s="181">
        <f t="shared" si="10"/>
        <v>447083.31</v>
      </c>
      <c r="L68" s="181">
        <f t="shared" si="10"/>
        <v>636477.55000000005</v>
      </c>
      <c r="M68" s="181">
        <f t="shared" si="10"/>
        <v>772627.56</v>
      </c>
      <c r="N68" s="181">
        <f t="shared" si="10"/>
        <v>964188.42999999993</v>
      </c>
      <c r="O68" s="181">
        <f t="shared" si="10"/>
        <v>825056.41</v>
      </c>
      <c r="P68" s="181">
        <f t="shared" si="10"/>
        <v>438004.75000000006</v>
      </c>
      <c r="Q68" s="181">
        <f t="shared" si="10"/>
        <v>432399.16000000003</v>
      </c>
      <c r="R68" s="181">
        <f t="shared" si="10"/>
        <v>428279</v>
      </c>
    </row>
    <row r="69" spans="1:21" s="177" customFormat="1" ht="15" x14ac:dyDescent="0.25">
      <c r="A69" s="176" t="s">
        <v>68</v>
      </c>
      <c r="C69" s="184"/>
      <c r="D69" s="184"/>
      <c r="E69" s="184"/>
      <c r="F69" s="181">
        <f>SUM(G69:R69)</f>
        <v>4204.6200000008685</v>
      </c>
      <c r="G69" s="181">
        <f>+G68-G61</f>
        <v>2154.0200000000768</v>
      </c>
      <c r="H69" s="181">
        <f t="shared" ref="H69:R69" si="11">+H68-H61</f>
        <v>352.90999999997439</v>
      </c>
      <c r="I69" s="181">
        <f t="shared" si="11"/>
        <v>374.63000000006286</v>
      </c>
      <c r="J69" s="181">
        <f t="shared" si="11"/>
        <v>-67.049999999813735</v>
      </c>
      <c r="K69" s="181">
        <f t="shared" si="11"/>
        <v>56.770000000018626</v>
      </c>
      <c r="L69" s="181">
        <f t="shared" si="11"/>
        <v>-121.06199999980163</v>
      </c>
      <c r="M69" s="181">
        <f t="shared" si="11"/>
        <v>335.4340000001248</v>
      </c>
      <c r="N69" s="181">
        <f t="shared" si="11"/>
        <v>-2885.1839999997756</v>
      </c>
      <c r="O69" s="181">
        <f t="shared" si="11"/>
        <v>857.48199999984354</v>
      </c>
      <c r="P69" s="181">
        <f t="shared" si="11"/>
        <v>648.38000000012107</v>
      </c>
      <c r="Q69" s="181">
        <f t="shared" si="11"/>
        <v>678.10999999998603</v>
      </c>
      <c r="R69" s="181">
        <f t="shared" si="11"/>
        <v>1820.1800000000512</v>
      </c>
    </row>
    <row r="71" spans="1:21" x14ac:dyDescent="0.2">
      <c r="N71" s="4" t="s">
        <v>92</v>
      </c>
      <c r="O71" s="4"/>
      <c r="P71" s="124"/>
      <c r="Q71" s="124"/>
      <c r="R71" s="83">
        <f>SUM($G64:R64)</f>
        <v>6622852.7199999997</v>
      </c>
    </row>
    <row r="72" spans="1:21" x14ac:dyDescent="0.2">
      <c r="N72" t="s">
        <v>93</v>
      </c>
      <c r="O72" t="s">
        <v>95</v>
      </c>
      <c r="P72" s="83"/>
      <c r="Q72" s="83"/>
      <c r="R72" s="83">
        <f>6636526.18+1376.64</f>
        <v>6637902.8199999994</v>
      </c>
    </row>
    <row r="73" spans="1:21" x14ac:dyDescent="0.2">
      <c r="N73" t="s">
        <v>94</v>
      </c>
      <c r="O73" t="s">
        <v>96</v>
      </c>
      <c r="P73" s="83"/>
      <c r="Q73" s="83"/>
      <c r="R73" s="83">
        <v>15050.1</v>
      </c>
    </row>
    <row r="74" spans="1:21" x14ac:dyDescent="0.2">
      <c r="N74" t="s">
        <v>97</v>
      </c>
      <c r="P74" s="84"/>
      <c r="Q74" s="84"/>
      <c r="R74" s="83">
        <f>+R71-R72+R73</f>
        <v>3.7289282772690058E-10</v>
      </c>
    </row>
    <row r="76" spans="1:21" x14ac:dyDescent="0.2">
      <c r="R76" s="19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72"/>
  <sheetViews>
    <sheetView zoomScaleNormal="100" workbookViewId="0">
      <pane xSplit="1" ySplit="2" topLeftCell="B56" activePane="bottomRight" state="frozen"/>
      <selection activeCell="A10" sqref="A10:XFD12"/>
      <selection pane="topRight" activeCell="A10" sqref="A10:XFD12"/>
      <selection pane="bottomLeft" activeCell="A10" sqref="A10:XFD12"/>
      <selection pane="bottomRight" activeCell="E67" sqref="E67"/>
    </sheetView>
  </sheetViews>
  <sheetFormatPr defaultColWidth="9.140625" defaultRowHeight="15" x14ac:dyDescent="0.25"/>
  <cols>
    <col min="1" max="1" width="32.28515625" style="111" customWidth="1"/>
    <col min="2" max="4" width="18.7109375" style="230" customWidth="1"/>
    <col min="5" max="5" width="18.140625" style="86" customWidth="1"/>
    <col min="6" max="6" width="24.140625" style="86" customWidth="1"/>
    <col min="7" max="7" width="9.7109375" style="86" bestFit="1" customWidth="1"/>
    <col min="8" max="16384" width="9.140625" style="86"/>
  </cols>
  <sheetData>
    <row r="1" spans="1:6" s="87" customFormat="1" x14ac:dyDescent="0.25">
      <c r="A1" s="119"/>
      <c r="B1" s="226" t="s">
        <v>111</v>
      </c>
      <c r="C1" s="226" t="s">
        <v>112</v>
      </c>
      <c r="D1" s="226" t="s">
        <v>113</v>
      </c>
      <c r="E1" s="226" t="s">
        <v>63</v>
      </c>
      <c r="F1" s="87" t="s">
        <v>114</v>
      </c>
    </row>
    <row r="2" spans="1:6" s="87" customFormat="1" ht="15.75" thickBot="1" x14ac:dyDescent="0.3">
      <c r="A2" s="119"/>
      <c r="B2" s="227" t="s">
        <v>52</v>
      </c>
      <c r="C2" s="227" t="s">
        <v>52</v>
      </c>
      <c r="D2" s="227" t="s">
        <v>52</v>
      </c>
      <c r="E2" s="227" t="s">
        <v>52</v>
      </c>
      <c r="F2" s="87" t="s">
        <v>115</v>
      </c>
    </row>
    <row r="3" spans="1:6" s="97" customFormat="1" ht="45" hidden="1" x14ac:dyDescent="0.25">
      <c r="A3" s="120" t="s">
        <v>58</v>
      </c>
      <c r="B3" s="228" t="s">
        <v>101</v>
      </c>
      <c r="C3" s="228" t="s">
        <v>101</v>
      </c>
      <c r="D3" s="228" t="s">
        <v>101</v>
      </c>
      <c r="E3" s="228" t="s">
        <v>101</v>
      </c>
    </row>
    <row r="4" spans="1:6" s="97" customFormat="1" hidden="1" x14ac:dyDescent="0.25">
      <c r="A4" s="121" t="s">
        <v>56</v>
      </c>
      <c r="B4" s="229"/>
      <c r="C4" s="229"/>
      <c r="D4" s="229"/>
      <c r="E4" s="229"/>
    </row>
    <row r="5" spans="1:6" s="97" customFormat="1" hidden="1" x14ac:dyDescent="0.25">
      <c r="A5" s="121"/>
      <c r="B5" s="229"/>
      <c r="C5" s="229"/>
      <c r="D5" s="229"/>
      <c r="E5" s="229"/>
    </row>
    <row r="6" spans="1:6" hidden="1" x14ac:dyDescent="0.25">
      <c r="A6" s="111" t="str">
        <f>+'Model CONSUMPTION'!A7</f>
        <v>Rate 1100 : Water - EASTWOOD PARK</v>
      </c>
      <c r="E6" s="230"/>
    </row>
    <row r="7" spans="1:6" hidden="1" x14ac:dyDescent="0.25">
      <c r="A7" s="201" t="s">
        <v>108</v>
      </c>
      <c r="B7" s="231"/>
      <c r="C7" s="231"/>
      <c r="D7" s="231"/>
      <c r="E7" s="231"/>
    </row>
    <row r="8" spans="1:6" hidden="1" x14ac:dyDescent="0.25">
      <c r="A8" s="111" t="str">
        <f>+'Model CONSUMPTION'!A13</f>
        <v>Rate 1105 : Water - RES METER 3/4 IN</v>
      </c>
      <c r="E8" s="230"/>
    </row>
    <row r="9" spans="1:6" hidden="1" x14ac:dyDescent="0.25">
      <c r="A9" s="111" t="str">
        <f>+'Model CONSUMPTION'!A16</f>
        <v>Rate 1110 : Water - RES MTER 1 IN</v>
      </c>
      <c r="E9" s="230"/>
    </row>
    <row r="10" spans="1:6" hidden="1" x14ac:dyDescent="0.25">
      <c r="A10" s="201" t="s">
        <v>106</v>
      </c>
      <c r="B10" s="231"/>
      <c r="C10" s="231"/>
      <c r="D10" s="231"/>
      <c r="E10" s="231"/>
    </row>
    <row r="11" spans="1:6" hidden="1" x14ac:dyDescent="0.25">
      <c r="A11" s="111" t="str">
        <f>+'Model CONSUMPTION'!A22</f>
        <v>Rate 1115 : Water - RES METER 1-1/2 IN</v>
      </c>
      <c r="E11" s="230"/>
    </row>
    <row r="12" spans="1:6" hidden="1" x14ac:dyDescent="0.25">
      <c r="A12" s="111" t="str">
        <f>+'Model CONSUMPTION'!A25</f>
        <v>Rate 1120 : Water - RES METER 2 IN</v>
      </c>
      <c r="E12" s="230"/>
    </row>
    <row r="13" spans="1:6" hidden="1" x14ac:dyDescent="0.25">
      <c r="A13" s="111" t="str">
        <f>+'Model CONSUMPTION'!A28</f>
        <v>Rate 1140 : Water - RES METER 4 IN</v>
      </c>
      <c r="E13" s="230"/>
    </row>
    <row r="14" spans="1:6" hidden="1" x14ac:dyDescent="0.25">
      <c r="E14" s="230"/>
    </row>
    <row r="15" spans="1:6" s="97" customFormat="1" hidden="1" x14ac:dyDescent="0.25">
      <c r="A15" s="120" t="s">
        <v>59</v>
      </c>
      <c r="B15" s="229"/>
      <c r="C15" s="229"/>
      <c r="D15" s="229"/>
      <c r="E15" s="229"/>
    </row>
    <row r="16" spans="1:6" s="97" customFormat="1" hidden="1" x14ac:dyDescent="0.25">
      <c r="A16" s="121" t="s">
        <v>56</v>
      </c>
      <c r="B16" s="229"/>
      <c r="C16" s="229"/>
      <c r="D16" s="229"/>
      <c r="E16" s="229"/>
    </row>
    <row r="17" spans="1:5" hidden="1" x14ac:dyDescent="0.25">
      <c r="A17" s="111" t="str">
        <f>+'Model CONSUMPTION'!A31</f>
        <v>Rate 1205 : Water - NON RES METER 3/4 IN</v>
      </c>
      <c r="E17" s="230"/>
    </row>
    <row r="18" spans="1:5" hidden="1" x14ac:dyDescent="0.25">
      <c r="A18" s="111" t="str">
        <f>+'Model CONSUMPTION'!A34</f>
        <v>Rate 1210 : Water - NON RES METER 1 IN</v>
      </c>
      <c r="E18" s="230"/>
    </row>
    <row r="19" spans="1:5" hidden="1" x14ac:dyDescent="0.25">
      <c r="A19" s="111" t="str">
        <f>+'Model CONSUMPTION'!A37</f>
        <v>Rate 1215 : Water - NON RES METER 1-1/2 IN</v>
      </c>
      <c r="E19" s="230"/>
    </row>
    <row r="20" spans="1:5" hidden="1" x14ac:dyDescent="0.25">
      <c r="A20" s="111" t="str">
        <f>+'Model CONSUMPTION'!A40</f>
        <v>Rate 1220 : Water - NON RES METER 2 IN</v>
      </c>
      <c r="E20" s="230"/>
    </row>
    <row r="21" spans="1:5" hidden="1" x14ac:dyDescent="0.25">
      <c r="A21" s="111" t="str">
        <f>+'Model CONSUMPTION'!A43</f>
        <v>Rate 1230 : Water - NON RES METER 3 IN</v>
      </c>
      <c r="E21" s="230"/>
    </row>
    <row r="22" spans="1:5" hidden="1" x14ac:dyDescent="0.25">
      <c r="A22" s="111" t="str">
        <f>+'Model CONSUMPTION'!A46</f>
        <v>Rate 1240 : Water - NON RES METER 4 IN</v>
      </c>
      <c r="E22" s="230"/>
    </row>
    <row r="23" spans="1:5" hidden="1" x14ac:dyDescent="0.25">
      <c r="A23" s="111" t="str">
        <f>+'Model CONSUMPTION'!A49</f>
        <v>Rate 1260 : Water - NON RES METER 6 IN</v>
      </c>
      <c r="E23" s="230"/>
    </row>
    <row r="24" spans="1:5" hidden="1" x14ac:dyDescent="0.25">
      <c r="E24" s="230"/>
    </row>
    <row r="25" spans="1:5" s="97" customFormat="1" hidden="1" x14ac:dyDescent="0.25">
      <c r="A25" s="120" t="s">
        <v>60</v>
      </c>
      <c r="B25" s="229"/>
      <c r="C25" s="229"/>
      <c r="D25" s="229"/>
      <c r="E25" s="229"/>
    </row>
    <row r="26" spans="1:5" s="97" customFormat="1" hidden="1" x14ac:dyDescent="0.25">
      <c r="A26" s="121" t="s">
        <v>56</v>
      </c>
      <c r="B26" s="229"/>
      <c r="C26" s="229"/>
      <c r="D26" s="229"/>
      <c r="E26" s="229"/>
    </row>
    <row r="27" spans="1:5" hidden="1" x14ac:dyDescent="0.25">
      <c r="A27" s="111" t="str">
        <f>+'Model CONSUMPTION'!A5</f>
        <v>Rate 0275 : Water METERED - FIRGROVE FALL</v>
      </c>
      <c r="E27" s="230"/>
    </row>
    <row r="28" spans="1:5" hidden="1" x14ac:dyDescent="0.25">
      <c r="A28" s="111" t="str">
        <f>+'Model CONSUMPTION'!A6</f>
        <v>Rate 0276 : Water METERED - FIRGROVE SPRING</v>
      </c>
      <c r="E28" s="230"/>
    </row>
    <row r="29" spans="1:5" hidden="1" x14ac:dyDescent="0.25">
      <c r="A29" s="111" t="str">
        <f>+'Model CONSUMPTION'!A52</f>
        <v>Rate 1300 : Water FLAT RATE</v>
      </c>
      <c r="E29" s="230"/>
    </row>
    <row r="30" spans="1:5" hidden="1" x14ac:dyDescent="0.25">
      <c r="A30" s="111" t="str">
        <f>+'Model CONSUMPTION'!A53</f>
        <v>Rate 1400 : METER NO BILL</v>
      </c>
      <c r="E30" s="230"/>
    </row>
    <row r="31" spans="1:5" hidden="1" x14ac:dyDescent="0.25">
      <c r="E31" s="230"/>
    </row>
    <row r="32" spans="1:5" s="97" customFormat="1" x14ac:dyDescent="0.25">
      <c r="A32" s="120" t="s">
        <v>58</v>
      </c>
      <c r="B32" s="229"/>
      <c r="C32" s="229"/>
      <c r="D32" s="229"/>
      <c r="E32" s="229"/>
    </row>
    <row r="33" spans="1:7" s="97" customFormat="1" ht="30" x14ac:dyDescent="0.25">
      <c r="A33" s="121" t="s">
        <v>57</v>
      </c>
      <c r="B33" s="229" t="s">
        <v>110</v>
      </c>
      <c r="C33" s="229" t="s">
        <v>110</v>
      </c>
      <c r="D33" s="229" t="s">
        <v>110</v>
      </c>
      <c r="E33" s="229" t="s">
        <v>110</v>
      </c>
    </row>
    <row r="34" spans="1:7" s="97" customFormat="1" ht="15" customHeight="1" x14ac:dyDescent="0.25">
      <c r="A34" s="111" t="str">
        <f>+'Model CONSUMPTION'!A9</f>
        <v>Rate 1100 : Water - EASTWOOD PARK</v>
      </c>
      <c r="B34" s="232">
        <f>+CONSUMPTION!E7+CONSUMPTION!E8+CONSUMPTION!E9</f>
        <v>0</v>
      </c>
      <c r="C34" s="232">
        <f>+CONSUMPTION!E7+CONSUMPTION!E8+CONSUMPTION!E9</f>
        <v>0</v>
      </c>
      <c r="D34" s="232">
        <f>+CONSUMPTION!E7+CONSUMPTION!E8+CONSUMPTION!E9</f>
        <v>0</v>
      </c>
      <c r="E34" s="234">
        <f t="shared" ref="E34:E38" si="0">SUM(B34:D34)</f>
        <v>0</v>
      </c>
    </row>
    <row r="35" spans="1:7" s="97" customFormat="1" ht="15" customHeight="1" x14ac:dyDescent="0.25">
      <c r="A35" s="201" t="s">
        <v>120</v>
      </c>
      <c r="B35" s="232">
        <f>+CONSUMPTION!E10</f>
        <v>45945000</v>
      </c>
      <c r="C35" s="232">
        <f>+CONSUMPTION!E11</f>
        <v>60606400</v>
      </c>
      <c r="D35" s="232">
        <f>+CONSUMPTION!E12</f>
        <v>13262600</v>
      </c>
      <c r="E35" s="234">
        <f t="shared" si="0"/>
        <v>119814000</v>
      </c>
    </row>
    <row r="36" spans="1:7" s="97" customFormat="1" ht="15" customHeight="1" x14ac:dyDescent="0.25">
      <c r="A36" s="111" t="str">
        <f>+'Model CONSUMPTION'!A13</f>
        <v>Rate 1105 : Water - RES METER 3/4 IN</v>
      </c>
      <c r="B36" s="232">
        <f>+CONSUMPTION!E13</f>
        <v>56328200</v>
      </c>
      <c r="C36" s="232">
        <f>+CONSUMPTION!E14</f>
        <v>21381800</v>
      </c>
      <c r="D36" s="232">
        <f>+CONSUMPTION!E15</f>
        <v>1672400</v>
      </c>
      <c r="E36" s="234">
        <f t="shared" si="0"/>
        <v>79382400</v>
      </c>
      <c r="G36" s="245"/>
    </row>
    <row r="37" spans="1:7" ht="14.25" customHeight="1" x14ac:dyDescent="0.25">
      <c r="A37" s="111" t="str">
        <f>+'Model CONSUMPTION'!A16</f>
        <v>Rate 1110 : Water - RES MTER 1 IN</v>
      </c>
      <c r="B37" s="232">
        <f>+CONSUMPTION!E16</f>
        <v>160100</v>
      </c>
      <c r="C37" s="232">
        <f>+CONSUMPTION!E17</f>
        <v>61700</v>
      </c>
      <c r="D37" s="232">
        <f>+CONSUMPTION!E18</f>
        <v>2500</v>
      </c>
      <c r="E37" s="234">
        <f t="shared" si="0"/>
        <v>224300</v>
      </c>
    </row>
    <row r="38" spans="1:7" ht="14.25" customHeight="1" x14ac:dyDescent="0.25">
      <c r="A38" s="201" t="s">
        <v>121</v>
      </c>
      <c r="B38" s="232">
        <f>+CONSUMPTION!E19</f>
        <v>188000</v>
      </c>
      <c r="C38" s="232">
        <f>+CONSUMPTION!E20</f>
        <v>315300</v>
      </c>
      <c r="D38" s="232">
        <f>+CONSUMPTION!E21</f>
        <v>92500</v>
      </c>
      <c r="E38" s="234">
        <f t="shared" si="0"/>
        <v>595800</v>
      </c>
      <c r="G38" s="234"/>
    </row>
    <row r="39" spans="1:7" ht="14.25" customHeight="1" x14ac:dyDescent="0.25">
      <c r="A39" s="111" t="str">
        <f>+'Model CONSUMPTION'!A22</f>
        <v>Rate 1115 : Water - RES METER 1-1/2 IN</v>
      </c>
      <c r="B39" s="232">
        <f>+CONSUMPTION!E22</f>
        <v>0</v>
      </c>
      <c r="C39" s="232">
        <f>+CONSUMPTION!E23</f>
        <v>0</v>
      </c>
      <c r="D39" s="232">
        <f>+CONSUMPTION!E24</f>
        <v>0</v>
      </c>
      <c r="E39" s="234">
        <f t="shared" ref="E39:E41" si="1">SUM(B39:D39)</f>
        <v>0</v>
      </c>
    </row>
    <row r="40" spans="1:7" x14ac:dyDescent="0.25">
      <c r="A40" s="111" t="str">
        <f>+'Model BILLABLE BASE'!A25</f>
        <v>Rate 1120 : Water - RES METER 2 IN</v>
      </c>
      <c r="B40" s="232">
        <f>+CONSUMPTION!E25</f>
        <v>163200</v>
      </c>
      <c r="C40" s="232">
        <f>+CONSUMPTION!E26</f>
        <v>501400</v>
      </c>
      <c r="D40" s="232">
        <f>+CONSUMPTION!E27</f>
        <v>836100</v>
      </c>
      <c r="E40" s="234">
        <f t="shared" si="1"/>
        <v>1500700</v>
      </c>
    </row>
    <row r="41" spans="1:7" x14ac:dyDescent="0.25">
      <c r="A41" s="111" t="str">
        <f>+'Model BILLABLE BASE'!A28</f>
        <v>Rate 1140 : Water - RES METER 4 IN</v>
      </c>
      <c r="B41" s="232">
        <f>+CONSUMPTION!E28</f>
        <v>180000</v>
      </c>
      <c r="C41" s="232">
        <f>+CONSUMPTION!E29</f>
        <v>339000</v>
      </c>
      <c r="D41" s="232">
        <f>+CONSUMPTION!E30</f>
        <v>255200</v>
      </c>
      <c r="E41" s="234">
        <f t="shared" si="1"/>
        <v>774200</v>
      </c>
    </row>
    <row r="42" spans="1:7" s="97" customFormat="1" x14ac:dyDescent="0.25">
      <c r="A42" s="120" t="s">
        <v>59</v>
      </c>
      <c r="B42" s="233"/>
      <c r="C42" s="233"/>
      <c r="D42" s="233"/>
    </row>
    <row r="43" spans="1:7" s="97" customFormat="1" x14ac:dyDescent="0.25">
      <c r="A43" s="121" t="s">
        <v>57</v>
      </c>
      <c r="B43" s="233"/>
      <c r="C43" s="233"/>
      <c r="D43" s="233"/>
    </row>
    <row r="44" spans="1:7" x14ac:dyDescent="0.25">
      <c r="A44" s="111" t="str">
        <f>+'Model BILLABLE BASE'!A31</f>
        <v>Rate 1205 : Water - NON RES METER 3/4 IN</v>
      </c>
      <c r="B44" s="232">
        <f>+CONSUMPTION!E31</f>
        <v>981600</v>
      </c>
      <c r="C44" s="232">
        <f>+CONSUMPTION!E32</f>
        <v>1718200</v>
      </c>
      <c r="D44" s="232">
        <f>+CONSUMPTION!E33</f>
        <v>1934700</v>
      </c>
      <c r="E44" s="234">
        <f t="shared" ref="E44:E50" si="2">SUM(B44:D44)</f>
        <v>4634500</v>
      </c>
      <c r="G44" s="234"/>
    </row>
    <row r="45" spans="1:7" x14ac:dyDescent="0.25">
      <c r="A45" s="111" t="str">
        <f>+'Model BILLABLE BASE'!A34</f>
        <v>Rate 1210 : Water - NON RES METER 1 IN</v>
      </c>
      <c r="B45" s="232">
        <f>+CONSUMPTION!E34</f>
        <v>1476900</v>
      </c>
      <c r="C45" s="232">
        <f>+CONSUMPTION!E35</f>
        <v>2470700</v>
      </c>
      <c r="D45" s="232">
        <f>+CONSUMPTION!E36</f>
        <v>2330700</v>
      </c>
      <c r="E45" s="234">
        <f t="shared" si="2"/>
        <v>6278300</v>
      </c>
    </row>
    <row r="46" spans="1:7" x14ac:dyDescent="0.25">
      <c r="A46" s="111" t="str">
        <f>+'Model BILLABLE BASE'!A37</f>
        <v>Rate 1215 : Water - NON RES METER 1-1/2 IN</v>
      </c>
      <c r="B46" s="232">
        <f>+CONSUMPTION!E37</f>
        <v>542700</v>
      </c>
      <c r="C46" s="232">
        <f>+CONSUMPTION!E38</f>
        <v>958200</v>
      </c>
      <c r="D46" s="232">
        <f>+CONSUMPTION!E39</f>
        <v>1435500</v>
      </c>
      <c r="E46" s="234">
        <f t="shared" si="2"/>
        <v>2936400</v>
      </c>
    </row>
    <row r="47" spans="1:7" x14ac:dyDescent="0.25">
      <c r="A47" s="111" t="str">
        <f>+'Model BILLABLE BASE'!A40</f>
        <v>Rate 1220 : Water - NON RES METER 2 IN</v>
      </c>
      <c r="B47" s="232">
        <f>+CONSUMPTION!E40</f>
        <v>4072300</v>
      </c>
      <c r="C47" s="232">
        <f>+CONSUMPTION!E41</f>
        <v>5118600</v>
      </c>
      <c r="D47" s="232">
        <f>+CONSUMPTION!E42</f>
        <v>4374600</v>
      </c>
      <c r="E47" s="234">
        <f t="shared" si="2"/>
        <v>13565500</v>
      </c>
      <c r="G47" s="234"/>
    </row>
    <row r="48" spans="1:7" x14ac:dyDescent="0.25">
      <c r="A48" s="111" t="str">
        <f>+'Model BILLABLE BASE'!A43</f>
        <v>Rate 1230 : Water - NON RES METER 3 IN</v>
      </c>
      <c r="B48" s="232">
        <f>+CONSUMPTION!E43</f>
        <v>1345600</v>
      </c>
      <c r="C48" s="232">
        <f>+CONSUMPTION!E44</f>
        <v>1823500</v>
      </c>
      <c r="D48" s="232">
        <f>+CONSUMPTION!E45</f>
        <v>731300</v>
      </c>
      <c r="E48" s="234">
        <f t="shared" si="2"/>
        <v>3900400</v>
      </c>
    </row>
    <row r="49" spans="1:5" x14ac:dyDescent="0.25">
      <c r="A49" s="111" t="str">
        <f>+'Model BILLABLE BASE'!A46</f>
        <v>Rate 1240 : Water - NON RES METER 4 IN</v>
      </c>
      <c r="B49" s="232">
        <f>+CONSUMPTION!E46</f>
        <v>181100</v>
      </c>
      <c r="C49" s="232">
        <f>+CONSUMPTION!E47</f>
        <v>367500</v>
      </c>
      <c r="D49" s="232">
        <f>+CONSUMPTION!E48</f>
        <v>707600</v>
      </c>
      <c r="E49" s="234">
        <f t="shared" si="2"/>
        <v>1256200</v>
      </c>
    </row>
    <row r="50" spans="1:5" x14ac:dyDescent="0.25">
      <c r="A50" s="111" t="str">
        <f>+'Model BILLABLE BASE'!A49</f>
        <v>Rate 1260 : Water - NON RES METER 6 IN</v>
      </c>
      <c r="B50" s="232">
        <f>+CONSUMPTION!E49</f>
        <v>450500</v>
      </c>
      <c r="C50" s="232">
        <f>+CONSUMPTION!E50</f>
        <v>806900</v>
      </c>
      <c r="D50" s="232">
        <f>+CONSUMPTION!E51</f>
        <v>3000</v>
      </c>
      <c r="E50" s="234">
        <f t="shared" si="2"/>
        <v>1260400</v>
      </c>
    </row>
    <row r="51" spans="1:5" x14ac:dyDescent="0.25">
      <c r="B51" s="232"/>
      <c r="C51" s="232"/>
      <c r="D51" s="232"/>
    </row>
    <row r="52" spans="1:5" s="97" customFormat="1" x14ac:dyDescent="0.25">
      <c r="A52" s="120" t="s">
        <v>60</v>
      </c>
      <c r="B52" s="233"/>
      <c r="C52" s="233"/>
      <c r="D52" s="233"/>
    </row>
    <row r="53" spans="1:5" s="97" customFormat="1" x14ac:dyDescent="0.25">
      <c r="A53" s="121" t="s">
        <v>57</v>
      </c>
      <c r="B53" s="233"/>
      <c r="C53" s="233"/>
      <c r="D53" s="233"/>
    </row>
    <row r="54" spans="1:5" s="97" customFormat="1" x14ac:dyDescent="0.25">
      <c r="A54" s="111" t="str">
        <f>+'Model CONSUMPTION'!A3</f>
        <v>Rate 0275 : Water METERED - FIRGROVE FALL</v>
      </c>
      <c r="B54" s="232">
        <f>+CONSUMPTION!E3</f>
        <v>49600</v>
      </c>
      <c r="C54" s="232">
        <f>+CONSUMPTION!E4</f>
        <v>4700</v>
      </c>
      <c r="D54" s="232">
        <f>+CONSUMPTION!E5</f>
        <v>0</v>
      </c>
      <c r="E54" s="234">
        <f t="shared" ref="E54:E57" si="3">SUM(B54:D54)</f>
        <v>54300</v>
      </c>
    </row>
    <row r="55" spans="1:5" s="97" customFormat="1" x14ac:dyDescent="0.25">
      <c r="A55" s="111" t="str">
        <f>+'Model CONSUMPTION'!A6</f>
        <v>Rate 0276 : Water METERED - FIRGROVE SPRING</v>
      </c>
      <c r="B55" s="232">
        <f>+CONSUMPTION!E6</f>
        <v>143500</v>
      </c>
      <c r="C55" s="232"/>
      <c r="D55" s="232"/>
      <c r="E55" s="234">
        <f t="shared" si="3"/>
        <v>143500</v>
      </c>
    </row>
    <row r="56" spans="1:5" x14ac:dyDescent="0.25">
      <c r="A56" s="111" t="str">
        <f>+'Model BILLABLE BASE'!A52</f>
        <v>Rate 1300 : Water FLAT RATE</v>
      </c>
      <c r="B56" s="232">
        <f>+CONSUMPTION!E52</f>
        <v>0</v>
      </c>
      <c r="C56" s="232"/>
      <c r="D56" s="232"/>
      <c r="E56" s="234">
        <f t="shared" si="3"/>
        <v>0</v>
      </c>
    </row>
    <row r="57" spans="1:5" x14ac:dyDescent="0.25">
      <c r="A57" s="111" t="s">
        <v>77</v>
      </c>
      <c r="B57" s="232">
        <f>+CONSUMPTION!E53</f>
        <v>4622700</v>
      </c>
      <c r="C57" s="232">
        <f>+CONSUMPTION!E54</f>
        <v>0</v>
      </c>
      <c r="D57" s="232">
        <f>+CONSUMPTION!E55</f>
        <v>0</v>
      </c>
      <c r="E57" s="234">
        <f t="shared" si="3"/>
        <v>4622700</v>
      </c>
    </row>
    <row r="58" spans="1:5" x14ac:dyDescent="0.25">
      <c r="B58" s="232"/>
      <c r="C58" s="232"/>
      <c r="D58" s="232"/>
    </row>
    <row r="59" spans="1:5" s="97" customFormat="1" x14ac:dyDescent="0.25">
      <c r="A59" s="120" t="s">
        <v>62</v>
      </c>
      <c r="B59" s="233"/>
      <c r="C59" s="233"/>
      <c r="D59" s="233"/>
    </row>
    <row r="60" spans="1:5" s="97" customFormat="1" x14ac:dyDescent="0.25">
      <c r="A60" s="121" t="s">
        <v>57</v>
      </c>
      <c r="B60" s="233"/>
      <c r="C60" s="233"/>
      <c r="D60" s="233"/>
    </row>
    <row r="61" spans="1:5" x14ac:dyDescent="0.25">
      <c r="A61" s="111" t="str">
        <f>+'Model BILLABLE BASE'!A58</f>
        <v>Residential Total</v>
      </c>
      <c r="B61" s="232">
        <f>SUM(B34:B41)</f>
        <v>102964500</v>
      </c>
      <c r="C61" s="232">
        <f>SUM(C34:C41)</f>
        <v>83205600</v>
      </c>
      <c r="D61" s="232">
        <f t="shared" ref="D61" si="4">SUM(D34:D41)</f>
        <v>16121300</v>
      </c>
      <c r="E61" s="234">
        <f t="shared" ref="E61:E64" si="5">SUM(B61:D61)</f>
        <v>202291400</v>
      </c>
    </row>
    <row r="62" spans="1:5" x14ac:dyDescent="0.25">
      <c r="A62" s="111" t="str">
        <f>+'Model BILLABLE BASE'!A59</f>
        <v>Non Residential Total</v>
      </c>
      <c r="B62" s="232">
        <f>SUM(B44:B50)</f>
        <v>9050700</v>
      </c>
      <c r="C62" s="232">
        <f>SUM(C44:C50)</f>
        <v>13263600</v>
      </c>
      <c r="D62" s="232">
        <f t="shared" ref="D62" si="6">SUM(D44:D50)</f>
        <v>11517400</v>
      </c>
      <c r="E62" s="234">
        <f t="shared" si="5"/>
        <v>33831700</v>
      </c>
    </row>
    <row r="63" spans="1:5" x14ac:dyDescent="0.25">
      <c r="A63" s="111" t="str">
        <f>+'Model BILLABLE BASE'!A57</f>
        <v>Wholesale Total</v>
      </c>
      <c r="B63" s="232">
        <f>SUM(B54:B55)</f>
        <v>193100</v>
      </c>
      <c r="C63" s="232">
        <f>SUM(C54:C55)</f>
        <v>4700</v>
      </c>
      <c r="D63" s="232">
        <f t="shared" ref="D63" si="7">SUM(D54:D55)</f>
        <v>0</v>
      </c>
      <c r="E63" s="234">
        <f t="shared" si="5"/>
        <v>197800</v>
      </c>
    </row>
    <row r="64" spans="1:5" x14ac:dyDescent="0.25">
      <c r="A64" s="111" t="s">
        <v>84</v>
      </c>
      <c r="B64" s="232">
        <f>SUM(B56)</f>
        <v>0</v>
      </c>
      <c r="C64" s="232">
        <f>SUM(C56)</f>
        <v>0</v>
      </c>
      <c r="D64" s="232">
        <f t="shared" ref="D64" si="8">SUM(D56)</f>
        <v>0</v>
      </c>
      <c r="E64" s="234">
        <f t="shared" si="5"/>
        <v>0</v>
      </c>
    </row>
    <row r="65" spans="1:5" x14ac:dyDescent="0.25">
      <c r="A65" s="111" t="s">
        <v>85</v>
      </c>
      <c r="B65" s="232">
        <f>SUM(B57)</f>
        <v>4622700</v>
      </c>
      <c r="C65" s="232">
        <f>SUM(C57)</f>
        <v>0</v>
      </c>
      <c r="D65" s="232">
        <f t="shared" ref="D65" si="9">SUM(D57)</f>
        <v>0</v>
      </c>
      <c r="E65" s="234">
        <f>SUM(B65:D65)</f>
        <v>4622700</v>
      </c>
    </row>
    <row r="66" spans="1:5" x14ac:dyDescent="0.25">
      <c r="A66" s="111" t="str">
        <f>+'Model BILLABLE BASE'!A61</f>
        <v xml:space="preserve">  TOTAL</v>
      </c>
      <c r="B66" s="238">
        <f>SUM(B61:B65)</f>
        <v>116831000</v>
      </c>
      <c r="C66" s="238">
        <f>SUM(C61:C65)</f>
        <v>96473900</v>
      </c>
      <c r="D66" s="238">
        <f t="shared" ref="D66" si="10">SUM(D61:D65)</f>
        <v>27638700</v>
      </c>
      <c r="E66" s="239">
        <f>SUM(B66:D66)</f>
        <v>240943600</v>
      </c>
    </row>
    <row r="67" spans="1:5" s="111" customFormat="1" x14ac:dyDescent="0.25">
      <c r="A67" s="111" t="str">
        <f>+'Model BILLABLE BASE'!A62</f>
        <v xml:space="preserve">   check total</v>
      </c>
      <c r="B67" s="232"/>
      <c r="C67" s="235"/>
      <c r="D67" s="232"/>
      <c r="E67" s="237">
        <f>+CONSUMPTION!E64</f>
        <v>240943600</v>
      </c>
    </row>
    <row r="68" spans="1:5" s="111" customFormat="1" x14ac:dyDescent="0.25">
      <c r="A68" s="111" t="s">
        <v>64</v>
      </c>
      <c r="B68" s="15"/>
      <c r="C68" s="15"/>
      <c r="D68" s="15"/>
      <c r="E68" s="236">
        <f>+E66-E67</f>
        <v>0</v>
      </c>
    </row>
    <row r="71" spans="1:5" ht="45" customHeight="1" x14ac:dyDescent="0.25"/>
    <row r="72" spans="1:5" x14ac:dyDescent="0.25">
      <c r="A72" s="86"/>
    </row>
  </sheetData>
  <pageMargins left="0.2" right="0.19" top="0.75" bottom="0.54" header="0.3" footer="0.3"/>
  <pageSetup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8" tint="-0.249977111117893"/>
  </sheetPr>
  <dimension ref="A1:T72"/>
  <sheetViews>
    <sheetView workbookViewId="0">
      <pane xSplit="1" ySplit="1" topLeftCell="Q59" activePane="bottomRight" state="frozen"/>
      <selection activeCell="F26" sqref="F26"/>
      <selection pane="topRight" activeCell="F26" sqref="F26"/>
      <selection pane="bottomLeft" activeCell="F26" sqref="F26"/>
      <selection pane="bottomRight" activeCell="F21" sqref="F21"/>
    </sheetView>
  </sheetViews>
  <sheetFormatPr defaultRowHeight="12.75" x14ac:dyDescent="0.2"/>
  <cols>
    <col min="1" max="1" width="42.5703125" customWidth="1"/>
    <col min="2" max="3" width="14" customWidth="1"/>
    <col min="4" max="4" width="14" style="77" customWidth="1"/>
    <col min="5" max="5" width="8.7109375" style="78" customWidth="1"/>
    <col min="6" max="19" width="14" customWidth="1"/>
  </cols>
  <sheetData>
    <row r="1" spans="1:20" s="4" customFormat="1" ht="45" x14ac:dyDescent="0.2">
      <c r="A1" s="3" t="s">
        <v>0</v>
      </c>
      <c r="B1" s="35" t="s">
        <v>28</v>
      </c>
      <c r="C1" s="36" t="s">
        <v>2</v>
      </c>
      <c r="D1" s="38" t="s">
        <v>29</v>
      </c>
      <c r="E1" s="39" t="s">
        <v>34</v>
      </c>
      <c r="F1" s="3" t="s">
        <v>3</v>
      </c>
      <c r="G1" s="24" t="s">
        <v>38</v>
      </c>
      <c r="H1" s="5">
        <f>+CONSUMPTION!F1</f>
        <v>43112</v>
      </c>
      <c r="I1" s="5">
        <f>+CONSUMPTION!G1</f>
        <v>43143</v>
      </c>
      <c r="J1" s="5">
        <f>+CONSUMPTION!H1</f>
        <v>43171</v>
      </c>
      <c r="K1" s="5">
        <f>+CONSUMPTION!I1</f>
        <v>43202</v>
      </c>
      <c r="L1" s="5">
        <f>+CONSUMPTION!J1</f>
        <v>43232</v>
      </c>
      <c r="M1" s="5">
        <f>+CONSUMPTION!K1</f>
        <v>43263</v>
      </c>
      <c r="N1" s="5">
        <f>+CONSUMPTION!L1</f>
        <v>43293</v>
      </c>
      <c r="O1" s="5">
        <f>+CONSUMPTION!M1</f>
        <v>43324</v>
      </c>
      <c r="P1" s="5">
        <f>+CONSUMPTION!N1</f>
        <v>43355</v>
      </c>
      <c r="Q1" s="5">
        <f>+CONSUMPTION!O1</f>
        <v>43385</v>
      </c>
      <c r="R1" s="5">
        <f>+CONSUMPTION!P1</f>
        <v>43416</v>
      </c>
      <c r="S1" s="5">
        <f>+CONSUMPTION!Q1</f>
        <v>43446</v>
      </c>
    </row>
    <row r="2" spans="1:20" s="4" customFormat="1" ht="15" x14ac:dyDescent="0.2">
      <c r="A2" s="29"/>
      <c r="B2" s="29"/>
      <c r="C2" s="33"/>
      <c r="D2" s="40"/>
      <c r="E2" s="41"/>
      <c r="F2" s="29"/>
      <c r="G2" s="29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2"/>
    </row>
    <row r="3" spans="1:20" ht="15" x14ac:dyDescent="0.25">
      <c r="A3" s="27" t="s">
        <v>4</v>
      </c>
      <c r="B3" s="135">
        <f>+'Modeling &amp; Presentation'!F27</f>
        <v>0</v>
      </c>
      <c r="C3" s="157">
        <f>+CONSUMPTION!D3</f>
        <v>10000</v>
      </c>
      <c r="D3" s="42">
        <f>+CONSUMPTION!C3</f>
        <v>0</v>
      </c>
      <c r="E3" s="43"/>
      <c r="F3" s="158">
        <f>+CONSUMPTION!E3</f>
        <v>49600</v>
      </c>
      <c r="G3" s="156">
        <f>SUM(H3:S3)</f>
        <v>0</v>
      </c>
      <c r="H3" s="52">
        <f>+CONSUMPTION!F3*$B3</f>
        <v>0</v>
      </c>
      <c r="I3" s="52">
        <f>+CONSUMPTION!G3*$B3</f>
        <v>0</v>
      </c>
      <c r="J3" s="52">
        <f>+CONSUMPTION!H3*$B3</f>
        <v>0</v>
      </c>
      <c r="K3" s="52">
        <f>+CONSUMPTION!I3*$B3</f>
        <v>0</v>
      </c>
      <c r="L3" s="52">
        <f>+CONSUMPTION!J3*$B3</f>
        <v>0</v>
      </c>
      <c r="M3" s="52">
        <f>+CONSUMPTION!K3*$B3</f>
        <v>0</v>
      </c>
      <c r="N3" s="52">
        <f>+CONSUMPTION!L3*$B3</f>
        <v>0</v>
      </c>
      <c r="O3" s="52">
        <f>+CONSUMPTION!M3*$B3</f>
        <v>0</v>
      </c>
      <c r="P3" s="52">
        <f>+CONSUMPTION!N3*$B3</f>
        <v>0</v>
      </c>
      <c r="Q3" s="52">
        <f>+CONSUMPTION!O3*$B3</f>
        <v>0</v>
      </c>
      <c r="R3" s="52">
        <f>+CONSUMPTION!P3*$B3</f>
        <v>0</v>
      </c>
      <c r="S3" s="52">
        <f>+CONSUMPTION!Q3*$B3</f>
        <v>0</v>
      </c>
    </row>
    <row r="4" spans="1:20" ht="15" x14ac:dyDescent="0.25">
      <c r="A4" s="1" t="s">
        <v>4</v>
      </c>
      <c r="B4" s="136">
        <f>+'Modeling &amp; Presentation'!I27</f>
        <v>8.5000000000000006E-3</v>
      </c>
      <c r="C4" s="157">
        <f>+CONSUMPTION!D4</f>
        <v>60000</v>
      </c>
      <c r="D4" s="42">
        <f>+CONSUMPTION!C4</f>
        <v>8.5000000000000006E-3</v>
      </c>
      <c r="E4" s="43">
        <f>+B4/D4-1</f>
        <v>0</v>
      </c>
      <c r="F4" s="158">
        <f>+CONSUMPTION!E4</f>
        <v>4700</v>
      </c>
      <c r="G4" s="156">
        <f t="shared" ref="G4:G55" si="0">SUM(H4:S4)</f>
        <v>39.950000000000003</v>
      </c>
      <c r="H4" s="52">
        <f>+CONSUMPTION!F4*$B4</f>
        <v>0</v>
      </c>
      <c r="I4" s="52">
        <f>+CONSUMPTION!G4*$B4</f>
        <v>0</v>
      </c>
      <c r="J4" s="52">
        <f>+CONSUMPTION!H4*$B4</f>
        <v>0</v>
      </c>
      <c r="K4" s="52">
        <f>+CONSUMPTION!I4*$B4</f>
        <v>0</v>
      </c>
      <c r="L4" s="52">
        <f>+CONSUMPTION!J4*$B4</f>
        <v>39.950000000000003</v>
      </c>
      <c r="M4" s="52">
        <f>+CONSUMPTION!K4*$B4</f>
        <v>0</v>
      </c>
      <c r="N4" s="52">
        <f>+CONSUMPTION!L4*$B4</f>
        <v>0</v>
      </c>
      <c r="O4" s="52">
        <f>+CONSUMPTION!M4*$B4</f>
        <v>0</v>
      </c>
      <c r="P4" s="52">
        <f>+CONSUMPTION!N4*$B4</f>
        <v>0</v>
      </c>
      <c r="Q4" s="52">
        <f>+CONSUMPTION!O4*$B4</f>
        <v>0</v>
      </c>
      <c r="R4" s="52">
        <f>+CONSUMPTION!P4*$B4</f>
        <v>0</v>
      </c>
      <c r="S4" s="52">
        <f>+CONSUMPTION!Q4*$B4</f>
        <v>0</v>
      </c>
    </row>
    <row r="5" spans="1:20" ht="15" x14ac:dyDescent="0.25">
      <c r="A5" s="1" t="s">
        <v>4</v>
      </c>
      <c r="B5" s="136">
        <f>+'Modeling &amp; Presentation'!L27</f>
        <v>0.05</v>
      </c>
      <c r="C5" s="157">
        <f>+CONSUMPTION!D5</f>
        <v>999999999</v>
      </c>
      <c r="D5" s="42">
        <f>+CONSUMPTION!C5</f>
        <v>0.05</v>
      </c>
      <c r="E5" s="43">
        <f t="shared" ref="E5:E51" si="1">+B5/D5-1</f>
        <v>0</v>
      </c>
      <c r="F5" s="158">
        <f>+CONSUMPTION!E5</f>
        <v>0</v>
      </c>
      <c r="G5" s="156">
        <f t="shared" si="0"/>
        <v>0</v>
      </c>
      <c r="H5" s="52">
        <f>+CONSUMPTION!F5*$B5</f>
        <v>0</v>
      </c>
      <c r="I5" s="52">
        <f>+CONSUMPTION!G5*$B5</f>
        <v>0</v>
      </c>
      <c r="J5" s="52">
        <f>+CONSUMPTION!H5*$B5</f>
        <v>0</v>
      </c>
      <c r="K5" s="52">
        <f>+CONSUMPTION!I5*$B5</f>
        <v>0</v>
      </c>
      <c r="L5" s="52">
        <f>+CONSUMPTION!J5*$B5</f>
        <v>0</v>
      </c>
      <c r="M5" s="52">
        <f>+CONSUMPTION!K5*$B5</f>
        <v>0</v>
      </c>
      <c r="N5" s="52">
        <f>+CONSUMPTION!L5*$B5</f>
        <v>0</v>
      </c>
      <c r="O5" s="52">
        <f>+CONSUMPTION!M5*$B5</f>
        <v>0</v>
      </c>
      <c r="P5" s="52">
        <f>+CONSUMPTION!N5*$B5</f>
        <v>0</v>
      </c>
      <c r="Q5" s="52">
        <f>+CONSUMPTION!O5*$B5</f>
        <v>0</v>
      </c>
      <c r="R5" s="52">
        <f>+CONSUMPTION!P5*$B5</f>
        <v>0</v>
      </c>
      <c r="S5" s="52">
        <f>+CONSUMPTION!Q5*$B5</f>
        <v>0</v>
      </c>
    </row>
    <row r="6" spans="1:20" ht="30" x14ac:dyDescent="0.25">
      <c r="A6" s="1" t="s">
        <v>5</v>
      </c>
      <c r="B6" s="136">
        <f>+'Modeling &amp; Presentation'!F28</f>
        <v>2.1839999999999998E-2</v>
      </c>
      <c r="C6" s="157">
        <f>+CONSUMPTION!D6</f>
        <v>999999999</v>
      </c>
      <c r="D6" s="42">
        <f>+CONSUMPTION!C6</f>
        <v>2.1839999999999998E-2</v>
      </c>
      <c r="E6" s="43">
        <f t="shared" si="1"/>
        <v>0</v>
      </c>
      <c r="F6" s="158">
        <f>+CONSUMPTION!E6</f>
        <v>143500</v>
      </c>
      <c r="G6" s="156">
        <f t="shared" si="0"/>
        <v>3134.04</v>
      </c>
      <c r="H6" s="52">
        <f>+CONSUMPTION!F6*$B6</f>
        <v>0</v>
      </c>
      <c r="I6" s="52">
        <f>+CONSUMPTION!G6*$B6</f>
        <v>0</v>
      </c>
      <c r="J6" s="52">
        <f>+CONSUMPTION!H6*$B6</f>
        <v>0</v>
      </c>
      <c r="K6" s="52">
        <f>+CONSUMPTION!I6*$B6</f>
        <v>0</v>
      </c>
      <c r="L6" s="52">
        <f>+CONSUMPTION!J6*$B6</f>
        <v>0</v>
      </c>
      <c r="M6" s="52">
        <f>+CONSUMPTION!K6*$B6</f>
        <v>585.3119999999999</v>
      </c>
      <c r="N6" s="52">
        <f>+CONSUMPTION!L6*$B6</f>
        <v>805.89599999999996</v>
      </c>
      <c r="O6" s="52">
        <f>+CONSUMPTION!M6*$B6</f>
        <v>908.54399999999998</v>
      </c>
      <c r="P6" s="52">
        <f>+CONSUMPTION!N6*$B6</f>
        <v>834.2879999999999</v>
      </c>
      <c r="Q6" s="52">
        <f>+CONSUMPTION!O6*$B6</f>
        <v>0</v>
      </c>
      <c r="R6" s="52">
        <f>+CONSUMPTION!P6*$B6</f>
        <v>0</v>
      </c>
      <c r="S6" s="52">
        <f>+CONSUMPTION!Q6*$B6</f>
        <v>0</v>
      </c>
    </row>
    <row r="7" spans="1:20" ht="15" x14ac:dyDescent="0.25">
      <c r="A7" s="110" t="s">
        <v>98</v>
      </c>
      <c r="B7" s="136">
        <f>+'Modeling &amp; Presentation'!F6</f>
        <v>1.06E-2</v>
      </c>
      <c r="C7" s="157">
        <f>+CONSUMPTION!D7</f>
        <v>500</v>
      </c>
      <c r="D7" s="42">
        <f>+CONSUMPTION!C7</f>
        <v>0.01</v>
      </c>
      <c r="E7" s="43">
        <f t="shared" ref="E7:E12" si="2">+B7/D7-1</f>
        <v>6.0000000000000053E-2</v>
      </c>
      <c r="F7" s="158">
        <f>+CONSUMPTION!E7</f>
        <v>0</v>
      </c>
      <c r="G7" s="156">
        <f t="shared" ref="G7:G9" si="3">SUM(H7:S7)</f>
        <v>0</v>
      </c>
      <c r="H7" s="52">
        <f>+CONSUMPTION!F7*$B7</f>
        <v>0</v>
      </c>
      <c r="I7" s="52">
        <f>+CONSUMPTION!G7*$B7</f>
        <v>0</v>
      </c>
      <c r="J7" s="52">
        <f>+CONSUMPTION!H7*$B7</f>
        <v>0</v>
      </c>
      <c r="K7" s="52">
        <f>+CONSUMPTION!I7*$B7</f>
        <v>0</v>
      </c>
      <c r="L7" s="52">
        <f>+CONSUMPTION!J7*$B7</f>
        <v>0</v>
      </c>
      <c r="M7" s="52">
        <f>+CONSUMPTION!K7*$B7</f>
        <v>0</v>
      </c>
      <c r="N7" s="52">
        <f>+CONSUMPTION!L7*$B7</f>
        <v>0</v>
      </c>
      <c r="O7" s="52">
        <f>+CONSUMPTION!M7*$B7</f>
        <v>0</v>
      </c>
      <c r="P7" s="52">
        <f>+CONSUMPTION!N7*$B7</f>
        <v>0</v>
      </c>
      <c r="Q7" s="52">
        <f>+CONSUMPTION!O7*$B7</f>
        <v>0</v>
      </c>
      <c r="R7" s="52">
        <f>+CONSUMPTION!P7*$B7</f>
        <v>0</v>
      </c>
      <c r="S7" s="52">
        <f>+CONSUMPTION!Q7*$B7</f>
        <v>0</v>
      </c>
    </row>
    <row r="8" spans="1:20" ht="15" x14ac:dyDescent="0.25">
      <c r="A8" s="110" t="s">
        <v>98</v>
      </c>
      <c r="B8" s="136">
        <f>+'Modeling &amp; Presentation'!I6</f>
        <v>1.2500000000000001E-2</v>
      </c>
      <c r="C8" s="157">
        <f>+CONSUMPTION!D8</f>
        <v>500</v>
      </c>
      <c r="D8" s="42">
        <f>+CONSUMPTION!C8</f>
        <v>1.2500000000000001E-2</v>
      </c>
      <c r="E8" s="43">
        <f t="shared" si="2"/>
        <v>0</v>
      </c>
      <c r="F8" s="158">
        <f>+CONSUMPTION!E8</f>
        <v>0</v>
      </c>
      <c r="G8" s="156">
        <f t="shared" si="3"/>
        <v>0</v>
      </c>
      <c r="H8" s="52">
        <f>+CONSUMPTION!F8*$B8</f>
        <v>0</v>
      </c>
      <c r="I8" s="52">
        <f>+CONSUMPTION!G8*$B8</f>
        <v>0</v>
      </c>
      <c r="J8" s="52">
        <f>+CONSUMPTION!H8*$B8</f>
        <v>0</v>
      </c>
      <c r="K8" s="52">
        <f>+CONSUMPTION!I8*$B8</f>
        <v>0</v>
      </c>
      <c r="L8" s="52">
        <f>+CONSUMPTION!J8*$B8</f>
        <v>0</v>
      </c>
      <c r="M8" s="52">
        <f>+CONSUMPTION!K8*$B8</f>
        <v>0</v>
      </c>
      <c r="N8" s="52">
        <f>+CONSUMPTION!L8*$B8</f>
        <v>0</v>
      </c>
      <c r="O8" s="52">
        <f>+CONSUMPTION!M8*$B8</f>
        <v>0</v>
      </c>
      <c r="P8" s="52">
        <f>+CONSUMPTION!N8*$B8</f>
        <v>0</v>
      </c>
      <c r="Q8" s="52">
        <f>+CONSUMPTION!O8*$B8</f>
        <v>0</v>
      </c>
      <c r="R8" s="52">
        <f>+CONSUMPTION!P8*$B8</f>
        <v>0</v>
      </c>
      <c r="S8" s="52">
        <f>+CONSUMPTION!Q8*$B8</f>
        <v>0</v>
      </c>
    </row>
    <row r="9" spans="1:20" ht="15" x14ac:dyDescent="0.25">
      <c r="A9" s="110" t="s">
        <v>98</v>
      </c>
      <c r="B9" s="136">
        <f>+'Modeling &amp; Presentation'!L6</f>
        <v>1.6E-2</v>
      </c>
      <c r="C9" s="157">
        <f>+CONSUMPTION!D9</f>
        <v>999999999</v>
      </c>
      <c r="D9" s="42">
        <f>+CONSUMPTION!C9</f>
        <v>1.6E-2</v>
      </c>
      <c r="E9" s="43">
        <f t="shared" si="2"/>
        <v>0</v>
      </c>
      <c r="F9" s="158">
        <f>+CONSUMPTION!E9</f>
        <v>0</v>
      </c>
      <c r="G9" s="156">
        <f t="shared" si="3"/>
        <v>0</v>
      </c>
      <c r="H9" s="52">
        <f>+CONSUMPTION!F9*$B9</f>
        <v>0</v>
      </c>
      <c r="I9" s="52">
        <f>+CONSUMPTION!G9*$B9</f>
        <v>0</v>
      </c>
      <c r="J9" s="52">
        <f>+CONSUMPTION!H9*$B9</f>
        <v>0</v>
      </c>
      <c r="K9" s="52">
        <f>+CONSUMPTION!I9*$B9</f>
        <v>0</v>
      </c>
      <c r="L9" s="52">
        <f>+CONSUMPTION!J9*$B9</f>
        <v>0</v>
      </c>
      <c r="M9" s="52">
        <f>+CONSUMPTION!K9*$B9</f>
        <v>0</v>
      </c>
      <c r="N9" s="52">
        <f>+CONSUMPTION!L9*$B9</f>
        <v>0</v>
      </c>
      <c r="O9" s="52">
        <f>+CONSUMPTION!M9*$B9</f>
        <v>0</v>
      </c>
      <c r="P9" s="52">
        <f>+CONSUMPTION!N9*$B9</f>
        <v>0</v>
      </c>
      <c r="Q9" s="52">
        <f>+CONSUMPTION!O9*$B9</f>
        <v>0</v>
      </c>
      <c r="R9" s="52">
        <f>+CONSUMPTION!P9*$B9</f>
        <v>0</v>
      </c>
      <c r="S9" s="52">
        <f>+CONSUMPTION!Q9*$B9</f>
        <v>0</v>
      </c>
    </row>
    <row r="10" spans="1:20" ht="15" x14ac:dyDescent="0.25">
      <c r="A10" s="200" t="s">
        <v>104</v>
      </c>
      <c r="B10" s="136">
        <f>+'Modeling &amp; Presentation'!F7</f>
        <v>1.06E-2</v>
      </c>
      <c r="C10" s="157">
        <f>+CONSUMPTION!D10</f>
        <v>600</v>
      </c>
      <c r="D10" s="42">
        <f>+CONSUMPTION!C10</f>
        <v>0.01</v>
      </c>
      <c r="E10" s="43">
        <f t="shared" si="2"/>
        <v>6.0000000000000053E-2</v>
      </c>
      <c r="F10" s="158">
        <f>+CONSUMPTION!E10</f>
        <v>45945000</v>
      </c>
      <c r="G10" s="156">
        <f t="shared" ref="G10:G12" si="4">SUM(H10:S10)</f>
        <v>487016.99999999994</v>
      </c>
      <c r="H10" s="52">
        <f>+CONSUMPTION!F10*$B10</f>
        <v>0</v>
      </c>
      <c r="I10" s="52">
        <f>+CONSUMPTION!G10*$B10</f>
        <v>0</v>
      </c>
      <c r="J10" s="52">
        <f>+CONSUMPTION!H10*$B10</f>
        <v>0</v>
      </c>
      <c r="K10" s="52">
        <f>+CONSUMPTION!I10*$B10</f>
        <v>0</v>
      </c>
      <c r="L10" s="52">
        <f>+CONSUMPTION!J10*$B10</f>
        <v>87427.74</v>
      </c>
      <c r="M10" s="52">
        <f>+CONSUMPTION!K10*$B10</f>
        <v>97628.12</v>
      </c>
      <c r="N10" s="52">
        <f>+CONSUMPTION!L10*$B10</f>
        <v>99695.12</v>
      </c>
      <c r="O10" s="52">
        <f>+CONSUMPTION!M10*$B10</f>
        <v>101635.98</v>
      </c>
      <c r="P10" s="52">
        <f>+CONSUMPTION!N10*$B10</f>
        <v>100630.04</v>
      </c>
      <c r="Q10" s="52">
        <f>+CONSUMPTION!O10*$B10</f>
        <v>0</v>
      </c>
      <c r="R10" s="52">
        <f>+CONSUMPTION!P10*$B10</f>
        <v>0</v>
      </c>
      <c r="S10" s="52">
        <f>+CONSUMPTION!Q10*$B10</f>
        <v>0</v>
      </c>
    </row>
    <row r="11" spans="1:20" ht="15" x14ac:dyDescent="0.25">
      <c r="A11" s="200" t="s">
        <v>104</v>
      </c>
      <c r="B11" s="136">
        <f>+'Modeling &amp; Presentation'!I7</f>
        <v>1.15E-2</v>
      </c>
      <c r="C11" s="157">
        <f>+CONSUMPTION!D11</f>
        <v>2400</v>
      </c>
      <c r="D11" s="42">
        <f>+CONSUMPTION!C11</f>
        <v>1.15E-2</v>
      </c>
      <c r="E11" s="43">
        <f t="shared" si="2"/>
        <v>0</v>
      </c>
      <c r="F11" s="158">
        <f>+CONSUMPTION!E11</f>
        <v>60606400</v>
      </c>
      <c r="G11" s="156">
        <f t="shared" si="4"/>
        <v>696973.6</v>
      </c>
      <c r="H11" s="52">
        <f>+CONSUMPTION!F11*$B11</f>
        <v>0</v>
      </c>
      <c r="I11" s="52">
        <f>+CONSUMPTION!G11*$B11</f>
        <v>0</v>
      </c>
      <c r="J11" s="52">
        <f>+CONSUMPTION!H11*$B11</f>
        <v>0</v>
      </c>
      <c r="K11" s="52">
        <f>+CONSUMPTION!I11*$B11</f>
        <v>0</v>
      </c>
      <c r="L11" s="52">
        <f>+CONSUMPTION!J11*$B11</f>
        <v>41857.699999999997</v>
      </c>
      <c r="M11" s="52">
        <f>+CONSUMPTION!K11*$B11</f>
        <v>114908</v>
      </c>
      <c r="N11" s="52">
        <f>+CONSUMPTION!L11*$B11</f>
        <v>163047</v>
      </c>
      <c r="O11" s="52">
        <f>+CONSUMPTION!M11*$B11</f>
        <v>209244.79999999999</v>
      </c>
      <c r="P11" s="52">
        <f>+CONSUMPTION!N11*$B11</f>
        <v>167916.1</v>
      </c>
      <c r="Q11" s="52">
        <f>+CONSUMPTION!O11*$B11</f>
        <v>0</v>
      </c>
      <c r="R11" s="52">
        <f>+CONSUMPTION!P11*$B11</f>
        <v>0</v>
      </c>
      <c r="S11" s="52">
        <f>+CONSUMPTION!Q11*$B11</f>
        <v>0</v>
      </c>
    </row>
    <row r="12" spans="1:20" ht="15" x14ac:dyDescent="0.25">
      <c r="A12" s="200" t="s">
        <v>104</v>
      </c>
      <c r="B12" s="136">
        <f>+'Modeling &amp; Presentation'!L7</f>
        <v>0.05</v>
      </c>
      <c r="C12" s="157">
        <f>+CONSUMPTION!D12</f>
        <v>999999999</v>
      </c>
      <c r="D12" s="42">
        <f>+CONSUMPTION!C12</f>
        <v>0.05</v>
      </c>
      <c r="E12" s="43">
        <f t="shared" si="2"/>
        <v>0</v>
      </c>
      <c r="F12" s="158">
        <f>+CONSUMPTION!E12</f>
        <v>13262600</v>
      </c>
      <c r="G12" s="156">
        <f t="shared" si="4"/>
        <v>663130</v>
      </c>
      <c r="H12" s="52">
        <f>+CONSUMPTION!F12*$B12</f>
        <v>0</v>
      </c>
      <c r="I12" s="52">
        <f>+CONSUMPTION!G12*$B12</f>
        <v>0</v>
      </c>
      <c r="J12" s="52">
        <f>+CONSUMPTION!H12*$B12</f>
        <v>0</v>
      </c>
      <c r="K12" s="52">
        <f>+CONSUMPTION!I12*$B12</f>
        <v>0</v>
      </c>
      <c r="L12" s="52">
        <f>+CONSUMPTION!J12*$B12</f>
        <v>12995</v>
      </c>
      <c r="M12" s="52">
        <f>+CONSUMPTION!K12*$B12</f>
        <v>72960</v>
      </c>
      <c r="N12" s="52">
        <f>+CONSUMPTION!L12*$B12</f>
        <v>140990</v>
      </c>
      <c r="O12" s="52">
        <f>+CONSUMPTION!M12*$B12</f>
        <v>270835</v>
      </c>
      <c r="P12" s="52">
        <f>+CONSUMPTION!N12*$B12</f>
        <v>165350</v>
      </c>
      <c r="Q12" s="52">
        <f>+CONSUMPTION!O12*$B12</f>
        <v>0</v>
      </c>
      <c r="R12" s="52">
        <f>+CONSUMPTION!P12*$B12</f>
        <v>0</v>
      </c>
      <c r="S12" s="52">
        <f>+CONSUMPTION!Q12*$B12</f>
        <v>0</v>
      </c>
    </row>
    <row r="13" spans="1:20" ht="15" x14ac:dyDescent="0.25">
      <c r="A13" s="2" t="s">
        <v>6</v>
      </c>
      <c r="B13" s="136">
        <f>+'Modeling &amp; Presentation'!F8</f>
        <v>1.06E-2</v>
      </c>
      <c r="C13" s="157">
        <f>+CONSUMPTION!D13</f>
        <v>600</v>
      </c>
      <c r="D13" s="42">
        <f>+CONSUMPTION!C13</f>
        <v>0.01</v>
      </c>
      <c r="E13" s="43">
        <f t="shared" si="1"/>
        <v>6.0000000000000053E-2</v>
      </c>
      <c r="F13" s="158">
        <f>+CONSUMPTION!E13</f>
        <v>56328200</v>
      </c>
      <c r="G13" s="156">
        <f t="shared" si="0"/>
        <v>597078.92000000004</v>
      </c>
      <c r="H13" s="52">
        <f>+CONSUMPTION!F13*$B13</f>
        <v>85769.9</v>
      </c>
      <c r="I13" s="52">
        <f>+CONSUMPTION!G13*$B13</f>
        <v>84315.58</v>
      </c>
      <c r="J13" s="52">
        <f>+CONSUMPTION!H13*$B13</f>
        <v>80447.64</v>
      </c>
      <c r="K13" s="52">
        <f>+CONSUMPTION!I13*$B13</f>
        <v>87421.38</v>
      </c>
      <c r="L13" s="52">
        <f>+CONSUMPTION!J13*$B13</f>
        <v>0</v>
      </c>
      <c r="M13" s="52">
        <f>+CONSUMPTION!K13*$B13</f>
        <v>0</v>
      </c>
      <c r="N13" s="52">
        <f>+CONSUMPTION!L13*$B13</f>
        <v>0</v>
      </c>
      <c r="O13" s="52">
        <f>+CONSUMPTION!M13*$B13</f>
        <v>0</v>
      </c>
      <c r="P13" s="52">
        <f>+CONSUMPTION!N13*$B13</f>
        <v>0</v>
      </c>
      <c r="Q13" s="52">
        <f>+CONSUMPTION!O13*$B13</f>
        <v>85452.96</v>
      </c>
      <c r="R13" s="52">
        <f>+CONSUMPTION!P13*$B13</f>
        <v>87146.84</v>
      </c>
      <c r="S13" s="52">
        <f>+CONSUMPTION!Q13*$B13</f>
        <v>86524.62</v>
      </c>
    </row>
    <row r="14" spans="1:20" ht="15" x14ac:dyDescent="0.25">
      <c r="A14" s="2" t="s">
        <v>6</v>
      </c>
      <c r="B14" s="136">
        <f>+'Modeling &amp; Presentation'!I8</f>
        <v>1.15E-2</v>
      </c>
      <c r="C14" s="157">
        <f>+CONSUMPTION!D14</f>
        <v>2400</v>
      </c>
      <c r="D14" s="42">
        <f>+CONSUMPTION!C14</f>
        <v>1.15E-2</v>
      </c>
      <c r="E14" s="43">
        <f t="shared" si="1"/>
        <v>0</v>
      </c>
      <c r="F14" s="158">
        <f>+CONSUMPTION!E14</f>
        <v>21381800</v>
      </c>
      <c r="G14" s="156">
        <f t="shared" si="0"/>
        <v>245890.7</v>
      </c>
      <c r="H14" s="52">
        <f>+CONSUMPTION!F14*$B14</f>
        <v>34186.050000000003</v>
      </c>
      <c r="I14" s="52">
        <f>+CONSUMPTION!G14*$B14</f>
        <v>31759.55</v>
      </c>
      <c r="J14" s="52">
        <f>+CONSUMPTION!H14*$B14</f>
        <v>25135.55</v>
      </c>
      <c r="K14" s="52">
        <f>+CONSUMPTION!I14*$B14</f>
        <v>36691.9</v>
      </c>
      <c r="L14" s="52">
        <f>+CONSUMPTION!J14*$B14</f>
        <v>0</v>
      </c>
      <c r="M14" s="52">
        <f>+CONSUMPTION!K14*$B14</f>
        <v>0</v>
      </c>
      <c r="N14" s="52">
        <f>+CONSUMPTION!L14*$B14</f>
        <v>0</v>
      </c>
      <c r="O14" s="52">
        <f>+CONSUMPTION!M14*$B14</f>
        <v>0</v>
      </c>
      <c r="P14" s="52">
        <f>+CONSUMPTION!N14*$B14</f>
        <v>0</v>
      </c>
      <c r="Q14" s="52">
        <f>+CONSUMPTION!O14*$B14</f>
        <v>43450.45</v>
      </c>
      <c r="R14" s="52">
        <f>+CONSUMPTION!P14*$B14</f>
        <v>39451.9</v>
      </c>
      <c r="S14" s="52">
        <f>+CONSUMPTION!Q14*$B14</f>
        <v>35215.300000000003</v>
      </c>
    </row>
    <row r="15" spans="1:20" ht="15" x14ac:dyDescent="0.25">
      <c r="A15" s="2" t="s">
        <v>6</v>
      </c>
      <c r="B15" s="136">
        <f>+'Modeling &amp; Presentation'!L8</f>
        <v>2.4199999999999999E-2</v>
      </c>
      <c r="C15" s="157">
        <f>+CONSUMPTION!D15</f>
        <v>999999999</v>
      </c>
      <c r="D15" s="42">
        <f>+CONSUMPTION!C15</f>
        <v>2.4199999999999999E-2</v>
      </c>
      <c r="E15" s="43">
        <f t="shared" si="1"/>
        <v>0</v>
      </c>
      <c r="F15" s="158">
        <f>+CONSUMPTION!E15</f>
        <v>1672400</v>
      </c>
      <c r="G15" s="156">
        <f t="shared" si="0"/>
        <v>40472.079999999994</v>
      </c>
      <c r="H15" s="52">
        <f>+CONSUMPTION!F15*$B15</f>
        <v>5340.94</v>
      </c>
      <c r="I15" s="52">
        <f>+CONSUMPTION!G15*$B15</f>
        <v>6076.62</v>
      </c>
      <c r="J15" s="52">
        <f>+CONSUMPTION!H15*$B15</f>
        <v>3453.3399999999997</v>
      </c>
      <c r="K15" s="52">
        <f>+CONSUMPTION!I15*$B15</f>
        <v>5036.0199999999995</v>
      </c>
      <c r="L15" s="52">
        <f>+CONSUMPTION!J15*$B15</f>
        <v>0</v>
      </c>
      <c r="M15" s="52">
        <f>+CONSUMPTION!K15*$B15</f>
        <v>0</v>
      </c>
      <c r="N15" s="52">
        <f>+CONSUMPTION!L15*$B15</f>
        <v>0</v>
      </c>
      <c r="O15" s="52">
        <f>+CONSUMPTION!M15*$B15</f>
        <v>0</v>
      </c>
      <c r="P15" s="52">
        <f>+CONSUMPTION!N15*$B15</f>
        <v>0</v>
      </c>
      <c r="Q15" s="52">
        <f>+CONSUMPTION!O15*$B15</f>
        <v>9004.82</v>
      </c>
      <c r="R15" s="52">
        <f>+CONSUMPTION!P15*$B15</f>
        <v>6415.42</v>
      </c>
      <c r="S15" s="52">
        <f>+CONSUMPTION!Q15*$B15</f>
        <v>5144.92</v>
      </c>
    </row>
    <row r="16" spans="1:20" ht="15" x14ac:dyDescent="0.25">
      <c r="A16" s="2" t="s">
        <v>7</v>
      </c>
      <c r="B16" s="136">
        <f>+'Modeling &amp; Presentation'!F9</f>
        <v>1.06E-2</v>
      </c>
      <c r="C16" s="157">
        <f>+CONSUMPTION!D16</f>
        <v>1500</v>
      </c>
      <c r="D16" s="42">
        <f>+CONSUMPTION!C16</f>
        <v>0.01</v>
      </c>
      <c r="E16" s="43">
        <f t="shared" si="1"/>
        <v>6.0000000000000053E-2</v>
      </c>
      <c r="F16" s="158">
        <f>+CONSUMPTION!E16</f>
        <v>160100</v>
      </c>
      <c r="G16" s="156">
        <f t="shared" si="0"/>
        <v>1697.06</v>
      </c>
      <c r="H16" s="52">
        <f>+CONSUMPTION!F16*$B16</f>
        <v>241.68</v>
      </c>
      <c r="I16" s="52">
        <f>+CONSUMPTION!G16*$B16</f>
        <v>210.94</v>
      </c>
      <c r="J16" s="52">
        <f>+CONSUMPTION!H16*$B16</f>
        <v>200.34</v>
      </c>
      <c r="K16" s="52">
        <f>+CONSUMPTION!I16*$B16</f>
        <v>213.06</v>
      </c>
      <c r="L16" s="52">
        <f>+CONSUMPTION!J16*$B16</f>
        <v>0</v>
      </c>
      <c r="M16" s="52">
        <f>+CONSUMPTION!K16*$B16</f>
        <v>0</v>
      </c>
      <c r="N16" s="52">
        <f>+CONSUMPTION!L16*$B16</f>
        <v>0</v>
      </c>
      <c r="O16" s="52">
        <f>+CONSUMPTION!M16*$B16</f>
        <v>0</v>
      </c>
      <c r="P16" s="52">
        <f>+CONSUMPTION!N16*$B16</f>
        <v>0</v>
      </c>
      <c r="Q16" s="52">
        <f>+CONSUMPTION!O16*$B16</f>
        <v>330.72</v>
      </c>
      <c r="R16" s="52">
        <f>+CONSUMPTION!P16*$B16</f>
        <v>248.04</v>
      </c>
      <c r="S16" s="52">
        <f>+CONSUMPTION!Q16*$B16</f>
        <v>252.28</v>
      </c>
    </row>
    <row r="17" spans="1:19" ht="15" x14ac:dyDescent="0.25">
      <c r="A17" s="2" t="s">
        <v>7</v>
      </c>
      <c r="B17" s="136">
        <f>+'Modeling &amp; Presentation'!I9</f>
        <v>1.15E-2</v>
      </c>
      <c r="C17" s="157">
        <f>+CONSUMPTION!D17</f>
        <v>6000</v>
      </c>
      <c r="D17" s="42">
        <f>+CONSUMPTION!C17</f>
        <v>1.15E-2</v>
      </c>
      <c r="E17" s="43">
        <f t="shared" si="1"/>
        <v>0</v>
      </c>
      <c r="F17" s="158">
        <f>+CONSUMPTION!E17</f>
        <v>61700</v>
      </c>
      <c r="G17" s="156">
        <f t="shared" si="0"/>
        <v>709.55</v>
      </c>
      <c r="H17" s="52">
        <f>+CONSUMPTION!F17*$B17</f>
        <v>86.25</v>
      </c>
      <c r="I17" s="52">
        <f>+CONSUMPTION!G17*$B17</f>
        <v>136.85</v>
      </c>
      <c r="J17" s="52">
        <f>+CONSUMPTION!H17*$B17</f>
        <v>72.45</v>
      </c>
      <c r="K17" s="52">
        <f>+CONSUMPTION!I17*$B17</f>
        <v>149.5</v>
      </c>
      <c r="L17" s="52">
        <f>+CONSUMPTION!J17*$B17</f>
        <v>0</v>
      </c>
      <c r="M17" s="52">
        <f>+CONSUMPTION!K17*$B17</f>
        <v>0</v>
      </c>
      <c r="N17" s="52">
        <f>+CONSUMPTION!L17*$B17</f>
        <v>0</v>
      </c>
      <c r="O17" s="52">
        <f>+CONSUMPTION!M17*$B17</f>
        <v>0</v>
      </c>
      <c r="P17" s="52">
        <f>+CONSUMPTION!N17*$B17</f>
        <v>0</v>
      </c>
      <c r="Q17" s="52">
        <f>+CONSUMPTION!O17*$B17</f>
        <v>161</v>
      </c>
      <c r="R17" s="52">
        <f>+CONSUMPTION!P17*$B17</f>
        <v>54.05</v>
      </c>
      <c r="S17" s="52">
        <f>+CONSUMPTION!Q17*$B17</f>
        <v>49.449999999999996</v>
      </c>
    </row>
    <row r="18" spans="1:19" ht="15" x14ac:dyDescent="0.25">
      <c r="A18" s="2" t="s">
        <v>7</v>
      </c>
      <c r="B18" s="136">
        <f>+'Modeling &amp; Presentation'!L9</f>
        <v>2.4199999999999999E-2</v>
      </c>
      <c r="C18" s="157">
        <f>+CONSUMPTION!D18</f>
        <v>999999999</v>
      </c>
      <c r="D18" s="42">
        <f>+CONSUMPTION!C18</f>
        <v>2.4199999999999999E-2</v>
      </c>
      <c r="E18" s="43">
        <f t="shared" si="1"/>
        <v>0</v>
      </c>
      <c r="F18" s="158">
        <f>+CONSUMPTION!E18</f>
        <v>2500</v>
      </c>
      <c r="G18" s="156">
        <f t="shared" si="0"/>
        <v>60.5</v>
      </c>
      <c r="H18" s="52">
        <f>+CONSUMPTION!F18*$B18</f>
        <v>0</v>
      </c>
      <c r="I18" s="52">
        <f>+CONSUMPTION!G18*$B18</f>
        <v>21.78</v>
      </c>
      <c r="J18" s="52">
        <f>+CONSUMPTION!H18*$B18</f>
        <v>0</v>
      </c>
      <c r="K18" s="52">
        <f>+CONSUMPTION!I18*$B18</f>
        <v>38.72</v>
      </c>
      <c r="L18" s="52">
        <f>+CONSUMPTION!J18*$B18</f>
        <v>0</v>
      </c>
      <c r="M18" s="52">
        <f>+CONSUMPTION!K18*$B18</f>
        <v>0</v>
      </c>
      <c r="N18" s="52">
        <f>+CONSUMPTION!L18*$B18</f>
        <v>0</v>
      </c>
      <c r="O18" s="52">
        <f>+CONSUMPTION!M18*$B18</f>
        <v>0</v>
      </c>
      <c r="P18" s="52">
        <f>+CONSUMPTION!N18*$B18</f>
        <v>0</v>
      </c>
      <c r="Q18" s="52">
        <f>+CONSUMPTION!O18*$B18</f>
        <v>0</v>
      </c>
      <c r="R18" s="52">
        <f>+CONSUMPTION!P18*$B18</f>
        <v>0</v>
      </c>
      <c r="S18" s="52">
        <f>+CONSUMPTION!Q18*$B18</f>
        <v>0</v>
      </c>
    </row>
    <row r="19" spans="1:19" ht="15" x14ac:dyDescent="0.25">
      <c r="A19" s="200" t="s">
        <v>106</v>
      </c>
      <c r="B19" s="136">
        <f>+'Modeling &amp; Presentation'!F10</f>
        <v>1.06E-2</v>
      </c>
      <c r="C19" s="157">
        <f>+CONSUMPTION!D19</f>
        <v>1500</v>
      </c>
      <c r="D19" s="42">
        <f>+CONSUMPTION!C19</f>
        <v>0.01</v>
      </c>
      <c r="E19" s="43">
        <f t="shared" ref="E19:E21" si="5">+B19/D19-1</f>
        <v>6.0000000000000053E-2</v>
      </c>
      <c r="F19" s="158">
        <f>+CONSUMPTION!E19</f>
        <v>188000</v>
      </c>
      <c r="G19" s="156">
        <f t="shared" ref="G19:G21" si="6">SUM(H19:S19)</f>
        <v>1992.8</v>
      </c>
      <c r="H19" s="52">
        <f>+CONSUMPTION!F19*$B19</f>
        <v>0</v>
      </c>
      <c r="I19" s="52">
        <f>+CONSUMPTION!G19*$B19</f>
        <v>0</v>
      </c>
      <c r="J19" s="52">
        <f>+CONSUMPTION!H19*$B19</f>
        <v>0</v>
      </c>
      <c r="K19" s="52">
        <f>+CONSUMPTION!I19*$B19</f>
        <v>0</v>
      </c>
      <c r="L19" s="52">
        <f>+CONSUMPTION!J19*$B19</f>
        <v>306.33999999999997</v>
      </c>
      <c r="M19" s="52">
        <f>+CONSUMPTION!K19*$B19</f>
        <v>405.98</v>
      </c>
      <c r="N19" s="52">
        <f>+CONSUMPTION!L19*$B19</f>
        <v>431.42</v>
      </c>
      <c r="O19" s="52">
        <f>+CONSUMPTION!M19*$B19</f>
        <v>438.84</v>
      </c>
      <c r="P19" s="52">
        <f>+CONSUMPTION!N19*$B19</f>
        <v>410.22</v>
      </c>
      <c r="Q19" s="52">
        <f>+CONSUMPTION!O19*$B19</f>
        <v>0</v>
      </c>
      <c r="R19" s="52">
        <f>+CONSUMPTION!P19*$B19</f>
        <v>0</v>
      </c>
      <c r="S19" s="52">
        <f>+CONSUMPTION!Q19*$B19</f>
        <v>0</v>
      </c>
    </row>
    <row r="20" spans="1:19" ht="15" x14ac:dyDescent="0.25">
      <c r="A20" s="200" t="s">
        <v>106</v>
      </c>
      <c r="B20" s="136">
        <f>+'Modeling &amp; Presentation'!I10</f>
        <v>1.15E-2</v>
      </c>
      <c r="C20" s="157">
        <f>+CONSUMPTION!D20</f>
        <v>1500</v>
      </c>
      <c r="D20" s="42">
        <f>+CONSUMPTION!C20</f>
        <v>1.15E-2</v>
      </c>
      <c r="E20" s="43">
        <f t="shared" si="5"/>
        <v>0</v>
      </c>
      <c r="F20" s="158">
        <f>+CONSUMPTION!E20</f>
        <v>315300</v>
      </c>
      <c r="G20" s="156">
        <f t="shared" si="6"/>
        <v>3625.95</v>
      </c>
      <c r="H20" s="52">
        <f>+CONSUMPTION!F20*$B20</f>
        <v>0</v>
      </c>
      <c r="I20" s="52">
        <f>+CONSUMPTION!G20*$B20</f>
        <v>0</v>
      </c>
      <c r="J20" s="52">
        <f>+CONSUMPTION!H20*$B20</f>
        <v>0</v>
      </c>
      <c r="K20" s="52">
        <f>+CONSUMPTION!I20*$B20</f>
        <v>0</v>
      </c>
      <c r="L20" s="52">
        <f>+CONSUMPTION!J20*$B20</f>
        <v>172.5</v>
      </c>
      <c r="M20" s="52">
        <f>+CONSUMPTION!K20*$B20</f>
        <v>837.19999999999993</v>
      </c>
      <c r="N20" s="52">
        <f>+CONSUMPTION!L20*$B20</f>
        <v>964.85</v>
      </c>
      <c r="O20" s="52">
        <f>+CONSUMPTION!M20*$B20</f>
        <v>1028.0999999999999</v>
      </c>
      <c r="P20" s="52">
        <f>+CONSUMPTION!N20*$B20</f>
        <v>623.29999999999995</v>
      </c>
      <c r="Q20" s="52">
        <f>+CONSUMPTION!O20*$B20</f>
        <v>0</v>
      </c>
      <c r="R20" s="52">
        <f>+CONSUMPTION!P20*$B20</f>
        <v>0</v>
      </c>
      <c r="S20" s="52">
        <f>+CONSUMPTION!Q20*$B20</f>
        <v>0</v>
      </c>
    </row>
    <row r="21" spans="1:19" ht="15" x14ac:dyDescent="0.25">
      <c r="A21" s="200" t="s">
        <v>106</v>
      </c>
      <c r="B21" s="136">
        <f>+'Modeling &amp; Presentation'!L10</f>
        <v>0.05</v>
      </c>
      <c r="C21" s="157">
        <f>+CONSUMPTION!D21</f>
        <v>999999999</v>
      </c>
      <c r="D21" s="42">
        <f>+CONSUMPTION!C21</f>
        <v>0.05</v>
      </c>
      <c r="E21" s="43">
        <f t="shared" si="5"/>
        <v>0</v>
      </c>
      <c r="F21" s="158">
        <f>+CONSUMPTION!E21</f>
        <v>92500</v>
      </c>
      <c r="G21" s="156">
        <f t="shared" si="6"/>
        <v>4625</v>
      </c>
      <c r="H21" s="52">
        <f>+CONSUMPTION!F21*$B21</f>
        <v>0</v>
      </c>
      <c r="I21" s="52">
        <f>+CONSUMPTION!G21*$B21</f>
        <v>0</v>
      </c>
      <c r="J21" s="52">
        <f>+CONSUMPTION!H21*$B21</f>
        <v>0</v>
      </c>
      <c r="K21" s="52">
        <f>+CONSUMPTION!I21*$B21</f>
        <v>0</v>
      </c>
      <c r="L21" s="52">
        <f>+CONSUMPTION!J21*$B21</f>
        <v>80</v>
      </c>
      <c r="M21" s="52">
        <f>+CONSUMPTION!K21*$B21</f>
        <v>1410</v>
      </c>
      <c r="N21" s="52">
        <f>+CONSUMPTION!L21*$B21</f>
        <v>1120</v>
      </c>
      <c r="O21" s="52">
        <f>+CONSUMPTION!M21*$B21</f>
        <v>1745</v>
      </c>
      <c r="P21" s="52">
        <f>+CONSUMPTION!N21*$B21</f>
        <v>310</v>
      </c>
      <c r="Q21" s="52">
        <f>+CONSUMPTION!O21*$B21</f>
        <v>0</v>
      </c>
      <c r="R21" s="52">
        <f>+CONSUMPTION!P21*$B21</f>
        <v>0</v>
      </c>
      <c r="S21" s="52">
        <f>+CONSUMPTION!Q21*$B21</f>
        <v>-40</v>
      </c>
    </row>
    <row r="22" spans="1:19" ht="15" x14ac:dyDescent="0.25">
      <c r="A22" s="1" t="s">
        <v>8</v>
      </c>
      <c r="B22" s="136">
        <f>+'Modeling &amp; Presentation'!F11</f>
        <v>1.06E-2</v>
      </c>
      <c r="C22" s="157">
        <f>+CONSUMPTION!D22</f>
        <v>3000</v>
      </c>
      <c r="D22" s="42">
        <f>+CONSUMPTION!C22</f>
        <v>0.01</v>
      </c>
      <c r="E22" s="43">
        <f t="shared" si="1"/>
        <v>6.0000000000000053E-2</v>
      </c>
      <c r="F22" s="158">
        <f>+CONSUMPTION!E22</f>
        <v>0</v>
      </c>
      <c r="G22" s="156">
        <f t="shared" si="0"/>
        <v>0</v>
      </c>
      <c r="H22" s="52">
        <f>+CONSUMPTION!F22*$B22</f>
        <v>0</v>
      </c>
      <c r="I22" s="52">
        <f>+CONSUMPTION!G22*$B22</f>
        <v>0</v>
      </c>
      <c r="J22" s="52">
        <f>+CONSUMPTION!H22*$B22</f>
        <v>0</v>
      </c>
      <c r="K22" s="52">
        <f>+CONSUMPTION!I22*$B22</f>
        <v>0</v>
      </c>
      <c r="L22" s="52">
        <f>+CONSUMPTION!J22*$B22</f>
        <v>0</v>
      </c>
      <c r="M22" s="52">
        <f>+CONSUMPTION!K22*$B22</f>
        <v>0</v>
      </c>
      <c r="N22" s="52">
        <f>+CONSUMPTION!L22*$B22</f>
        <v>0</v>
      </c>
      <c r="O22" s="52">
        <f>+CONSUMPTION!M22*$B22</f>
        <v>0</v>
      </c>
      <c r="P22" s="52">
        <f>+CONSUMPTION!N22*$B22</f>
        <v>0</v>
      </c>
      <c r="Q22" s="52">
        <f>+CONSUMPTION!O22*$B22</f>
        <v>0</v>
      </c>
      <c r="R22" s="52">
        <f>+CONSUMPTION!P22*$B22</f>
        <v>0</v>
      </c>
      <c r="S22" s="52">
        <f>+CONSUMPTION!Q22*$B22</f>
        <v>0</v>
      </c>
    </row>
    <row r="23" spans="1:19" ht="15" x14ac:dyDescent="0.25">
      <c r="A23" s="1" t="s">
        <v>8</v>
      </c>
      <c r="B23" s="136">
        <f>+'Modeling &amp; Presentation'!I11</f>
        <v>1.15E-2</v>
      </c>
      <c r="C23" s="157">
        <f>+CONSUMPTION!D23</f>
        <v>12000</v>
      </c>
      <c r="D23" s="42">
        <f>+CONSUMPTION!C23</f>
        <v>1.15E-2</v>
      </c>
      <c r="E23" s="43">
        <f t="shared" si="1"/>
        <v>0</v>
      </c>
      <c r="F23" s="158">
        <f>+CONSUMPTION!E23</f>
        <v>0</v>
      </c>
      <c r="G23" s="156">
        <f t="shared" si="0"/>
        <v>0</v>
      </c>
      <c r="H23" s="52">
        <f>+CONSUMPTION!F23*$B23</f>
        <v>0</v>
      </c>
      <c r="I23" s="52">
        <f>+CONSUMPTION!G23*$B23</f>
        <v>0</v>
      </c>
      <c r="J23" s="52">
        <f>+CONSUMPTION!H23*$B23</f>
        <v>0</v>
      </c>
      <c r="K23" s="52">
        <f>+CONSUMPTION!I23*$B23</f>
        <v>0</v>
      </c>
      <c r="L23" s="52">
        <f>+CONSUMPTION!J23*$B23</f>
        <v>0</v>
      </c>
      <c r="M23" s="52">
        <f>+CONSUMPTION!K23*$B23</f>
        <v>0</v>
      </c>
      <c r="N23" s="52">
        <f>+CONSUMPTION!L23*$B23</f>
        <v>0</v>
      </c>
      <c r="O23" s="52">
        <f>+CONSUMPTION!M23*$B23</f>
        <v>0</v>
      </c>
      <c r="P23" s="52">
        <f>+CONSUMPTION!N23*$B23</f>
        <v>0</v>
      </c>
      <c r="Q23" s="52">
        <f>+CONSUMPTION!O23*$B23</f>
        <v>0</v>
      </c>
      <c r="R23" s="52">
        <f>+CONSUMPTION!P23*$B23</f>
        <v>0</v>
      </c>
      <c r="S23" s="52">
        <f>+CONSUMPTION!Q23*$B23</f>
        <v>0</v>
      </c>
    </row>
    <row r="24" spans="1:19" ht="15" x14ac:dyDescent="0.25">
      <c r="A24" s="1" t="s">
        <v>8</v>
      </c>
      <c r="B24" s="136">
        <f>+'Modeling &amp; Presentation'!L11</f>
        <v>2.4199999999999999E-2</v>
      </c>
      <c r="C24" s="157">
        <f>+CONSUMPTION!D24</f>
        <v>999999999</v>
      </c>
      <c r="D24" s="42">
        <f>+CONSUMPTION!C24</f>
        <v>2.4199999999999999E-2</v>
      </c>
      <c r="E24" s="43">
        <f t="shared" si="1"/>
        <v>0</v>
      </c>
      <c r="F24" s="158">
        <f>+CONSUMPTION!E24</f>
        <v>0</v>
      </c>
      <c r="G24" s="156">
        <f t="shared" si="0"/>
        <v>0</v>
      </c>
      <c r="H24" s="52">
        <f>+CONSUMPTION!F24*$B24</f>
        <v>0</v>
      </c>
      <c r="I24" s="52">
        <f>+CONSUMPTION!G24*$B24</f>
        <v>0</v>
      </c>
      <c r="J24" s="52">
        <f>+CONSUMPTION!H24*$B24</f>
        <v>0</v>
      </c>
      <c r="K24" s="52">
        <f>+CONSUMPTION!I24*$B24</f>
        <v>0</v>
      </c>
      <c r="L24" s="52">
        <f>+CONSUMPTION!J24*$B24</f>
        <v>0</v>
      </c>
      <c r="M24" s="52">
        <f>+CONSUMPTION!K24*$B24</f>
        <v>0</v>
      </c>
      <c r="N24" s="52">
        <f>+CONSUMPTION!L24*$B24</f>
        <v>0</v>
      </c>
      <c r="O24" s="52">
        <f>+CONSUMPTION!M24*$B24</f>
        <v>0</v>
      </c>
      <c r="P24" s="52">
        <f>+CONSUMPTION!N24*$B24</f>
        <v>0</v>
      </c>
      <c r="Q24" s="52">
        <f>+CONSUMPTION!O24*$B24</f>
        <v>0</v>
      </c>
      <c r="R24" s="52">
        <f>+CONSUMPTION!P24*$B24</f>
        <v>0</v>
      </c>
      <c r="S24" s="52">
        <f>+CONSUMPTION!Q24*$B24</f>
        <v>0</v>
      </c>
    </row>
    <row r="25" spans="1:19" ht="15" x14ac:dyDescent="0.25">
      <c r="A25" s="1" t="s">
        <v>9</v>
      </c>
      <c r="B25" s="136">
        <f>+'Modeling &amp; Presentation'!F12</f>
        <v>1.06E-2</v>
      </c>
      <c r="C25" s="157">
        <f>+CONSUMPTION!D25</f>
        <v>4800</v>
      </c>
      <c r="D25" s="42">
        <f>+CONSUMPTION!C25</f>
        <v>0.01</v>
      </c>
      <c r="E25" s="43">
        <f t="shared" si="1"/>
        <v>6.0000000000000053E-2</v>
      </c>
      <c r="F25" s="158">
        <f>+CONSUMPTION!E25</f>
        <v>163200</v>
      </c>
      <c r="G25" s="156">
        <f t="shared" si="0"/>
        <v>1729.9200000000005</v>
      </c>
      <c r="H25" s="52">
        <f>+CONSUMPTION!F25*$B25</f>
        <v>101.76</v>
      </c>
      <c r="I25" s="52">
        <f>+CONSUMPTION!G25*$B25</f>
        <v>101.76</v>
      </c>
      <c r="J25" s="52">
        <f>+CONSUMPTION!H25*$B25</f>
        <v>152.64000000000001</v>
      </c>
      <c r="K25" s="52">
        <f>+CONSUMPTION!I25*$B25</f>
        <v>152.64000000000001</v>
      </c>
      <c r="L25" s="52">
        <f>+CONSUMPTION!J25*$B25</f>
        <v>152.64000000000001</v>
      </c>
      <c r="M25" s="52">
        <f>+CONSUMPTION!K25*$B25</f>
        <v>152.64000000000001</v>
      </c>
      <c r="N25" s="52">
        <f>+CONSUMPTION!L25*$B25</f>
        <v>152.64000000000001</v>
      </c>
      <c r="O25" s="52">
        <f>+CONSUMPTION!M25*$B25</f>
        <v>152.64000000000001</v>
      </c>
      <c r="P25" s="52">
        <f>+CONSUMPTION!N25*$B25</f>
        <v>152.64000000000001</v>
      </c>
      <c r="Q25" s="52">
        <f>+CONSUMPTION!O25*$B25</f>
        <v>152.64000000000001</v>
      </c>
      <c r="R25" s="52">
        <f>+CONSUMPTION!P25*$B25</f>
        <v>152.64000000000001</v>
      </c>
      <c r="S25" s="52">
        <f>+CONSUMPTION!Q25*$B25</f>
        <v>152.64000000000001</v>
      </c>
    </row>
    <row r="26" spans="1:19" ht="15" x14ac:dyDescent="0.25">
      <c r="A26" s="1" t="s">
        <v>9</v>
      </c>
      <c r="B26" s="136">
        <f>+'Modeling &amp; Presentation'!I12</f>
        <v>1.15E-2</v>
      </c>
      <c r="C26" s="157">
        <f>+CONSUMPTION!D26</f>
        <v>19200</v>
      </c>
      <c r="D26" s="42">
        <f>+CONSUMPTION!C26</f>
        <v>1.15E-2</v>
      </c>
      <c r="E26" s="43">
        <f t="shared" si="1"/>
        <v>0</v>
      </c>
      <c r="F26" s="158">
        <f>+CONSUMPTION!E26</f>
        <v>501400</v>
      </c>
      <c r="G26" s="156">
        <f t="shared" si="0"/>
        <v>5766.0999999999995</v>
      </c>
      <c r="H26" s="52">
        <f>+CONSUMPTION!F26*$B26</f>
        <v>359.95</v>
      </c>
      <c r="I26" s="52">
        <f>+CONSUMPTION!G26*$B26</f>
        <v>331.2</v>
      </c>
      <c r="J26" s="52">
        <f>+CONSUMPTION!H26*$B26</f>
        <v>389.84999999999997</v>
      </c>
      <c r="K26" s="52">
        <f>+CONSUMPTION!I26*$B26</f>
        <v>462.3</v>
      </c>
      <c r="L26" s="52">
        <f>+CONSUMPTION!J26*$B26</f>
        <v>438.15</v>
      </c>
      <c r="M26" s="52">
        <f>+CONSUMPTION!K26*$B26</f>
        <v>531.29999999999995</v>
      </c>
      <c r="N26" s="52">
        <f>+CONSUMPTION!L26*$B26</f>
        <v>534.75</v>
      </c>
      <c r="O26" s="52">
        <f>+CONSUMPTION!M26*$B26</f>
        <v>619.85</v>
      </c>
      <c r="P26" s="52">
        <f>+CONSUMPTION!N26*$B26</f>
        <v>602.6</v>
      </c>
      <c r="Q26" s="52">
        <f>+CONSUMPTION!O26*$B26</f>
        <v>487.59999999999997</v>
      </c>
      <c r="R26" s="52">
        <f>+CONSUMPTION!P26*$B26</f>
        <v>489.9</v>
      </c>
      <c r="S26" s="52">
        <f>+CONSUMPTION!Q26*$B26</f>
        <v>518.65</v>
      </c>
    </row>
    <row r="27" spans="1:19" ht="15" x14ac:dyDescent="0.25">
      <c r="A27" s="1" t="s">
        <v>9</v>
      </c>
      <c r="B27" s="136">
        <f>+'Modeling &amp; Presentation'!L12</f>
        <v>2.4199999999999999E-2</v>
      </c>
      <c r="C27" s="157">
        <f>+CONSUMPTION!D27</f>
        <v>999999999</v>
      </c>
      <c r="D27" s="42">
        <f>+CONSUMPTION!C27</f>
        <v>2.4199999999999999E-2</v>
      </c>
      <c r="E27" s="43">
        <f t="shared" si="1"/>
        <v>0</v>
      </c>
      <c r="F27" s="158">
        <f>+CONSUMPTION!E27</f>
        <v>836100</v>
      </c>
      <c r="G27" s="156">
        <f t="shared" si="0"/>
        <v>20233.62</v>
      </c>
      <c r="H27" s="52">
        <f>+CONSUMPTION!F27*$B27</f>
        <v>1449.58</v>
      </c>
      <c r="I27" s="52">
        <f>+CONSUMPTION!G27*$B27</f>
        <v>1360.04</v>
      </c>
      <c r="J27" s="52">
        <f>+CONSUMPTION!H27*$B27</f>
        <v>1452</v>
      </c>
      <c r="K27" s="52">
        <f>+CONSUMPTION!I27*$B27</f>
        <v>2190.1</v>
      </c>
      <c r="L27" s="52">
        <f>+CONSUMPTION!J27*$B27</f>
        <v>1706.1</v>
      </c>
      <c r="M27" s="52">
        <f>+CONSUMPTION!K27*$B27</f>
        <v>2618.44</v>
      </c>
      <c r="N27" s="52">
        <f>+CONSUMPTION!L27*$B27</f>
        <v>1565.74</v>
      </c>
      <c r="O27" s="52">
        <f>+CONSUMPTION!M27*$B27</f>
        <v>2424.84</v>
      </c>
      <c r="P27" s="52">
        <f>+CONSUMPTION!N27*$B27</f>
        <v>1401.18</v>
      </c>
      <c r="Q27" s="52">
        <f>+CONSUMPTION!O27*$B27</f>
        <v>827.64</v>
      </c>
      <c r="R27" s="52">
        <f>+CONSUMPTION!P27*$B27</f>
        <v>1805.32</v>
      </c>
      <c r="S27" s="52">
        <f>+CONSUMPTION!Q27*$B27</f>
        <v>1432.6399999999999</v>
      </c>
    </row>
    <row r="28" spans="1:19" ht="15" x14ac:dyDescent="0.25">
      <c r="A28" s="110" t="s">
        <v>86</v>
      </c>
      <c r="B28" s="136">
        <f>+'Modeling &amp; Presentation'!F13</f>
        <v>1.06E-2</v>
      </c>
      <c r="C28" s="157">
        <f>+CONSUMPTION!D28</f>
        <v>15000</v>
      </c>
      <c r="D28" s="42">
        <f>+CONSUMPTION!C28</f>
        <v>0.01</v>
      </c>
      <c r="E28" s="43">
        <f t="shared" si="1"/>
        <v>6.0000000000000053E-2</v>
      </c>
      <c r="F28" s="158">
        <f>+CONSUMPTION!E28</f>
        <v>180000</v>
      </c>
      <c r="G28" s="156">
        <f t="shared" si="0"/>
        <v>1908</v>
      </c>
      <c r="H28" s="52">
        <f>+CONSUMPTION!F28*$B28</f>
        <v>159</v>
      </c>
      <c r="I28" s="52">
        <f>+CONSUMPTION!G28*$B28</f>
        <v>159</v>
      </c>
      <c r="J28" s="52">
        <f>+CONSUMPTION!H28*$B28</f>
        <v>159</v>
      </c>
      <c r="K28" s="52">
        <f>+CONSUMPTION!I28*$B28</f>
        <v>159</v>
      </c>
      <c r="L28" s="52">
        <f>+CONSUMPTION!J28*$B28</f>
        <v>159</v>
      </c>
      <c r="M28" s="52">
        <f>+CONSUMPTION!K28*$B28</f>
        <v>159</v>
      </c>
      <c r="N28" s="52">
        <f>+CONSUMPTION!L28*$B28</f>
        <v>159</v>
      </c>
      <c r="O28" s="52">
        <f>+CONSUMPTION!M28*$B28</f>
        <v>159</v>
      </c>
      <c r="P28" s="52">
        <f>+CONSUMPTION!N28*$B28</f>
        <v>159</v>
      </c>
      <c r="Q28" s="52">
        <f>+CONSUMPTION!O28*$B28</f>
        <v>159</v>
      </c>
      <c r="R28" s="52">
        <f>+CONSUMPTION!P28*$B28</f>
        <v>159</v>
      </c>
      <c r="S28" s="52">
        <f>+CONSUMPTION!Q28*$B28</f>
        <v>159</v>
      </c>
    </row>
    <row r="29" spans="1:19" ht="15" x14ac:dyDescent="0.25">
      <c r="A29" s="110" t="s">
        <v>86</v>
      </c>
      <c r="B29" s="136">
        <f>+'Modeling &amp; Presentation'!I13</f>
        <v>1.15E-2</v>
      </c>
      <c r="C29" s="157">
        <f>+CONSUMPTION!D29</f>
        <v>60000</v>
      </c>
      <c r="D29" s="42">
        <f>+CONSUMPTION!C29</f>
        <v>1.15E-2</v>
      </c>
      <c r="E29" s="43">
        <f t="shared" si="1"/>
        <v>0</v>
      </c>
      <c r="F29" s="158">
        <f>+CONSUMPTION!E29</f>
        <v>339000</v>
      </c>
      <c r="G29" s="156">
        <f t="shared" si="0"/>
        <v>3898.5</v>
      </c>
      <c r="H29" s="52">
        <f>+CONSUMPTION!F29*$B29</f>
        <v>178.25</v>
      </c>
      <c r="I29" s="52">
        <f>+CONSUMPTION!G29*$B29</f>
        <v>80.5</v>
      </c>
      <c r="J29" s="52">
        <f>+CONSUMPTION!H29*$B29</f>
        <v>155.25</v>
      </c>
      <c r="K29" s="52">
        <f>+CONSUMPTION!I29*$B29</f>
        <v>198.95</v>
      </c>
      <c r="L29" s="52">
        <f>+CONSUMPTION!J29*$B29</f>
        <v>188.6</v>
      </c>
      <c r="M29" s="52">
        <f>+CONSUMPTION!K29*$B29</f>
        <v>603.75</v>
      </c>
      <c r="N29" s="52">
        <f>+CONSUMPTION!L29*$B29</f>
        <v>690</v>
      </c>
      <c r="O29" s="52">
        <f>+CONSUMPTION!M29*$B29</f>
        <v>690</v>
      </c>
      <c r="P29" s="52">
        <f>+CONSUMPTION!N29*$B29</f>
        <v>690</v>
      </c>
      <c r="Q29" s="52">
        <f>+CONSUMPTION!O29*$B29</f>
        <v>125.35</v>
      </c>
      <c r="R29" s="52">
        <f>+CONSUMPTION!P29*$B29</f>
        <v>170.2</v>
      </c>
      <c r="S29" s="52">
        <f>+CONSUMPTION!Q29*$B29</f>
        <v>127.64999999999999</v>
      </c>
    </row>
    <row r="30" spans="1:19" ht="15" x14ac:dyDescent="0.25">
      <c r="A30" s="110" t="s">
        <v>86</v>
      </c>
      <c r="B30" s="136">
        <f>+'Modeling &amp; Presentation'!L13</f>
        <v>2.4199999999999999E-2</v>
      </c>
      <c r="C30" s="157">
        <f>+CONSUMPTION!D30</f>
        <v>999999999</v>
      </c>
      <c r="D30" s="42">
        <f>+CONSUMPTION!C30</f>
        <v>2.4199999999999999E-2</v>
      </c>
      <c r="E30" s="43">
        <f t="shared" si="1"/>
        <v>0</v>
      </c>
      <c r="F30" s="158">
        <f>+CONSUMPTION!E30</f>
        <v>255200</v>
      </c>
      <c r="G30" s="156">
        <f t="shared" si="0"/>
        <v>6175.8399999999992</v>
      </c>
      <c r="H30" s="52">
        <f>+CONSUMPTION!F30*$B30</f>
        <v>0</v>
      </c>
      <c r="I30" s="52">
        <f>+CONSUMPTION!G30*$B30</f>
        <v>0</v>
      </c>
      <c r="J30" s="52">
        <f>+CONSUMPTION!H30*$B30</f>
        <v>0</v>
      </c>
      <c r="K30" s="52">
        <f>+CONSUMPTION!I30*$B30</f>
        <v>0</v>
      </c>
      <c r="L30" s="52">
        <f>+CONSUMPTION!J30*$B30</f>
        <v>0</v>
      </c>
      <c r="M30" s="52">
        <f>+CONSUMPTION!K30*$B30</f>
        <v>0</v>
      </c>
      <c r="N30" s="52">
        <f>+CONSUMPTION!L30*$B30</f>
        <v>1243.8799999999999</v>
      </c>
      <c r="O30" s="52">
        <f>+CONSUMPTION!M30*$B30</f>
        <v>3392.8399999999997</v>
      </c>
      <c r="P30" s="52">
        <f>+CONSUMPTION!N30*$B30</f>
        <v>1539.12</v>
      </c>
      <c r="Q30" s="52">
        <f>+CONSUMPTION!O30*$B30</f>
        <v>0</v>
      </c>
      <c r="R30" s="52">
        <f>+CONSUMPTION!P30*$B30</f>
        <v>0</v>
      </c>
      <c r="S30" s="52">
        <f>+CONSUMPTION!Q30*$B30</f>
        <v>0</v>
      </c>
    </row>
    <row r="31" spans="1:19" ht="15" x14ac:dyDescent="0.25">
      <c r="A31" s="1" t="s">
        <v>10</v>
      </c>
      <c r="B31" s="136">
        <f>+'Modeling &amp; Presentation'!F17</f>
        <v>1.06E-2</v>
      </c>
      <c r="C31" s="157">
        <f>+CONSUMPTION!D31</f>
        <v>600</v>
      </c>
      <c r="D31" s="42">
        <f>+CONSUMPTION!C31</f>
        <v>0.01</v>
      </c>
      <c r="E31" s="43">
        <f t="shared" si="1"/>
        <v>6.0000000000000053E-2</v>
      </c>
      <c r="F31" s="158">
        <f>+CONSUMPTION!E31</f>
        <v>981600</v>
      </c>
      <c r="G31" s="156">
        <f t="shared" si="0"/>
        <v>10404.959999999999</v>
      </c>
      <c r="H31" s="52">
        <f>+CONSUMPTION!F31*$B31</f>
        <v>611.62</v>
      </c>
      <c r="I31" s="52">
        <f>+CONSUMPTION!G31*$B31</f>
        <v>617.98</v>
      </c>
      <c r="J31" s="52">
        <f>+CONSUMPTION!H31*$B31</f>
        <v>568.16</v>
      </c>
      <c r="K31" s="52">
        <f>+CONSUMPTION!I31*$B31</f>
        <v>628.58000000000004</v>
      </c>
      <c r="L31" s="52">
        <f>+CONSUMPTION!J31*$B31</f>
        <v>713.38</v>
      </c>
      <c r="M31" s="52">
        <f>+CONSUMPTION!K31*$B31</f>
        <v>1101.3399999999999</v>
      </c>
      <c r="N31" s="52">
        <f>+CONSUMPTION!L31*$B31</f>
        <v>1202.04</v>
      </c>
      <c r="O31" s="52">
        <f>+CONSUMPTION!M31*$B31</f>
        <v>1229.5999999999999</v>
      </c>
      <c r="P31" s="52">
        <f>+CONSUMPTION!N31*$B31</f>
        <v>1274.1200000000001</v>
      </c>
      <c r="Q31" s="52">
        <f>+CONSUMPTION!O31*$B31</f>
        <v>1086.5</v>
      </c>
      <c r="R31" s="52">
        <f>+CONSUMPTION!P31*$B31</f>
        <v>732.46</v>
      </c>
      <c r="S31" s="52">
        <f>+CONSUMPTION!Q31*$B31</f>
        <v>639.17999999999995</v>
      </c>
    </row>
    <row r="32" spans="1:19" ht="15" x14ac:dyDescent="0.25">
      <c r="A32" s="1" t="s">
        <v>10</v>
      </c>
      <c r="B32" s="136">
        <f>+'Modeling &amp; Presentation'!I17</f>
        <v>1.15E-2</v>
      </c>
      <c r="C32" s="157">
        <f>+CONSUMPTION!D32</f>
        <v>2400</v>
      </c>
      <c r="D32" s="42">
        <f>+CONSUMPTION!C32</f>
        <v>1.15E-2</v>
      </c>
      <c r="E32" s="43">
        <f t="shared" si="1"/>
        <v>0</v>
      </c>
      <c r="F32" s="158">
        <f>+CONSUMPTION!E32</f>
        <v>1718200</v>
      </c>
      <c r="G32" s="156">
        <f t="shared" si="0"/>
        <v>19759.299999999996</v>
      </c>
      <c r="H32" s="52">
        <f>+CONSUMPTION!F32*$B32</f>
        <v>733.69999999999993</v>
      </c>
      <c r="I32" s="52">
        <f>+CONSUMPTION!G32*$B32</f>
        <v>719.9</v>
      </c>
      <c r="J32" s="52">
        <f>+CONSUMPTION!H32*$B32</f>
        <v>561.20000000000005</v>
      </c>
      <c r="K32" s="52">
        <f>+CONSUMPTION!I32*$B32</f>
        <v>838.35</v>
      </c>
      <c r="L32" s="52">
        <f>+CONSUMPTION!J32*$B32</f>
        <v>908.5</v>
      </c>
      <c r="M32" s="52">
        <f>+CONSUMPTION!K32*$B32</f>
        <v>2317.25</v>
      </c>
      <c r="N32" s="52">
        <f>+CONSUMPTION!L32*$B32</f>
        <v>2852</v>
      </c>
      <c r="O32" s="52">
        <f>+CONSUMPTION!M32*$B32</f>
        <v>3211.95</v>
      </c>
      <c r="P32" s="52">
        <f>+CONSUMPTION!N32*$B32</f>
        <v>3443.1</v>
      </c>
      <c r="Q32" s="52">
        <f>+CONSUMPTION!O32*$B32</f>
        <v>2202.25</v>
      </c>
      <c r="R32" s="52">
        <f>+CONSUMPTION!P32*$B32</f>
        <v>1123.55</v>
      </c>
      <c r="S32" s="52">
        <f>+CONSUMPTION!Q32*$B32</f>
        <v>847.55</v>
      </c>
    </row>
    <row r="33" spans="1:19" ht="15" x14ac:dyDescent="0.25">
      <c r="A33" s="1" t="s">
        <v>10</v>
      </c>
      <c r="B33" s="136">
        <f>+'Modeling &amp; Presentation'!L17</f>
        <v>2.4199999999999999E-2</v>
      </c>
      <c r="C33" s="157">
        <f>+CONSUMPTION!D33</f>
        <v>999999999</v>
      </c>
      <c r="D33" s="42">
        <f>+CONSUMPTION!C33</f>
        <v>2.4199999999999999E-2</v>
      </c>
      <c r="E33" s="43">
        <f t="shared" si="1"/>
        <v>0</v>
      </c>
      <c r="F33" s="158">
        <f>+CONSUMPTION!E33</f>
        <v>1934700</v>
      </c>
      <c r="G33" s="156">
        <f t="shared" si="0"/>
        <v>46819.74</v>
      </c>
      <c r="H33" s="52">
        <f>+CONSUMPTION!F33*$B33</f>
        <v>1154.3399999999999</v>
      </c>
      <c r="I33" s="52">
        <f>+CONSUMPTION!G33*$B33</f>
        <v>4297.92</v>
      </c>
      <c r="J33" s="52">
        <f>+CONSUMPTION!H33*$B33</f>
        <v>220.22</v>
      </c>
      <c r="K33" s="52">
        <f>+CONSUMPTION!I33*$B33</f>
        <v>1493.1399999999999</v>
      </c>
      <c r="L33" s="52">
        <f>+CONSUMPTION!J33*$B33</f>
        <v>544.5</v>
      </c>
      <c r="M33" s="52">
        <f>+CONSUMPTION!K33*$B33</f>
        <v>3574.3399999999997</v>
      </c>
      <c r="N33" s="52">
        <f>+CONSUMPTION!L33*$B33</f>
        <v>7339.86</v>
      </c>
      <c r="O33" s="52">
        <f>+CONSUMPTION!M33*$B33</f>
        <v>9075</v>
      </c>
      <c r="P33" s="52">
        <f>+CONSUMPTION!N33*$B33</f>
        <v>11388.52</v>
      </c>
      <c r="Q33" s="52">
        <f>+CONSUMPTION!O33*$B33</f>
        <v>4697.22</v>
      </c>
      <c r="R33" s="52">
        <f>+CONSUMPTION!P33*$B33</f>
        <v>2144.12</v>
      </c>
      <c r="S33" s="52">
        <f>+CONSUMPTION!Q33*$B33</f>
        <v>890.56</v>
      </c>
    </row>
    <row r="34" spans="1:19" ht="15" x14ac:dyDescent="0.25">
      <c r="A34" s="1" t="s">
        <v>11</v>
      </c>
      <c r="B34" s="136">
        <f>+'Modeling &amp; Presentation'!F18</f>
        <v>1.06E-2</v>
      </c>
      <c r="C34" s="157">
        <f>+CONSUMPTION!D34</f>
        <v>1500</v>
      </c>
      <c r="D34" s="42">
        <f>+CONSUMPTION!C34</f>
        <v>0.01</v>
      </c>
      <c r="E34" s="43">
        <f t="shared" si="1"/>
        <v>6.0000000000000053E-2</v>
      </c>
      <c r="F34" s="158">
        <f>+CONSUMPTION!E34</f>
        <v>1476900</v>
      </c>
      <c r="G34" s="156">
        <f t="shared" si="0"/>
        <v>15655.140000000001</v>
      </c>
      <c r="H34" s="52">
        <f>+CONSUMPTION!F34*$B34</f>
        <v>910.54</v>
      </c>
      <c r="I34" s="52">
        <f>+CONSUMPTION!G34*$B34</f>
        <v>902.06000000000006</v>
      </c>
      <c r="J34" s="52">
        <f>+CONSUMPTION!H34*$B34</f>
        <v>891.46</v>
      </c>
      <c r="K34" s="52">
        <f>+CONSUMPTION!I34*$B34</f>
        <v>943.4</v>
      </c>
      <c r="L34" s="52">
        <f>+CONSUMPTION!J34*$B34</f>
        <v>1051.52</v>
      </c>
      <c r="M34" s="52">
        <f>+CONSUMPTION!K34*$B34</f>
        <v>1557.14</v>
      </c>
      <c r="N34" s="52">
        <f>+CONSUMPTION!L34*$B34</f>
        <v>1902.7</v>
      </c>
      <c r="O34" s="52">
        <f>+CONSUMPTION!M34*$B34</f>
        <v>1899.52</v>
      </c>
      <c r="P34" s="52">
        <f>+CONSUMPTION!N34*$B34</f>
        <v>1944.04</v>
      </c>
      <c r="Q34" s="52">
        <f>+CONSUMPTION!O34*$B34</f>
        <v>1543.36</v>
      </c>
      <c r="R34" s="52">
        <f>+CONSUMPTION!P34*$B34</f>
        <v>1156.46</v>
      </c>
      <c r="S34" s="52">
        <f>+CONSUMPTION!Q34*$B34</f>
        <v>952.94</v>
      </c>
    </row>
    <row r="35" spans="1:19" ht="15" x14ac:dyDescent="0.25">
      <c r="A35" s="1" t="s">
        <v>11</v>
      </c>
      <c r="B35" s="136">
        <f>+'Modeling &amp; Presentation'!I18</f>
        <v>1.15E-2</v>
      </c>
      <c r="C35" s="157">
        <f>+CONSUMPTION!D35</f>
        <v>6000</v>
      </c>
      <c r="D35" s="42">
        <f>+CONSUMPTION!C35</f>
        <v>1.15E-2</v>
      </c>
      <c r="E35" s="43">
        <f t="shared" si="1"/>
        <v>0</v>
      </c>
      <c r="F35" s="158">
        <f>+CONSUMPTION!E35</f>
        <v>2470700</v>
      </c>
      <c r="G35" s="156">
        <f t="shared" si="0"/>
        <v>28413.05</v>
      </c>
      <c r="H35" s="52">
        <f>+CONSUMPTION!F35*$B35</f>
        <v>1159.2</v>
      </c>
      <c r="I35" s="52">
        <f>+CONSUMPTION!G35*$B35</f>
        <v>980.94999999999993</v>
      </c>
      <c r="J35" s="52">
        <f>+CONSUMPTION!H35*$B35</f>
        <v>975.19999999999993</v>
      </c>
      <c r="K35" s="52">
        <f>+CONSUMPTION!I35*$B35</f>
        <v>1148.8499999999999</v>
      </c>
      <c r="L35" s="52">
        <f>+CONSUMPTION!J35*$B35</f>
        <v>1307.55</v>
      </c>
      <c r="M35" s="52">
        <f>+CONSUMPTION!K35*$B35</f>
        <v>3217.7</v>
      </c>
      <c r="N35" s="52">
        <f>+CONSUMPTION!L35*$B35</f>
        <v>4844.95</v>
      </c>
      <c r="O35" s="52">
        <f>+CONSUMPTION!M35*$B35</f>
        <v>4977.2</v>
      </c>
      <c r="P35" s="52">
        <f>+CONSUMPTION!N35*$B35</f>
        <v>5108.3</v>
      </c>
      <c r="Q35" s="52">
        <f>+CONSUMPTION!O35*$B35</f>
        <v>2321.85</v>
      </c>
      <c r="R35" s="52">
        <f>+CONSUMPTION!P35*$B35</f>
        <v>1361.6</v>
      </c>
      <c r="S35" s="52">
        <f>+CONSUMPTION!Q35*$B35</f>
        <v>1009.6999999999999</v>
      </c>
    </row>
    <row r="36" spans="1:19" ht="15" x14ac:dyDescent="0.25">
      <c r="A36" s="1" t="s">
        <v>11</v>
      </c>
      <c r="B36" s="136">
        <f>+'Modeling &amp; Presentation'!L18</f>
        <v>2.4199999999999999E-2</v>
      </c>
      <c r="C36" s="157">
        <f>+CONSUMPTION!D36</f>
        <v>999999999</v>
      </c>
      <c r="D36" s="42">
        <f>+CONSUMPTION!C36</f>
        <v>2.4199999999999999E-2</v>
      </c>
      <c r="E36" s="43">
        <f t="shared" si="1"/>
        <v>0</v>
      </c>
      <c r="F36" s="158">
        <f>+CONSUMPTION!E36</f>
        <v>2330700</v>
      </c>
      <c r="G36" s="156">
        <f t="shared" si="0"/>
        <v>56402.939999999995</v>
      </c>
      <c r="H36" s="52">
        <f>+CONSUMPTION!F36*$B36</f>
        <v>892.98</v>
      </c>
      <c r="I36" s="52">
        <f>+CONSUMPTION!G36*$B36</f>
        <v>834.9</v>
      </c>
      <c r="J36" s="52">
        <f>+CONSUMPTION!H36*$B36</f>
        <v>713.9</v>
      </c>
      <c r="K36" s="52">
        <f>+CONSUMPTION!I36*$B36</f>
        <v>1188.22</v>
      </c>
      <c r="L36" s="52">
        <f>+CONSUMPTION!J36*$B36</f>
        <v>1326.1599999999999</v>
      </c>
      <c r="M36" s="52">
        <f>+CONSUMPTION!K36*$B36</f>
        <v>4982.78</v>
      </c>
      <c r="N36" s="52">
        <f>+CONSUMPTION!L36*$B36</f>
        <v>9762.2799999999988</v>
      </c>
      <c r="O36" s="52">
        <f>+CONSUMPTION!M36*$B36</f>
        <v>15250.84</v>
      </c>
      <c r="P36" s="52">
        <f>+CONSUMPTION!N36*$B36</f>
        <v>18021.739999999998</v>
      </c>
      <c r="Q36" s="52">
        <f>+CONSUMPTION!O36*$B36</f>
        <v>2369.1799999999998</v>
      </c>
      <c r="R36" s="52">
        <f>+CONSUMPTION!P36*$B36</f>
        <v>713.9</v>
      </c>
      <c r="S36" s="52">
        <f>+CONSUMPTION!Q36*$B36</f>
        <v>346.06</v>
      </c>
    </row>
    <row r="37" spans="1:19" ht="15" x14ac:dyDescent="0.25">
      <c r="A37" s="1" t="s">
        <v>12</v>
      </c>
      <c r="B37" s="136">
        <f>+'Modeling &amp; Presentation'!F19</f>
        <v>1.06E-2</v>
      </c>
      <c r="C37" s="157">
        <f>+CONSUMPTION!D37</f>
        <v>3000</v>
      </c>
      <c r="D37" s="42">
        <f>+CONSUMPTION!C37</f>
        <v>0.01</v>
      </c>
      <c r="E37" s="43">
        <f t="shared" si="1"/>
        <v>6.0000000000000053E-2</v>
      </c>
      <c r="F37" s="158">
        <f>+CONSUMPTION!E37</f>
        <v>542700</v>
      </c>
      <c r="G37" s="156">
        <f t="shared" si="0"/>
        <v>5752.62</v>
      </c>
      <c r="H37" s="52">
        <f>+CONSUMPTION!F37*$B37</f>
        <v>268.18</v>
      </c>
      <c r="I37" s="52">
        <f>+CONSUMPTION!G37*$B37</f>
        <v>248.04</v>
      </c>
      <c r="J37" s="52">
        <f>+CONSUMPTION!H37*$B37</f>
        <v>189.74</v>
      </c>
      <c r="K37" s="52">
        <f>+CONSUMPTION!I37*$B37</f>
        <v>293.62</v>
      </c>
      <c r="L37" s="52">
        <f>+CONSUMPTION!J37*$B37</f>
        <v>311.64</v>
      </c>
      <c r="M37" s="52">
        <f>+CONSUMPTION!K37*$B37</f>
        <v>745.18</v>
      </c>
      <c r="N37" s="52">
        <f>+CONSUMPTION!L37*$B37</f>
        <v>816.2</v>
      </c>
      <c r="O37" s="52">
        <f>+CONSUMPTION!M37*$B37</f>
        <v>845.88</v>
      </c>
      <c r="P37" s="52">
        <f>+CONSUMPTION!N37*$B37</f>
        <v>833.16</v>
      </c>
      <c r="Q37" s="52">
        <f>+CONSUMPTION!O37*$B37</f>
        <v>629.64</v>
      </c>
      <c r="R37" s="52">
        <f>+CONSUMPTION!P37*$B37</f>
        <v>307.39999999999998</v>
      </c>
      <c r="S37" s="52">
        <f>+CONSUMPTION!Q37*$B37</f>
        <v>263.94</v>
      </c>
    </row>
    <row r="38" spans="1:19" ht="15" x14ac:dyDescent="0.25">
      <c r="A38" s="1" t="s">
        <v>12</v>
      </c>
      <c r="B38" s="136">
        <f>+'Modeling &amp; Presentation'!I19</f>
        <v>1.15E-2</v>
      </c>
      <c r="C38" s="157">
        <f>+CONSUMPTION!D38</f>
        <v>12000</v>
      </c>
      <c r="D38" s="42">
        <f>+CONSUMPTION!C38</f>
        <v>1.15E-2</v>
      </c>
      <c r="E38" s="43">
        <f t="shared" si="1"/>
        <v>0</v>
      </c>
      <c r="F38" s="158">
        <f>+CONSUMPTION!E38</f>
        <v>958200</v>
      </c>
      <c r="G38" s="156">
        <f t="shared" si="0"/>
        <v>11019.3</v>
      </c>
      <c r="H38" s="52">
        <f>+CONSUMPTION!F38*$B38</f>
        <v>240.35</v>
      </c>
      <c r="I38" s="52">
        <f>+CONSUMPTION!G38*$B38</f>
        <v>124.2</v>
      </c>
      <c r="J38" s="52">
        <f>+CONSUMPTION!H38*$B38</f>
        <v>104.64999999999999</v>
      </c>
      <c r="K38" s="52">
        <f>+CONSUMPTION!I38*$B38</f>
        <v>149.5</v>
      </c>
      <c r="L38" s="52">
        <f>+CONSUMPTION!J38*$B38</f>
        <v>115</v>
      </c>
      <c r="M38" s="52">
        <f>+CONSUMPTION!K38*$B38</f>
        <v>1727.3</v>
      </c>
      <c r="N38" s="52">
        <f>+CONSUMPTION!L38*$B38</f>
        <v>2053.9</v>
      </c>
      <c r="O38" s="52">
        <f>+CONSUMPTION!M38*$B38</f>
        <v>2226.4</v>
      </c>
      <c r="P38" s="52">
        <f>+CONSUMPTION!N38*$B38</f>
        <v>2427.65</v>
      </c>
      <c r="Q38" s="52">
        <f>+CONSUMPTION!O38*$B38</f>
        <v>1449</v>
      </c>
      <c r="R38" s="52">
        <f>+CONSUMPTION!P38*$B38</f>
        <v>133.4</v>
      </c>
      <c r="S38" s="52">
        <f>+CONSUMPTION!Q38*$B38</f>
        <v>267.95</v>
      </c>
    </row>
    <row r="39" spans="1:19" ht="15" x14ac:dyDescent="0.25">
      <c r="A39" s="1" t="s">
        <v>12</v>
      </c>
      <c r="B39" s="136">
        <f>+'Modeling &amp; Presentation'!L19</f>
        <v>2.4199999999999999E-2</v>
      </c>
      <c r="C39" s="157">
        <f>+CONSUMPTION!D39</f>
        <v>999999999</v>
      </c>
      <c r="D39" s="42">
        <f>+CONSUMPTION!C39</f>
        <v>2.4199999999999999E-2</v>
      </c>
      <c r="E39" s="43">
        <f t="shared" si="1"/>
        <v>0</v>
      </c>
      <c r="F39" s="158">
        <f>+CONSUMPTION!E39</f>
        <v>1435500</v>
      </c>
      <c r="G39" s="156">
        <f t="shared" si="0"/>
        <v>34739.099999999991</v>
      </c>
      <c r="H39" s="52">
        <f>+CONSUMPTION!F39*$B39</f>
        <v>0</v>
      </c>
      <c r="I39" s="52">
        <f>+CONSUMPTION!G39*$B39</f>
        <v>0</v>
      </c>
      <c r="J39" s="52">
        <f>+CONSUMPTION!H39*$B39</f>
        <v>0</v>
      </c>
      <c r="K39" s="52">
        <f>+CONSUMPTION!I39*$B39</f>
        <v>0</v>
      </c>
      <c r="L39" s="52">
        <f>+CONSUMPTION!J39*$B39</f>
        <v>0</v>
      </c>
      <c r="M39" s="52">
        <f>+CONSUMPTION!K39*$B39</f>
        <v>3017.74</v>
      </c>
      <c r="N39" s="52">
        <f>+CONSUMPTION!L39*$B39</f>
        <v>6964.76</v>
      </c>
      <c r="O39" s="52">
        <f>+CONSUMPTION!M39*$B39</f>
        <v>8915.2799999999988</v>
      </c>
      <c r="P39" s="52">
        <f>+CONSUMPTION!N39*$B39</f>
        <v>13343.88</v>
      </c>
      <c r="Q39" s="52">
        <f>+CONSUMPTION!O39*$B39</f>
        <v>2422.42</v>
      </c>
      <c r="R39" s="52">
        <f>+CONSUMPTION!P39*$B39</f>
        <v>0</v>
      </c>
      <c r="S39" s="52">
        <f>+CONSUMPTION!Q39*$B39</f>
        <v>75.02</v>
      </c>
    </row>
    <row r="40" spans="1:19" ht="15" x14ac:dyDescent="0.25">
      <c r="A40" s="1" t="s">
        <v>13</v>
      </c>
      <c r="B40" s="136">
        <f>+'Modeling &amp; Presentation'!F20</f>
        <v>1.06E-2</v>
      </c>
      <c r="C40" s="157">
        <f>+CONSUMPTION!D40</f>
        <v>4800</v>
      </c>
      <c r="D40" s="42">
        <f>+CONSUMPTION!C40</f>
        <v>0.01</v>
      </c>
      <c r="E40" s="43">
        <f t="shared" si="1"/>
        <v>6.0000000000000053E-2</v>
      </c>
      <c r="F40" s="158">
        <f>+CONSUMPTION!E40</f>
        <v>4072300</v>
      </c>
      <c r="G40" s="156">
        <f t="shared" si="0"/>
        <v>43166.380000000005</v>
      </c>
      <c r="H40" s="52">
        <f>+CONSUMPTION!F40*$B40</f>
        <v>2958.46</v>
      </c>
      <c r="I40" s="52">
        <f>+CONSUMPTION!G40*$B40</f>
        <v>3119.58</v>
      </c>
      <c r="J40" s="52">
        <f>+CONSUMPTION!H40*$B40</f>
        <v>2739.04</v>
      </c>
      <c r="K40" s="52">
        <f>+CONSUMPTION!I40*$B40</f>
        <v>3214.98</v>
      </c>
      <c r="L40" s="52">
        <f>+CONSUMPTION!J40*$B40</f>
        <v>3387.76</v>
      </c>
      <c r="M40" s="52">
        <f>+CONSUMPTION!K40*$B40</f>
        <v>4262.26</v>
      </c>
      <c r="N40" s="52">
        <f>+CONSUMPTION!L40*$B40</f>
        <v>4220.92</v>
      </c>
      <c r="O40" s="52">
        <f>+CONSUMPTION!M40*$B40</f>
        <v>4075.7</v>
      </c>
      <c r="P40" s="52">
        <f>+CONSUMPTION!N40*$B40</f>
        <v>4361.8999999999996</v>
      </c>
      <c r="Q40" s="52">
        <f>+CONSUMPTION!O40*$B40</f>
        <v>3934.72</v>
      </c>
      <c r="R40" s="52">
        <f>+CONSUMPTION!P40*$B40</f>
        <v>3453.48</v>
      </c>
      <c r="S40" s="52">
        <f>+CONSUMPTION!Q40*$B40</f>
        <v>3437.58</v>
      </c>
    </row>
    <row r="41" spans="1:19" ht="15" x14ac:dyDescent="0.25">
      <c r="A41" s="1" t="s">
        <v>13</v>
      </c>
      <c r="B41" s="136">
        <f>+'Modeling &amp; Presentation'!I20</f>
        <v>1.15E-2</v>
      </c>
      <c r="C41" s="157">
        <f>+CONSUMPTION!D41</f>
        <v>19200</v>
      </c>
      <c r="D41" s="42">
        <f>+CONSUMPTION!C41</f>
        <v>1.15E-2</v>
      </c>
      <c r="E41" s="43">
        <f t="shared" si="1"/>
        <v>0</v>
      </c>
      <c r="F41" s="158">
        <f>+CONSUMPTION!E41</f>
        <v>5118600</v>
      </c>
      <c r="G41" s="156">
        <f t="shared" si="0"/>
        <v>58863.899999999994</v>
      </c>
      <c r="H41" s="52">
        <f>+CONSUMPTION!F41*$B41</f>
        <v>3232.65</v>
      </c>
      <c r="I41" s="52">
        <f>+CONSUMPTION!G41*$B41</f>
        <v>3381</v>
      </c>
      <c r="J41" s="52">
        <f>+CONSUMPTION!H41*$B41</f>
        <v>2747.35</v>
      </c>
      <c r="K41" s="52">
        <f>+CONSUMPTION!I41*$B41</f>
        <v>3865.15</v>
      </c>
      <c r="L41" s="52">
        <f>+CONSUMPTION!J41*$B41</f>
        <v>4157.25</v>
      </c>
      <c r="M41" s="52">
        <f>+CONSUMPTION!K41*$B41</f>
        <v>6828.7</v>
      </c>
      <c r="N41" s="52">
        <f>+CONSUMPTION!L41*$B41</f>
        <v>7759.05</v>
      </c>
      <c r="O41" s="52">
        <f>+CONSUMPTION!M41*$B41</f>
        <v>7341.5999999999995</v>
      </c>
      <c r="P41" s="52">
        <f>+CONSUMPTION!N41*$B41</f>
        <v>7878.65</v>
      </c>
      <c r="Q41" s="52">
        <f>+CONSUMPTION!O41*$B41</f>
        <v>4379.2</v>
      </c>
      <c r="R41" s="52">
        <f>+CONSUMPTION!P41*$B41</f>
        <v>3775.45</v>
      </c>
      <c r="S41" s="52">
        <f>+CONSUMPTION!Q41*$B41</f>
        <v>3517.85</v>
      </c>
    </row>
    <row r="42" spans="1:19" ht="15" x14ac:dyDescent="0.25">
      <c r="A42" s="1" t="s">
        <v>13</v>
      </c>
      <c r="B42" s="136">
        <f>+'Modeling &amp; Presentation'!L20</f>
        <v>2.4199999999999999E-2</v>
      </c>
      <c r="C42" s="157">
        <f>+CONSUMPTION!D42</f>
        <v>999999999</v>
      </c>
      <c r="D42" s="42">
        <f>+CONSUMPTION!C42</f>
        <v>2.4199999999999999E-2</v>
      </c>
      <c r="E42" s="43">
        <f t="shared" si="1"/>
        <v>0</v>
      </c>
      <c r="F42" s="158">
        <f>+CONSUMPTION!E42</f>
        <v>4374600</v>
      </c>
      <c r="G42" s="156">
        <f t="shared" si="0"/>
        <v>105865.32</v>
      </c>
      <c r="H42" s="52">
        <f>+CONSUMPTION!F42*$B42</f>
        <v>808.28</v>
      </c>
      <c r="I42" s="52">
        <f>+CONSUMPTION!G42*$B42</f>
        <v>2347.4</v>
      </c>
      <c r="J42" s="52">
        <f>+CONSUMPTION!H42*$B42</f>
        <v>3146</v>
      </c>
      <c r="K42" s="52">
        <f>+CONSUMPTION!I42*$B42</f>
        <v>3148.42</v>
      </c>
      <c r="L42" s="52">
        <f>+CONSUMPTION!J42*$B42</f>
        <v>3538.04</v>
      </c>
      <c r="M42" s="52">
        <f>+CONSUMPTION!K42*$B42</f>
        <v>13610.08</v>
      </c>
      <c r="N42" s="52">
        <f>+CONSUMPTION!L42*$B42</f>
        <v>20645.02</v>
      </c>
      <c r="O42" s="52">
        <f>+CONSUMPTION!M42*$B42</f>
        <v>25192.2</v>
      </c>
      <c r="P42" s="52">
        <f>+CONSUMPTION!N42*$B42</f>
        <v>24454.1</v>
      </c>
      <c r="Q42" s="52">
        <f>+CONSUMPTION!O42*$B42</f>
        <v>3271.8399999999997</v>
      </c>
      <c r="R42" s="52">
        <f>+CONSUMPTION!P42*$B42</f>
        <v>2860.44</v>
      </c>
      <c r="S42" s="52">
        <f>+CONSUMPTION!Q42*$B42</f>
        <v>2843.5</v>
      </c>
    </row>
    <row r="43" spans="1:19" ht="15" x14ac:dyDescent="0.25">
      <c r="A43" s="1" t="s">
        <v>14</v>
      </c>
      <c r="B43" s="136">
        <f>+'Modeling &amp; Presentation'!F21</f>
        <v>1.06E-2</v>
      </c>
      <c r="C43" s="157">
        <f>+CONSUMPTION!D43</f>
        <v>9000</v>
      </c>
      <c r="D43" s="42">
        <f>+CONSUMPTION!C43</f>
        <v>0.01</v>
      </c>
      <c r="E43" s="43">
        <f t="shared" si="1"/>
        <v>6.0000000000000053E-2</v>
      </c>
      <c r="F43" s="158">
        <f>+CONSUMPTION!E43</f>
        <v>1345600</v>
      </c>
      <c r="G43" s="156">
        <f t="shared" si="0"/>
        <v>14263.359999999999</v>
      </c>
      <c r="H43" s="52">
        <f>+CONSUMPTION!F43*$B43</f>
        <v>891.46</v>
      </c>
      <c r="I43" s="52">
        <f>+CONSUMPTION!G43*$B43</f>
        <v>1151.1600000000001</v>
      </c>
      <c r="J43" s="52">
        <f>+CONSUMPTION!H43*$B43</f>
        <v>1037.74</v>
      </c>
      <c r="K43" s="52">
        <f>+CONSUMPTION!I43*$B43</f>
        <v>1199.92</v>
      </c>
      <c r="L43" s="52">
        <f>+CONSUMPTION!J43*$B43</f>
        <v>1266.7</v>
      </c>
      <c r="M43" s="52">
        <f>+CONSUMPTION!K43*$B43</f>
        <v>1382.24</v>
      </c>
      <c r="N43" s="52">
        <f>+CONSUMPTION!L43*$B43</f>
        <v>1235.96</v>
      </c>
      <c r="O43" s="52">
        <f>+CONSUMPTION!M43*$B43</f>
        <v>1087.56</v>
      </c>
      <c r="P43" s="52">
        <f>+CONSUMPTION!N43*$B43</f>
        <v>1255.04</v>
      </c>
      <c r="Q43" s="52">
        <f>+CONSUMPTION!O43*$B43</f>
        <v>1249.74</v>
      </c>
      <c r="R43" s="52">
        <f>+CONSUMPTION!P43*$B43</f>
        <v>1274.1200000000001</v>
      </c>
      <c r="S43" s="52">
        <f>+CONSUMPTION!Q43*$B43</f>
        <v>1231.72</v>
      </c>
    </row>
    <row r="44" spans="1:19" ht="15" x14ac:dyDescent="0.25">
      <c r="A44" s="1" t="s">
        <v>14</v>
      </c>
      <c r="B44" s="136">
        <f>+'Modeling &amp; Presentation'!I21</f>
        <v>1.15E-2</v>
      </c>
      <c r="C44" s="157">
        <f>+CONSUMPTION!D44</f>
        <v>36000</v>
      </c>
      <c r="D44" s="42">
        <f>+CONSUMPTION!C44</f>
        <v>1.15E-2</v>
      </c>
      <c r="E44" s="43">
        <f t="shared" si="1"/>
        <v>0</v>
      </c>
      <c r="F44" s="158">
        <f>+CONSUMPTION!E44</f>
        <v>1823500</v>
      </c>
      <c r="G44" s="156">
        <f t="shared" si="0"/>
        <v>20970.25</v>
      </c>
      <c r="H44" s="52">
        <f>+CONSUMPTION!F44*$B44</f>
        <v>1083.3</v>
      </c>
      <c r="I44" s="52">
        <f>+CONSUMPTION!G44*$B44</f>
        <v>1135.05</v>
      </c>
      <c r="J44" s="52">
        <f>+CONSUMPTION!H44*$B44</f>
        <v>1286.8499999999999</v>
      </c>
      <c r="K44" s="52">
        <f>+CONSUMPTION!I44*$B44</f>
        <v>1711.2</v>
      </c>
      <c r="L44" s="52">
        <f>+CONSUMPTION!J44*$B44</f>
        <v>2038.95</v>
      </c>
      <c r="M44" s="52">
        <f>+CONSUMPTION!K44*$B44</f>
        <v>2498.9499999999998</v>
      </c>
      <c r="N44" s="52">
        <f>+CONSUMPTION!L44*$B44</f>
        <v>2159.6999999999998</v>
      </c>
      <c r="O44" s="52">
        <f>+CONSUMPTION!M44*$B44</f>
        <v>2237.9</v>
      </c>
      <c r="P44" s="52">
        <f>+CONSUMPTION!N44*$B44</f>
        <v>2639.25</v>
      </c>
      <c r="Q44" s="52">
        <f>+CONSUMPTION!O44*$B44</f>
        <v>1223.5999999999999</v>
      </c>
      <c r="R44" s="52">
        <f>+CONSUMPTION!P44*$B44</f>
        <v>1493.85</v>
      </c>
      <c r="S44" s="52">
        <f>+CONSUMPTION!Q44*$B44</f>
        <v>1461.6499999999999</v>
      </c>
    </row>
    <row r="45" spans="1:19" ht="15" x14ac:dyDescent="0.25">
      <c r="A45" s="1" t="s">
        <v>14</v>
      </c>
      <c r="B45" s="136">
        <f>+'Modeling &amp; Presentation'!L21</f>
        <v>2.4199999999999999E-2</v>
      </c>
      <c r="C45" s="157">
        <f>+CONSUMPTION!D45</f>
        <v>999999999</v>
      </c>
      <c r="D45" s="42">
        <f>+CONSUMPTION!C45</f>
        <v>2.4199999999999999E-2</v>
      </c>
      <c r="E45" s="43">
        <f t="shared" si="1"/>
        <v>0</v>
      </c>
      <c r="F45" s="158">
        <f>+CONSUMPTION!E45</f>
        <v>731300</v>
      </c>
      <c r="G45" s="156">
        <f t="shared" si="0"/>
        <v>17697.46</v>
      </c>
      <c r="H45" s="52">
        <f>+CONSUMPTION!F45*$B45</f>
        <v>309.76</v>
      </c>
      <c r="I45" s="52">
        <f>+CONSUMPTION!G45*$B45</f>
        <v>0</v>
      </c>
      <c r="J45" s="52">
        <f>+CONSUMPTION!H45*$B45</f>
        <v>0</v>
      </c>
      <c r="K45" s="52">
        <f>+CONSUMPTION!I45*$B45</f>
        <v>0</v>
      </c>
      <c r="L45" s="52">
        <f>+CONSUMPTION!J45*$B45</f>
        <v>1212.42</v>
      </c>
      <c r="M45" s="52">
        <f>+CONSUMPTION!K45*$B45</f>
        <v>5425.6399999999994</v>
      </c>
      <c r="N45" s="52">
        <f>+CONSUMPTION!L45*$B45</f>
        <v>2599.08</v>
      </c>
      <c r="O45" s="52">
        <f>+CONSUMPTION!M45*$B45</f>
        <v>3063.72</v>
      </c>
      <c r="P45" s="52">
        <f>+CONSUMPTION!N45*$B45</f>
        <v>4547.18</v>
      </c>
      <c r="Q45" s="52">
        <f>+CONSUMPTION!O45*$B45</f>
        <v>193.6</v>
      </c>
      <c r="R45" s="52">
        <f>+CONSUMPTION!P45*$B45</f>
        <v>346.06</v>
      </c>
      <c r="S45" s="52">
        <f>+CONSUMPTION!Q45*$B45</f>
        <v>0</v>
      </c>
    </row>
    <row r="46" spans="1:19" ht="15" x14ac:dyDescent="0.25">
      <c r="A46" s="110" t="s">
        <v>61</v>
      </c>
      <c r="B46" s="136">
        <f>+'Modeling &amp; Presentation'!F22</f>
        <v>1.06E-2</v>
      </c>
      <c r="C46" s="157">
        <f>+CONSUMPTION!D46</f>
        <v>15000</v>
      </c>
      <c r="D46" s="42">
        <f>+CONSUMPTION!C46</f>
        <v>0.01</v>
      </c>
      <c r="E46" s="43">
        <f t="shared" si="1"/>
        <v>6.0000000000000053E-2</v>
      </c>
      <c r="F46" s="158">
        <f>+CONSUMPTION!E46</f>
        <v>181100</v>
      </c>
      <c r="G46" s="156">
        <f t="shared" si="0"/>
        <v>1919.6599999999999</v>
      </c>
      <c r="H46" s="52">
        <f>+CONSUMPTION!F46*$B46</f>
        <v>157.94</v>
      </c>
      <c r="I46" s="52">
        <f>+CONSUMPTION!G46*$B46</f>
        <v>160.06</v>
      </c>
      <c r="J46" s="52">
        <f>+CONSUMPTION!H46*$B46</f>
        <v>160.06</v>
      </c>
      <c r="K46" s="52">
        <f>+CONSUMPTION!I46*$B46</f>
        <v>160.06</v>
      </c>
      <c r="L46" s="52">
        <f>+CONSUMPTION!J46*$B46</f>
        <v>160.06</v>
      </c>
      <c r="M46" s="52">
        <f>+CONSUMPTION!K46*$B46</f>
        <v>162.18</v>
      </c>
      <c r="N46" s="52">
        <f>+CONSUMPTION!L46*$B46</f>
        <v>161.12</v>
      </c>
      <c r="O46" s="52">
        <f>+CONSUMPTION!M46*$B46</f>
        <v>161.12</v>
      </c>
      <c r="P46" s="52">
        <f>+CONSUMPTION!N46*$B46</f>
        <v>160.06</v>
      </c>
      <c r="Q46" s="52">
        <f>+CONSUMPTION!O46*$B46</f>
        <v>159</v>
      </c>
      <c r="R46" s="52">
        <f>+CONSUMPTION!P46*$B46</f>
        <v>159</v>
      </c>
      <c r="S46" s="52">
        <f>+CONSUMPTION!Q46*$B46</f>
        <v>159</v>
      </c>
    </row>
    <row r="47" spans="1:19" ht="15" x14ac:dyDescent="0.25">
      <c r="A47" s="110" t="s">
        <v>61</v>
      </c>
      <c r="B47" s="136">
        <f>+'Modeling &amp; Presentation'!I22</f>
        <v>1.15E-2</v>
      </c>
      <c r="C47" s="157">
        <f>+CONSUMPTION!D47</f>
        <v>60000</v>
      </c>
      <c r="D47" s="42">
        <f>+CONSUMPTION!C47</f>
        <v>1.15E-2</v>
      </c>
      <c r="E47" s="43">
        <f t="shared" si="1"/>
        <v>0</v>
      </c>
      <c r="F47" s="158">
        <f>+CONSUMPTION!E47</f>
        <v>367500</v>
      </c>
      <c r="G47" s="156">
        <f t="shared" si="0"/>
        <v>4226.25</v>
      </c>
      <c r="H47" s="52">
        <f>+CONSUMPTION!F47*$B47</f>
        <v>0</v>
      </c>
      <c r="I47" s="52">
        <f>+CONSUMPTION!G47*$B47</f>
        <v>106.95</v>
      </c>
      <c r="J47" s="52">
        <f>+CONSUMPTION!H47*$B47</f>
        <v>31.05</v>
      </c>
      <c r="K47" s="52">
        <f>+CONSUMPTION!I47*$B47</f>
        <v>112.7</v>
      </c>
      <c r="L47" s="52">
        <f>+CONSUMPTION!J47*$B47</f>
        <v>311.64999999999998</v>
      </c>
      <c r="M47" s="52">
        <f>+CONSUMPTION!K47*$B47</f>
        <v>690</v>
      </c>
      <c r="N47" s="52">
        <f>+CONSUMPTION!L47*$B47</f>
        <v>690</v>
      </c>
      <c r="O47" s="52">
        <f>+CONSUMPTION!M47*$B47</f>
        <v>690</v>
      </c>
      <c r="P47" s="52">
        <f>+CONSUMPTION!N47*$B47</f>
        <v>690</v>
      </c>
      <c r="Q47" s="52">
        <f>+CONSUMPTION!O47*$B47</f>
        <v>607.20000000000005</v>
      </c>
      <c r="R47" s="52">
        <f>+CONSUMPTION!P47*$B47</f>
        <v>216.2</v>
      </c>
      <c r="S47" s="52">
        <f>+CONSUMPTION!Q47*$B47</f>
        <v>80.5</v>
      </c>
    </row>
    <row r="48" spans="1:19" ht="15" x14ac:dyDescent="0.25">
      <c r="A48" s="110" t="s">
        <v>61</v>
      </c>
      <c r="B48" s="136">
        <f>+'Modeling &amp; Presentation'!L22</f>
        <v>2.4199999999999999E-2</v>
      </c>
      <c r="C48" s="157">
        <f>+CONSUMPTION!D48</f>
        <v>999999999</v>
      </c>
      <c r="D48" s="42">
        <f>+CONSUMPTION!C48</f>
        <v>2.4199999999999999E-2</v>
      </c>
      <c r="E48" s="43">
        <f t="shared" si="1"/>
        <v>0</v>
      </c>
      <c r="F48" s="158">
        <f>+CONSUMPTION!E48</f>
        <v>707600</v>
      </c>
      <c r="G48" s="156">
        <f t="shared" si="0"/>
        <v>17123.919999999998</v>
      </c>
      <c r="H48" s="52">
        <f>+CONSUMPTION!F48*$B48</f>
        <v>0</v>
      </c>
      <c r="I48" s="52">
        <f>+CONSUMPTION!G48*$B48</f>
        <v>0</v>
      </c>
      <c r="J48" s="52">
        <f>+CONSUMPTION!H48*$B48</f>
        <v>0</v>
      </c>
      <c r="K48" s="52">
        <f>+CONSUMPTION!I48*$B48</f>
        <v>0</v>
      </c>
      <c r="L48" s="52">
        <f>+CONSUMPTION!J48*$B48</f>
        <v>0</v>
      </c>
      <c r="M48" s="52">
        <f>+CONSUMPTION!K48*$B48</f>
        <v>2966.92</v>
      </c>
      <c r="N48" s="52">
        <f>+CONSUMPTION!L48*$B48</f>
        <v>4218.0599999999995</v>
      </c>
      <c r="O48" s="52">
        <f>+CONSUMPTION!M48*$B48</f>
        <v>5219.9399999999996</v>
      </c>
      <c r="P48" s="52">
        <f>+CONSUMPTION!N48*$B48</f>
        <v>4719</v>
      </c>
      <c r="Q48" s="52">
        <f>+CONSUMPTION!O48*$B48</f>
        <v>0</v>
      </c>
      <c r="R48" s="52">
        <f>+CONSUMPTION!P48*$B48</f>
        <v>0</v>
      </c>
      <c r="S48" s="52">
        <f>+CONSUMPTION!Q48*$B48</f>
        <v>0</v>
      </c>
    </row>
    <row r="49" spans="1:19" ht="15" x14ac:dyDescent="0.25">
      <c r="A49" s="1" t="s">
        <v>15</v>
      </c>
      <c r="B49" s="136">
        <f>+'Modeling &amp; Presentation'!F23</f>
        <v>1.06E-2</v>
      </c>
      <c r="C49" s="157">
        <f>+CONSUMPTION!D49</f>
        <v>30000</v>
      </c>
      <c r="D49" s="42">
        <f>+CONSUMPTION!C49</f>
        <v>0.01</v>
      </c>
      <c r="E49" s="43">
        <f t="shared" si="1"/>
        <v>6.0000000000000053E-2</v>
      </c>
      <c r="F49" s="158">
        <f>+CONSUMPTION!E49</f>
        <v>450500</v>
      </c>
      <c r="G49" s="156">
        <f t="shared" si="0"/>
        <v>4775.2999999999993</v>
      </c>
      <c r="H49" s="52">
        <f>+CONSUMPTION!F49*$B49</f>
        <v>30.74</v>
      </c>
      <c r="I49" s="52">
        <f>+CONSUMPTION!G49*$B49</f>
        <v>256.52</v>
      </c>
      <c r="J49" s="52">
        <f>+CONSUMPTION!H49*$B49</f>
        <v>174.9</v>
      </c>
      <c r="K49" s="52">
        <f>+CONSUMPTION!I49*$B49</f>
        <v>234.26</v>
      </c>
      <c r="L49" s="52">
        <f>+CONSUMPTION!J49*$B49</f>
        <v>624.34</v>
      </c>
      <c r="M49" s="52">
        <f>+CONSUMPTION!K49*$B49</f>
        <v>668.86</v>
      </c>
      <c r="N49" s="52">
        <f>+CONSUMPTION!L49*$B49</f>
        <v>662.5</v>
      </c>
      <c r="O49" s="52">
        <f>+CONSUMPTION!M49*$B49</f>
        <v>835.28</v>
      </c>
      <c r="P49" s="52">
        <f>+CONSUMPTION!N49*$B49</f>
        <v>647.66</v>
      </c>
      <c r="Q49" s="52">
        <f>+CONSUMPTION!O49*$B49</f>
        <v>235.32</v>
      </c>
      <c r="R49" s="52">
        <f>+CONSUMPTION!P49*$B49</f>
        <v>213.06</v>
      </c>
      <c r="S49" s="52">
        <f>+CONSUMPTION!Q49*$B49</f>
        <v>191.86</v>
      </c>
    </row>
    <row r="50" spans="1:19" ht="15" x14ac:dyDescent="0.25">
      <c r="A50" s="1" t="s">
        <v>15</v>
      </c>
      <c r="B50" s="136">
        <f>+'Modeling &amp; Presentation'!I23</f>
        <v>1.15E-2</v>
      </c>
      <c r="C50" s="157">
        <f>+CONSUMPTION!D50</f>
        <v>120000</v>
      </c>
      <c r="D50" s="42">
        <f>+CONSUMPTION!C50</f>
        <v>1.15E-2</v>
      </c>
      <c r="E50" s="43">
        <f t="shared" si="1"/>
        <v>0</v>
      </c>
      <c r="F50" s="158">
        <f>+CONSUMPTION!E50</f>
        <v>806900</v>
      </c>
      <c r="G50" s="156">
        <f t="shared" si="0"/>
        <v>9279.35</v>
      </c>
      <c r="H50" s="52">
        <f>+CONSUMPTION!F50*$B50</f>
        <v>0</v>
      </c>
      <c r="I50" s="52">
        <f>+CONSUMPTION!G50*$B50</f>
        <v>0</v>
      </c>
      <c r="J50" s="52">
        <f>+CONSUMPTION!H50*$B50</f>
        <v>0</v>
      </c>
      <c r="K50" s="52">
        <f>+CONSUMPTION!I50*$B50</f>
        <v>0</v>
      </c>
      <c r="L50" s="52">
        <f>+CONSUMPTION!J50*$B50</f>
        <v>724.5</v>
      </c>
      <c r="M50" s="52">
        <f>+CONSUMPTION!K50*$B50</f>
        <v>2095.3000000000002</v>
      </c>
      <c r="N50" s="52">
        <f>+CONSUMPTION!L50*$B50</f>
        <v>1859.55</v>
      </c>
      <c r="O50" s="52">
        <f>+CONSUMPTION!M50*$B50</f>
        <v>2423.0500000000002</v>
      </c>
      <c r="P50" s="52">
        <f>+CONSUMPTION!N50*$B50</f>
        <v>2176.9499999999998</v>
      </c>
      <c r="Q50" s="52">
        <f>+CONSUMPTION!O50*$B50</f>
        <v>0</v>
      </c>
      <c r="R50" s="52">
        <f>+CONSUMPTION!P50*$B50</f>
        <v>0</v>
      </c>
      <c r="S50" s="52">
        <f>+CONSUMPTION!Q50*$B50</f>
        <v>0</v>
      </c>
    </row>
    <row r="51" spans="1:19" ht="15" x14ac:dyDescent="0.25">
      <c r="A51" s="1" t="s">
        <v>15</v>
      </c>
      <c r="B51" s="136">
        <f>+'Modeling &amp; Presentation'!L23</f>
        <v>2.4199999999999999E-2</v>
      </c>
      <c r="C51" s="157">
        <f>+CONSUMPTION!D51</f>
        <v>999999999</v>
      </c>
      <c r="D51" s="42">
        <f>+CONSUMPTION!C51</f>
        <v>2.4199999999999999E-2</v>
      </c>
      <c r="E51" s="43">
        <f t="shared" si="1"/>
        <v>0</v>
      </c>
      <c r="F51" s="158">
        <f>+CONSUMPTION!E51</f>
        <v>3000</v>
      </c>
      <c r="G51" s="156">
        <f t="shared" si="0"/>
        <v>72.599999999999994</v>
      </c>
      <c r="H51" s="52">
        <f>+CONSUMPTION!F51*$B51</f>
        <v>0</v>
      </c>
      <c r="I51" s="52">
        <f>+CONSUMPTION!G51*$B51</f>
        <v>0</v>
      </c>
      <c r="J51" s="52">
        <f>+CONSUMPTION!H51*$B51</f>
        <v>0</v>
      </c>
      <c r="K51" s="52">
        <f>+CONSUMPTION!I51*$B51</f>
        <v>0</v>
      </c>
      <c r="L51" s="52">
        <f>+CONSUMPTION!J51*$B51</f>
        <v>0</v>
      </c>
      <c r="M51" s="52">
        <f>+CONSUMPTION!K51*$B51</f>
        <v>0</v>
      </c>
      <c r="N51" s="52">
        <f>+CONSUMPTION!L51*$B51</f>
        <v>0</v>
      </c>
      <c r="O51" s="52">
        <f>+CONSUMPTION!M51*$B51</f>
        <v>0</v>
      </c>
      <c r="P51" s="52">
        <f>+CONSUMPTION!N51*$B51</f>
        <v>72.599999999999994</v>
      </c>
      <c r="Q51" s="52">
        <f>+CONSUMPTION!O51*$B51</f>
        <v>0</v>
      </c>
      <c r="R51" s="52">
        <f>+CONSUMPTION!P51*$B51</f>
        <v>0</v>
      </c>
      <c r="S51" s="52">
        <f>+CONSUMPTION!Q51*$B51</f>
        <v>0</v>
      </c>
    </row>
    <row r="52" spans="1:19" ht="15" x14ac:dyDescent="0.25">
      <c r="A52" s="1" t="s">
        <v>16</v>
      </c>
      <c r="B52" s="136">
        <f>+'Modeling &amp; Presentation'!F29</f>
        <v>0</v>
      </c>
      <c r="C52" s="157">
        <f>+CONSUMPTION!D52</f>
        <v>999999999</v>
      </c>
      <c r="D52" s="42">
        <f>+CONSUMPTION!C52</f>
        <v>0</v>
      </c>
      <c r="E52" s="43"/>
      <c r="F52" s="158">
        <f>+CONSUMPTION!E52</f>
        <v>0</v>
      </c>
      <c r="G52" s="156">
        <f t="shared" si="0"/>
        <v>0</v>
      </c>
      <c r="H52" s="52">
        <f>+CONSUMPTION!F52*$B52</f>
        <v>0</v>
      </c>
      <c r="I52" s="52">
        <f>+CONSUMPTION!G52*$B52</f>
        <v>0</v>
      </c>
      <c r="J52" s="52">
        <f>+CONSUMPTION!H52*$B52</f>
        <v>0</v>
      </c>
      <c r="K52" s="52">
        <f>+CONSUMPTION!I52*$B52</f>
        <v>0</v>
      </c>
      <c r="L52" s="52">
        <f>+CONSUMPTION!J52*$B52</f>
        <v>0</v>
      </c>
      <c r="M52" s="52">
        <f>+CONSUMPTION!K52*$B52</f>
        <v>0</v>
      </c>
      <c r="N52" s="52">
        <f>+CONSUMPTION!L52*$B52</f>
        <v>0</v>
      </c>
      <c r="O52" s="52">
        <f>+CONSUMPTION!M52*$B52</f>
        <v>0</v>
      </c>
      <c r="P52" s="52">
        <f>+CONSUMPTION!N52*$B52</f>
        <v>0</v>
      </c>
      <c r="Q52" s="52">
        <f>+CONSUMPTION!O52*$B52</f>
        <v>0</v>
      </c>
      <c r="R52" s="52">
        <f>+CONSUMPTION!P52*$B52</f>
        <v>0</v>
      </c>
      <c r="S52" s="52">
        <f>+CONSUMPTION!Q52*$B52</f>
        <v>0</v>
      </c>
    </row>
    <row r="53" spans="1:19" ht="15" x14ac:dyDescent="0.25">
      <c r="A53" s="1" t="s">
        <v>17</v>
      </c>
      <c r="B53" s="136">
        <f>+'Modeling &amp; Presentation'!F30</f>
        <v>0</v>
      </c>
      <c r="C53" s="157">
        <f>+CONSUMPTION!D53</f>
        <v>999999999</v>
      </c>
      <c r="D53" s="42">
        <f>+CONSUMPTION!C53</f>
        <v>0</v>
      </c>
      <c r="E53" s="43"/>
      <c r="F53" s="158">
        <f>+CONSUMPTION!E53</f>
        <v>4622700</v>
      </c>
      <c r="G53" s="156">
        <f t="shared" si="0"/>
        <v>0</v>
      </c>
      <c r="H53" s="52">
        <f>+CONSUMPTION!F53*$B53</f>
        <v>0</v>
      </c>
      <c r="I53" s="52">
        <f>+CONSUMPTION!G53*$B53</f>
        <v>0</v>
      </c>
      <c r="J53" s="52">
        <f>+CONSUMPTION!H53*$B53</f>
        <v>0</v>
      </c>
      <c r="K53" s="52">
        <f>+CONSUMPTION!I53*$B53</f>
        <v>0</v>
      </c>
      <c r="L53" s="52">
        <f>+CONSUMPTION!J53*$B53</f>
        <v>0</v>
      </c>
      <c r="M53" s="52">
        <f>+CONSUMPTION!K53*$B53</f>
        <v>0</v>
      </c>
      <c r="N53" s="52">
        <f>+CONSUMPTION!L53*$B53</f>
        <v>0</v>
      </c>
      <c r="O53" s="52">
        <f>+CONSUMPTION!M53*$B53</f>
        <v>0</v>
      </c>
      <c r="P53" s="52">
        <f>+CONSUMPTION!N53*$B53</f>
        <v>0</v>
      </c>
      <c r="Q53" s="52">
        <f>+CONSUMPTION!O53*$B53</f>
        <v>0</v>
      </c>
      <c r="R53" s="52">
        <f>+CONSUMPTION!P53*$B53</f>
        <v>0</v>
      </c>
      <c r="S53" s="52">
        <f>+CONSUMPTION!Q53*$B53</f>
        <v>0</v>
      </c>
    </row>
    <row r="54" spans="1:19" ht="15" x14ac:dyDescent="0.25">
      <c r="A54" s="1" t="s">
        <v>18</v>
      </c>
      <c r="B54" s="136">
        <f>+'Modeling &amp; Presentation'!F30</f>
        <v>0</v>
      </c>
      <c r="C54" s="157">
        <f>+CONSUMPTION!D54</f>
        <v>999999999</v>
      </c>
      <c r="D54" s="42">
        <f>+CONSUMPTION!C54</f>
        <v>0</v>
      </c>
      <c r="E54" s="43"/>
      <c r="F54" s="158">
        <f>+CONSUMPTION!E54</f>
        <v>0</v>
      </c>
      <c r="G54" s="156">
        <f t="shared" si="0"/>
        <v>0</v>
      </c>
      <c r="H54" s="52">
        <f>+CONSUMPTION!F54*$B54</f>
        <v>0</v>
      </c>
      <c r="I54" s="52">
        <f>+CONSUMPTION!G54*$B54</f>
        <v>0</v>
      </c>
      <c r="J54" s="52">
        <f>+CONSUMPTION!H54*$B54</f>
        <v>0</v>
      </c>
      <c r="K54" s="52">
        <f>+CONSUMPTION!I54*$B54</f>
        <v>0</v>
      </c>
      <c r="L54" s="52">
        <f>+CONSUMPTION!J54*$B54</f>
        <v>0</v>
      </c>
      <c r="M54" s="52">
        <f>+CONSUMPTION!K54*$B54</f>
        <v>0</v>
      </c>
      <c r="N54" s="52">
        <f>+CONSUMPTION!L54*$B54</f>
        <v>0</v>
      </c>
      <c r="O54" s="52">
        <f>+CONSUMPTION!M54*$B54</f>
        <v>0</v>
      </c>
      <c r="P54" s="52">
        <f>+CONSUMPTION!N54*$B54</f>
        <v>0</v>
      </c>
      <c r="Q54" s="52">
        <f>+CONSUMPTION!O54*$B54</f>
        <v>0</v>
      </c>
      <c r="R54" s="52">
        <f>+CONSUMPTION!P54*$B54</f>
        <v>0</v>
      </c>
      <c r="S54" s="52">
        <f>+CONSUMPTION!Q54*$B54</f>
        <v>0</v>
      </c>
    </row>
    <row r="55" spans="1:19" ht="15" x14ac:dyDescent="0.25">
      <c r="A55" s="1" t="s">
        <v>19</v>
      </c>
      <c r="B55" s="136">
        <f>+'Modeling &amp; Presentation'!F30</f>
        <v>0</v>
      </c>
      <c r="C55" s="157">
        <f>+CONSUMPTION!D55</f>
        <v>999999999</v>
      </c>
      <c r="D55" s="42">
        <f>+CONSUMPTION!C55</f>
        <v>0</v>
      </c>
      <c r="E55" s="43"/>
      <c r="F55" s="158">
        <f>+CONSUMPTION!E55</f>
        <v>0</v>
      </c>
      <c r="G55" s="156">
        <f t="shared" si="0"/>
        <v>0</v>
      </c>
      <c r="H55" s="52">
        <f>+CONSUMPTION!F55*$B55</f>
        <v>0</v>
      </c>
      <c r="I55" s="52">
        <f>+CONSUMPTION!G55*$B55</f>
        <v>0</v>
      </c>
      <c r="J55" s="52">
        <f>+CONSUMPTION!H55*$B55</f>
        <v>0</v>
      </c>
      <c r="K55" s="52">
        <f>+CONSUMPTION!I55*$B55</f>
        <v>0</v>
      </c>
      <c r="L55" s="52">
        <f>+CONSUMPTION!J55*$B55</f>
        <v>0</v>
      </c>
      <c r="M55" s="52">
        <f>+CONSUMPTION!K55*$B55</f>
        <v>0</v>
      </c>
      <c r="N55" s="52">
        <f>+CONSUMPTION!L55*$B55</f>
        <v>0</v>
      </c>
      <c r="O55" s="52">
        <f>+CONSUMPTION!M55*$B55</f>
        <v>0</v>
      </c>
      <c r="P55" s="52">
        <f>+CONSUMPTION!N55*$B55</f>
        <v>0</v>
      </c>
      <c r="Q55" s="52">
        <f>+CONSUMPTION!O55*$B55</f>
        <v>0</v>
      </c>
      <c r="R55" s="52">
        <f>+CONSUMPTION!P55*$B55</f>
        <v>0</v>
      </c>
      <c r="S55" s="52">
        <f>+CONSUMPTION!Q55*$B55</f>
        <v>0</v>
      </c>
    </row>
    <row r="56" spans="1:19" s="8" customFormat="1" ht="15" x14ac:dyDescent="0.2">
      <c r="A56" s="48" t="s">
        <v>40</v>
      </c>
      <c r="D56" s="44"/>
      <c r="E56" s="45"/>
    </row>
    <row r="57" spans="1:19" s="13" customFormat="1" ht="15" x14ac:dyDescent="0.25">
      <c r="A57" s="13" t="s">
        <v>24</v>
      </c>
      <c r="D57" s="46"/>
      <c r="E57" s="47"/>
      <c r="G57" s="14">
        <f>SUM(G3:G6)</f>
        <v>3173.99</v>
      </c>
      <c r="H57" s="14">
        <f>SUM(H3:H6)</f>
        <v>0</v>
      </c>
      <c r="I57" s="14">
        <f t="shared" ref="I57:S57" si="7">SUM(I3:I6)</f>
        <v>0</v>
      </c>
      <c r="J57" s="14">
        <f t="shared" si="7"/>
        <v>0</v>
      </c>
      <c r="K57" s="14">
        <f t="shared" si="7"/>
        <v>0</v>
      </c>
      <c r="L57" s="14">
        <f t="shared" si="7"/>
        <v>39.950000000000003</v>
      </c>
      <c r="M57" s="14">
        <f t="shared" si="7"/>
        <v>585.3119999999999</v>
      </c>
      <c r="N57" s="14">
        <f t="shared" si="7"/>
        <v>805.89599999999996</v>
      </c>
      <c r="O57" s="14">
        <f t="shared" si="7"/>
        <v>908.54399999999998</v>
      </c>
      <c r="P57" s="14">
        <f t="shared" si="7"/>
        <v>834.2879999999999</v>
      </c>
      <c r="Q57" s="14">
        <f t="shared" si="7"/>
        <v>0</v>
      </c>
      <c r="R57" s="14">
        <f t="shared" si="7"/>
        <v>0</v>
      </c>
      <c r="S57" s="14">
        <f t="shared" si="7"/>
        <v>0</v>
      </c>
    </row>
    <row r="58" spans="1:19" s="13" customFormat="1" ht="15" x14ac:dyDescent="0.25">
      <c r="A58" s="13" t="s">
        <v>22</v>
      </c>
      <c r="D58" s="46"/>
      <c r="E58" s="47"/>
      <c r="G58" s="14">
        <f>SUM(G7:G30)</f>
        <v>2782985.14</v>
      </c>
      <c r="H58" s="14">
        <f t="shared" ref="H58:S58" si="8">SUM(H7:H30)</f>
        <v>127873.35999999999</v>
      </c>
      <c r="I58" s="14">
        <f t="shared" si="8"/>
        <v>124553.81999999999</v>
      </c>
      <c r="J58" s="14">
        <f t="shared" si="8"/>
        <v>111618.06</v>
      </c>
      <c r="K58" s="14">
        <f t="shared" si="8"/>
        <v>132713.57</v>
      </c>
      <c r="L58" s="14">
        <f t="shared" si="8"/>
        <v>145483.77000000002</v>
      </c>
      <c r="M58" s="14">
        <f t="shared" si="8"/>
        <v>292214.43</v>
      </c>
      <c r="N58" s="14">
        <f t="shared" si="8"/>
        <v>410594.39999999997</v>
      </c>
      <c r="O58" s="14">
        <f t="shared" si="8"/>
        <v>592366.8899999999</v>
      </c>
      <c r="P58" s="14">
        <f t="shared" si="8"/>
        <v>439784.19999999995</v>
      </c>
      <c r="Q58" s="14">
        <f t="shared" si="8"/>
        <v>140152.18000000005</v>
      </c>
      <c r="R58" s="14">
        <f t="shared" si="8"/>
        <v>136093.31000000003</v>
      </c>
      <c r="S58" s="14">
        <f t="shared" si="8"/>
        <v>129537.14999999998</v>
      </c>
    </row>
    <row r="59" spans="1:19" s="13" customFormat="1" ht="15" x14ac:dyDescent="0.25">
      <c r="A59" s="13" t="s">
        <v>31</v>
      </c>
      <c r="D59" s="46"/>
      <c r="E59" s="47"/>
      <c r="G59" s="14">
        <f>SUM(G31:G51)</f>
        <v>527189.89999999991</v>
      </c>
      <c r="H59" s="14">
        <f>SUM(H31:H51)</f>
        <v>15443.499999999998</v>
      </c>
      <c r="I59" s="14">
        <f t="shared" ref="I59:S59" si="9">SUM(I31:I51)</f>
        <v>20383.670000000006</v>
      </c>
      <c r="J59" s="14">
        <f t="shared" si="9"/>
        <v>15547.519999999999</v>
      </c>
      <c r="K59" s="14">
        <f t="shared" si="9"/>
        <v>20330.349999999999</v>
      </c>
      <c r="L59" s="14">
        <f t="shared" si="9"/>
        <v>23699.920000000006</v>
      </c>
      <c r="M59" s="14">
        <f t="shared" si="9"/>
        <v>62831.899999999994</v>
      </c>
      <c r="N59" s="14">
        <f t="shared" si="9"/>
        <v>83949.650000000009</v>
      </c>
      <c r="O59" s="14">
        <f t="shared" si="9"/>
        <v>99959.739999999991</v>
      </c>
      <c r="P59" s="14">
        <f t="shared" si="9"/>
        <v>111386.90000000001</v>
      </c>
      <c r="Q59" s="14">
        <f t="shared" si="9"/>
        <v>33975.64</v>
      </c>
      <c r="R59" s="14">
        <f t="shared" si="9"/>
        <v>21464.55</v>
      </c>
      <c r="S59" s="14">
        <f t="shared" si="9"/>
        <v>18216.560000000001</v>
      </c>
    </row>
    <row r="60" spans="1:19" s="13" customFormat="1" ht="15" x14ac:dyDescent="0.25">
      <c r="A60" s="13" t="s">
        <v>23</v>
      </c>
      <c r="D60" s="46"/>
      <c r="E60" s="47"/>
      <c r="G60" s="14">
        <f>SUM(G52:G55)</f>
        <v>0</v>
      </c>
      <c r="H60" s="14">
        <f>SUM(H52:H55)</f>
        <v>0</v>
      </c>
      <c r="I60" s="14">
        <f t="shared" ref="I60:S60" si="10">SUM(I52:I55)</f>
        <v>0</v>
      </c>
      <c r="J60" s="14">
        <f t="shared" si="10"/>
        <v>0</v>
      </c>
      <c r="K60" s="14">
        <f t="shared" si="10"/>
        <v>0</v>
      </c>
      <c r="L60" s="14">
        <f t="shared" si="10"/>
        <v>0</v>
      </c>
      <c r="M60" s="14">
        <f t="shared" si="10"/>
        <v>0</v>
      </c>
      <c r="N60" s="14">
        <f t="shared" si="10"/>
        <v>0</v>
      </c>
      <c r="O60" s="14">
        <f t="shared" si="10"/>
        <v>0</v>
      </c>
      <c r="P60" s="14">
        <f t="shared" si="10"/>
        <v>0</v>
      </c>
      <c r="Q60" s="14">
        <f t="shared" si="10"/>
        <v>0</v>
      </c>
      <c r="R60" s="14">
        <f t="shared" si="10"/>
        <v>0</v>
      </c>
      <c r="S60" s="14">
        <f t="shared" si="10"/>
        <v>0</v>
      </c>
    </row>
    <row r="61" spans="1:19" s="11" customFormat="1" ht="15" x14ac:dyDescent="0.25">
      <c r="A61" s="10" t="s">
        <v>21</v>
      </c>
      <c r="B61" s="10"/>
      <c r="C61" s="10"/>
      <c r="D61" s="46"/>
      <c r="E61" s="47"/>
      <c r="F61" s="23">
        <f t="shared" ref="F61:S61" si="11">SUM(F3:F56)</f>
        <v>240943600</v>
      </c>
      <c r="G61" s="12">
        <f t="shared" si="11"/>
        <v>3313349.0299999993</v>
      </c>
      <c r="H61" s="12">
        <f t="shared" si="11"/>
        <v>143316.85999999996</v>
      </c>
      <c r="I61" s="12">
        <f t="shared" si="11"/>
        <v>144937.49</v>
      </c>
      <c r="J61" s="12">
        <f t="shared" si="11"/>
        <v>127165.58</v>
      </c>
      <c r="K61" s="12">
        <f t="shared" si="11"/>
        <v>153043.92000000007</v>
      </c>
      <c r="L61" s="12">
        <f t="shared" si="11"/>
        <v>169223.64000000007</v>
      </c>
      <c r="M61" s="12">
        <f t="shared" si="11"/>
        <v>355631.64200000011</v>
      </c>
      <c r="N61" s="12">
        <f t="shared" si="11"/>
        <v>495349.946</v>
      </c>
      <c r="O61" s="12">
        <f t="shared" si="11"/>
        <v>693235.17399999977</v>
      </c>
      <c r="P61" s="12">
        <f t="shared" si="11"/>
        <v>552005.38800000004</v>
      </c>
      <c r="Q61" s="12">
        <f t="shared" si="11"/>
        <v>174127.82000000009</v>
      </c>
      <c r="R61" s="12">
        <f t="shared" si="11"/>
        <v>157557.86000000002</v>
      </c>
      <c r="S61" s="12">
        <f t="shared" si="11"/>
        <v>147753.70999999996</v>
      </c>
    </row>
    <row r="62" spans="1:19" s="16" customFormat="1" ht="11.25" x14ac:dyDescent="0.2">
      <c r="A62" s="15" t="s">
        <v>25</v>
      </c>
      <c r="D62" s="75"/>
      <c r="E62" s="76"/>
      <c r="G62" s="16">
        <f t="shared" ref="G62:S62" si="12">SUM(G57:G60)-G61</f>
        <v>0</v>
      </c>
      <c r="H62" s="16">
        <f t="shared" si="12"/>
        <v>0</v>
      </c>
      <c r="I62" s="16">
        <f t="shared" si="12"/>
        <v>0</v>
      </c>
      <c r="J62" s="16">
        <f t="shared" si="12"/>
        <v>0</v>
      </c>
      <c r="K62" s="16">
        <f t="shared" si="12"/>
        <v>0</v>
      </c>
      <c r="L62" s="16">
        <f t="shared" si="12"/>
        <v>0</v>
      </c>
      <c r="M62" s="16">
        <f t="shared" si="12"/>
        <v>0</v>
      </c>
      <c r="N62" s="16">
        <f t="shared" si="12"/>
        <v>0</v>
      </c>
      <c r="O62" s="16">
        <f t="shared" si="12"/>
        <v>0</v>
      </c>
      <c r="P62" s="16">
        <f t="shared" si="12"/>
        <v>0</v>
      </c>
      <c r="Q62" s="16">
        <f t="shared" si="12"/>
        <v>0</v>
      </c>
      <c r="R62" s="16">
        <f t="shared" si="12"/>
        <v>0</v>
      </c>
      <c r="S62" s="16">
        <f t="shared" si="12"/>
        <v>0</v>
      </c>
    </row>
    <row r="64" spans="1:19" s="8" customFormat="1" ht="15" x14ac:dyDescent="0.2">
      <c r="A64" s="48" t="s">
        <v>41</v>
      </c>
      <c r="D64" s="44"/>
      <c r="E64" s="45"/>
    </row>
    <row r="65" spans="1:19" s="13" customFormat="1" ht="15" x14ac:dyDescent="0.25">
      <c r="A65" s="13" t="s">
        <v>24</v>
      </c>
      <c r="D65" s="46"/>
      <c r="E65" s="47"/>
      <c r="G65" s="14">
        <f>+'BILLED CONSUMPTION'!E57</f>
        <v>3173.99</v>
      </c>
      <c r="H65" s="14">
        <f>+'BILLED CONSUMPTION'!F57</f>
        <v>0</v>
      </c>
      <c r="I65" s="14">
        <f>+'BILLED CONSUMPTION'!G57</f>
        <v>0</v>
      </c>
      <c r="J65" s="14">
        <f>+'BILLED CONSUMPTION'!H57</f>
        <v>0</v>
      </c>
      <c r="K65" s="14">
        <f>+'BILLED CONSUMPTION'!I57</f>
        <v>0</v>
      </c>
      <c r="L65" s="14">
        <f>+'BILLED CONSUMPTION'!J57</f>
        <v>39.950000000000003</v>
      </c>
      <c r="M65" s="14">
        <f>+'BILLED CONSUMPTION'!K57</f>
        <v>585.3119999999999</v>
      </c>
      <c r="N65" s="14">
        <f>+'BILLED CONSUMPTION'!L57</f>
        <v>805.89599999999996</v>
      </c>
      <c r="O65" s="14">
        <f>+'BILLED CONSUMPTION'!M57</f>
        <v>908.54399999999998</v>
      </c>
      <c r="P65" s="14">
        <f>+'BILLED CONSUMPTION'!N57</f>
        <v>834.2879999999999</v>
      </c>
      <c r="Q65" s="14">
        <f>+'BILLED CONSUMPTION'!O57</f>
        <v>0</v>
      </c>
      <c r="R65" s="14">
        <f>+'BILLED CONSUMPTION'!P57</f>
        <v>0</v>
      </c>
      <c r="S65" s="14">
        <f>+'BILLED CONSUMPTION'!Q57</f>
        <v>0</v>
      </c>
    </row>
    <row r="66" spans="1:19" s="13" customFormat="1" ht="15" x14ac:dyDescent="0.25">
      <c r="A66" s="13" t="s">
        <v>22</v>
      </c>
      <c r="D66" s="46"/>
      <c r="E66" s="47"/>
      <c r="G66" s="14">
        <f>+'BILLED CONSUMPTION'!E58</f>
        <v>2721206.4400000004</v>
      </c>
      <c r="H66" s="14">
        <f>+'BILLED CONSUMPTION'!F58</f>
        <v>122990.02</v>
      </c>
      <c r="I66" s="14">
        <f>+'BILLED CONSUMPTION'!G58</f>
        <v>119754.54</v>
      </c>
      <c r="J66" s="14">
        <f>+'BILLED CONSUMPTION'!H58</f>
        <v>107035.44</v>
      </c>
      <c r="K66" s="14">
        <f>+'BILLED CONSUMPTION'!I58</f>
        <v>127735.49</v>
      </c>
      <c r="L66" s="14">
        <f>+'BILLED CONSUMPTION'!J58</f>
        <v>140500.05000000002</v>
      </c>
      <c r="M66" s="14">
        <f>+'BILLED CONSUMPTION'!K58</f>
        <v>286647.69</v>
      </c>
      <c r="N66" s="14">
        <f>+'BILLED CONSUMPTION'!L58</f>
        <v>404909.22</v>
      </c>
      <c r="O66" s="14">
        <f>+'BILLED CONSUMPTION'!M58</f>
        <v>586571.42999999993</v>
      </c>
      <c r="P66" s="14">
        <f>+'BILLED CONSUMPTION'!N58</f>
        <v>434047.29999999993</v>
      </c>
      <c r="Q66" s="14">
        <f>+'BILLED CONSUMPTION'!O58</f>
        <v>135278.86000000002</v>
      </c>
      <c r="R66" s="14">
        <f>+'BILLED CONSUMPTION'!P58</f>
        <v>131128.79</v>
      </c>
      <c r="S66" s="14">
        <f>+'BILLED CONSUMPTION'!Q58</f>
        <v>124607.60999999999</v>
      </c>
    </row>
    <row r="67" spans="1:19" s="13" customFormat="1" ht="15" x14ac:dyDescent="0.25">
      <c r="A67" s="13" t="s">
        <v>31</v>
      </c>
      <c r="D67" s="46"/>
      <c r="E67" s="47"/>
      <c r="G67" s="14">
        <f>+'BILLED CONSUMPTION'!E59</f>
        <v>521759.47999999992</v>
      </c>
      <c r="H67" s="14">
        <f>+'BILLED CONSUMPTION'!F59</f>
        <v>15113.56</v>
      </c>
      <c r="I67" s="14">
        <f>+'BILLED CONSUMPTION'!G59</f>
        <v>20018.27</v>
      </c>
      <c r="J67" s="14">
        <f>+'BILLED CONSUMPTION'!H59</f>
        <v>15221.42</v>
      </c>
      <c r="K67" s="14">
        <f>+'BILLED CONSUMPTION'!I59</f>
        <v>19952.530000000002</v>
      </c>
      <c r="L67" s="14">
        <f>+'BILLED CONSUMPTION'!J59</f>
        <v>23274.520000000004</v>
      </c>
      <c r="M67" s="14">
        <f>+'BILLED CONSUMPTION'!K59</f>
        <v>62272.7</v>
      </c>
      <c r="N67" s="14">
        <f>+'BILLED CONSUMPTION'!L59</f>
        <v>83372.210000000006</v>
      </c>
      <c r="O67" s="14">
        <f>+'BILLED CONSUMPTION'!M59</f>
        <v>99386.08</v>
      </c>
      <c r="P67" s="14">
        <f>+'BILLED CONSUMPTION'!N59</f>
        <v>110793.92</v>
      </c>
      <c r="Q67" s="14">
        <f>+'BILLED CONSUMPTION'!O59</f>
        <v>33475.360000000001</v>
      </c>
      <c r="R67" s="14">
        <f>+'BILLED CONSUMPTION'!P59</f>
        <v>21051.57</v>
      </c>
      <c r="S67" s="14">
        <f>+'BILLED CONSUMPTION'!Q59</f>
        <v>17827.34</v>
      </c>
    </row>
    <row r="68" spans="1:19" s="13" customFormat="1" ht="15" x14ac:dyDescent="0.25">
      <c r="A68" s="13" t="s">
        <v>23</v>
      </c>
      <c r="D68" s="46"/>
      <c r="E68" s="47"/>
      <c r="G68" s="14">
        <f>+'BILLED CONSUMPTION'!E60</f>
        <v>0</v>
      </c>
      <c r="H68" s="14">
        <f>+'BILLED CONSUMPTION'!F60</f>
        <v>0</v>
      </c>
      <c r="I68" s="14">
        <f>+'BILLED CONSUMPTION'!G60</f>
        <v>0</v>
      </c>
      <c r="J68" s="14">
        <f>+'BILLED CONSUMPTION'!H60</f>
        <v>0</v>
      </c>
      <c r="K68" s="14">
        <f>+'BILLED CONSUMPTION'!I60</f>
        <v>0</v>
      </c>
      <c r="L68" s="14">
        <f>+'BILLED CONSUMPTION'!J60</f>
        <v>0</v>
      </c>
      <c r="M68" s="14">
        <f>+'BILLED CONSUMPTION'!K60</f>
        <v>0</v>
      </c>
      <c r="N68" s="14">
        <f>+'BILLED CONSUMPTION'!L60</f>
        <v>0</v>
      </c>
      <c r="O68" s="14">
        <f>+'BILLED CONSUMPTION'!M60</f>
        <v>0</v>
      </c>
      <c r="P68" s="14">
        <f>+'BILLED CONSUMPTION'!N60</f>
        <v>0</v>
      </c>
      <c r="Q68" s="14">
        <f>+'BILLED CONSUMPTION'!O60</f>
        <v>0</v>
      </c>
      <c r="R68" s="14">
        <f>+'BILLED CONSUMPTION'!P60</f>
        <v>0</v>
      </c>
      <c r="S68" s="14">
        <f>+'BILLED CONSUMPTION'!Q60</f>
        <v>0</v>
      </c>
    </row>
    <row r="69" spans="1:19" s="11" customFormat="1" ht="15" x14ac:dyDescent="0.25">
      <c r="A69" s="10" t="s">
        <v>21</v>
      </c>
      <c r="B69" s="10"/>
      <c r="C69" s="10"/>
      <c r="D69" s="46"/>
      <c r="E69" s="47"/>
      <c r="F69" s="23">
        <f>+'BILLED CONSUMPTION'!D61</f>
        <v>240943600</v>
      </c>
      <c r="G69" s="12">
        <f>+'BILLED CONSUMPTION'!E61</f>
        <v>3246139.9099999997</v>
      </c>
      <c r="H69" s="12">
        <f>+'BILLED CONSUMPTION'!F61</f>
        <v>138103.57999999999</v>
      </c>
      <c r="I69" s="12">
        <f>+'BILLED CONSUMPTION'!G61</f>
        <v>139772.80999999997</v>
      </c>
      <c r="J69" s="12">
        <f>+'BILLED CONSUMPTION'!H61</f>
        <v>122256.86</v>
      </c>
      <c r="K69" s="12">
        <f>+'BILLED CONSUMPTION'!I61</f>
        <v>147688.02000000005</v>
      </c>
      <c r="L69" s="12">
        <f>+'BILLED CONSUMPTION'!J61</f>
        <v>163814.52000000002</v>
      </c>
      <c r="M69" s="12">
        <f>+'BILLED CONSUMPTION'!K61</f>
        <v>349505.70200000011</v>
      </c>
      <c r="N69" s="12">
        <f>+'BILLED CONSUMPTION'!L61</f>
        <v>489087.32600000006</v>
      </c>
      <c r="O69" s="12">
        <f>+'BILLED CONSUMPTION'!M61</f>
        <v>686866.05399999977</v>
      </c>
      <c r="P69" s="12">
        <f>+'BILLED CONSUMPTION'!N61</f>
        <v>545675.50800000003</v>
      </c>
      <c r="Q69" s="12">
        <f>+'BILLED CONSUMPTION'!O61</f>
        <v>168754.22000000006</v>
      </c>
      <c r="R69" s="12">
        <f>+'BILLED CONSUMPTION'!P61</f>
        <v>152180.36000000002</v>
      </c>
      <c r="S69" s="12">
        <f>+'BILLED CONSUMPTION'!Q61</f>
        <v>142434.94999999998</v>
      </c>
    </row>
    <row r="70" spans="1:19" s="16" customFormat="1" ht="11.25" x14ac:dyDescent="0.2">
      <c r="A70" s="15" t="s">
        <v>25</v>
      </c>
      <c r="D70" s="75"/>
      <c r="E70" s="76"/>
      <c r="G70" s="16">
        <f>SUM(G65:G68)-G69</f>
        <v>0</v>
      </c>
      <c r="H70" s="16">
        <f>SUM(H65:H68)-H69</f>
        <v>0</v>
      </c>
      <c r="I70" s="16">
        <f t="shared" ref="I70" si="13">SUM(I65:I68)-I69</f>
        <v>0</v>
      </c>
      <c r="J70" s="16">
        <f t="shared" ref="J70" si="14">SUM(J65:J68)-J69</f>
        <v>0</v>
      </c>
      <c r="K70" s="16">
        <f t="shared" ref="K70" si="15">SUM(K65:K68)-K69</f>
        <v>0</v>
      </c>
      <c r="L70" s="16">
        <f t="shared" ref="L70" si="16">SUM(L65:L68)-L69</f>
        <v>0</v>
      </c>
      <c r="M70" s="16">
        <f t="shared" ref="M70" si="17">SUM(M65:M68)-M69</f>
        <v>0</v>
      </c>
      <c r="N70" s="16">
        <f t="shared" ref="N70" si="18">SUM(N65:N68)-N69</f>
        <v>0</v>
      </c>
      <c r="O70" s="16">
        <f t="shared" ref="O70" si="19">SUM(O65:O68)-O69</f>
        <v>0</v>
      </c>
      <c r="P70" s="16">
        <f t="shared" ref="P70" si="20">SUM(P65:P68)-P69</f>
        <v>0</v>
      </c>
      <c r="Q70" s="16">
        <f t="shared" ref="Q70" si="21">SUM(Q65:Q68)-Q69</f>
        <v>0</v>
      </c>
      <c r="R70" s="16">
        <f t="shared" ref="R70" si="22">SUM(R65:R68)-R69</f>
        <v>0</v>
      </c>
      <c r="S70" s="16">
        <f t="shared" ref="S70" si="23">SUM(S65:S68)-S69</f>
        <v>0</v>
      </c>
    </row>
    <row r="71" spans="1:19" s="9" customFormat="1" ht="15" x14ac:dyDescent="0.25">
      <c r="A71" s="49" t="s">
        <v>33</v>
      </c>
      <c r="D71" s="50"/>
      <c r="E71" s="51"/>
      <c r="G71" s="52">
        <f>+G61-G69</f>
        <v>67209.119999999646</v>
      </c>
      <c r="H71" s="52">
        <f t="shared" ref="H71:S71" si="24">+H61-H69</f>
        <v>5213.2799999999697</v>
      </c>
      <c r="I71" s="52">
        <f t="shared" si="24"/>
        <v>5164.6800000000221</v>
      </c>
      <c r="J71" s="52">
        <f t="shared" si="24"/>
        <v>4908.7200000000012</v>
      </c>
      <c r="K71" s="52">
        <f t="shared" si="24"/>
        <v>5355.9000000000233</v>
      </c>
      <c r="L71" s="52">
        <f t="shared" si="24"/>
        <v>5409.1200000000536</v>
      </c>
      <c r="M71" s="52">
        <f t="shared" si="24"/>
        <v>6125.9400000000023</v>
      </c>
      <c r="N71" s="52">
        <f t="shared" si="24"/>
        <v>6262.6199999999371</v>
      </c>
      <c r="O71" s="52">
        <f t="shared" si="24"/>
        <v>6369.1199999999953</v>
      </c>
      <c r="P71" s="52">
        <f t="shared" si="24"/>
        <v>6329.8800000000047</v>
      </c>
      <c r="Q71" s="52">
        <f t="shared" si="24"/>
        <v>5373.6000000000349</v>
      </c>
      <c r="R71" s="52">
        <f t="shared" si="24"/>
        <v>5377.5</v>
      </c>
      <c r="S71" s="52">
        <f t="shared" si="24"/>
        <v>5318.7599999999802</v>
      </c>
    </row>
    <row r="72" spans="1:19" s="9" customFormat="1" ht="15" x14ac:dyDescent="0.25">
      <c r="A72" s="49" t="s">
        <v>32</v>
      </c>
      <c r="D72" s="50"/>
      <c r="E72" s="51"/>
      <c r="G72" s="53">
        <f>+G71/G69</f>
        <v>2.0704320165916588E-2</v>
      </c>
      <c r="H72" s="53">
        <f t="shared" ref="H72:S72" si="25">+H71/H69</f>
        <v>3.7749057627615233E-2</v>
      </c>
      <c r="I72" s="53">
        <f t="shared" si="25"/>
        <v>3.6950534227651453E-2</v>
      </c>
      <c r="J72" s="53">
        <f t="shared" si="25"/>
        <v>4.0150875787256443E-2</v>
      </c>
      <c r="K72" s="53">
        <f t="shared" si="25"/>
        <v>3.626495906709306E-2</v>
      </c>
      <c r="L72" s="53">
        <f t="shared" si="25"/>
        <v>3.3019783594275119E-2</v>
      </c>
      <c r="M72" s="53">
        <f t="shared" si="25"/>
        <v>1.7527439366354029E-2</v>
      </c>
      <c r="N72" s="53">
        <f t="shared" si="25"/>
        <v>1.2804707190469982E-2</v>
      </c>
      <c r="O72" s="53">
        <f t="shared" si="25"/>
        <v>9.2727249554830932E-3</v>
      </c>
      <c r="P72" s="53">
        <f t="shared" si="25"/>
        <v>1.1600080830455752E-2</v>
      </c>
      <c r="Q72" s="53">
        <f t="shared" si="25"/>
        <v>3.1842759250702193E-2</v>
      </c>
      <c r="R72" s="53">
        <f t="shared" si="25"/>
        <v>3.5336360092721557E-2</v>
      </c>
      <c r="S72" s="53">
        <f t="shared" si="25"/>
        <v>3.7341677727271157E-2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8" tint="-0.249977111117893"/>
  </sheetPr>
  <dimension ref="A1:R72"/>
  <sheetViews>
    <sheetView workbookViewId="0">
      <pane xSplit="1" ySplit="1" topLeftCell="B14" activePane="bottomRight" state="frozen"/>
      <selection activeCell="F26" sqref="F26"/>
      <selection pane="topRight" activeCell="F26" sqref="F26"/>
      <selection pane="bottomLeft" activeCell="F26" sqref="F26"/>
      <selection pane="bottomRight" activeCell="F26" sqref="F26"/>
    </sheetView>
  </sheetViews>
  <sheetFormatPr defaultRowHeight="12.75" x14ac:dyDescent="0.2"/>
  <cols>
    <col min="1" max="1" width="42.5703125" customWidth="1"/>
    <col min="2" max="2" width="1.85546875" customWidth="1"/>
    <col min="3" max="3" width="14" customWidth="1"/>
    <col min="4" max="4" width="14" style="73" customWidth="1"/>
    <col min="5" max="5" width="9" style="74" customWidth="1"/>
    <col min="6" max="18" width="14" customWidth="1"/>
  </cols>
  <sheetData>
    <row r="1" spans="1:18" s="4" customFormat="1" ht="48" customHeight="1" x14ac:dyDescent="0.2">
      <c r="A1" s="3" t="s">
        <v>0</v>
      </c>
      <c r="B1" s="3"/>
      <c r="C1" s="35" t="s">
        <v>35</v>
      </c>
      <c r="D1" s="57" t="s">
        <v>36</v>
      </c>
      <c r="E1" s="58" t="s">
        <v>37</v>
      </c>
      <c r="F1" s="79" t="s">
        <v>39</v>
      </c>
      <c r="G1" s="56">
        <f>+CONSUMPTION!F1</f>
        <v>43112</v>
      </c>
      <c r="H1" s="56">
        <f>+CONSUMPTION!G1</f>
        <v>43143</v>
      </c>
      <c r="I1" s="56">
        <f>+CONSUMPTION!H1</f>
        <v>43171</v>
      </c>
      <c r="J1" s="56">
        <f>+CONSUMPTION!I1</f>
        <v>43202</v>
      </c>
      <c r="K1" s="56">
        <f>+CONSUMPTION!J1</f>
        <v>43232</v>
      </c>
      <c r="L1" s="56">
        <f>+CONSUMPTION!K1</f>
        <v>43263</v>
      </c>
      <c r="M1" s="56">
        <f>+CONSUMPTION!L1</f>
        <v>43293</v>
      </c>
      <c r="N1" s="56">
        <f>+CONSUMPTION!M1</f>
        <v>43324</v>
      </c>
      <c r="O1" s="56">
        <f>+CONSUMPTION!N1</f>
        <v>43355</v>
      </c>
      <c r="P1" s="56">
        <f>+CONSUMPTION!O1</f>
        <v>43385</v>
      </c>
      <c r="Q1" s="56">
        <f>+CONSUMPTION!P1</f>
        <v>43416</v>
      </c>
      <c r="R1" s="56">
        <f>+CONSUMPTION!Q1</f>
        <v>43446</v>
      </c>
    </row>
    <row r="2" spans="1:18" s="4" customFormat="1" ht="15" x14ac:dyDescent="0.2">
      <c r="A2" s="29"/>
      <c r="B2" s="29"/>
      <c r="C2" s="29"/>
      <c r="D2" s="59"/>
      <c r="E2" s="60"/>
      <c r="F2" s="30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5" x14ac:dyDescent="0.25">
      <c r="A3" s="25" t="s">
        <v>4</v>
      </c>
      <c r="B3" s="26"/>
      <c r="C3" s="139">
        <v>0</v>
      </c>
      <c r="D3" s="61">
        <f>+BASE!D3</f>
        <v>0</v>
      </c>
      <c r="E3" s="103">
        <f>IF(D3&gt;0,(+C3-D3)/D3,0)</f>
        <v>0</v>
      </c>
      <c r="F3" s="144">
        <f>SUM(G3:R3)</f>
        <v>0</v>
      </c>
      <c r="G3" s="52">
        <f>$C3*BASE!F3</f>
        <v>0</v>
      </c>
      <c r="H3" s="52">
        <f>$C3*BASE!G3</f>
        <v>0</v>
      </c>
      <c r="I3" s="52">
        <f>$C3*BASE!H3</f>
        <v>0</v>
      </c>
      <c r="J3" s="52">
        <f>$C3*BASE!I3</f>
        <v>0</v>
      </c>
      <c r="K3" s="52">
        <f>$C3*BASE!J3</f>
        <v>0</v>
      </c>
      <c r="L3" s="52">
        <f>$C3*BASE!K3</f>
        <v>0</v>
      </c>
      <c r="M3" s="52">
        <f>$C3*BASE!L3</f>
        <v>0</v>
      </c>
      <c r="N3" s="52">
        <f>$C3*BASE!M3</f>
        <v>0</v>
      </c>
      <c r="O3" s="52">
        <f>$C3*BASE!N3</f>
        <v>0</v>
      </c>
      <c r="P3" s="52">
        <f>$C3*BASE!O3</f>
        <v>0</v>
      </c>
      <c r="Q3" s="52">
        <f>$C3*BASE!P3</f>
        <v>0</v>
      </c>
      <c r="R3" s="52">
        <f>$C3*BASE!Q3</f>
        <v>0</v>
      </c>
    </row>
    <row r="4" spans="1:18" ht="15" x14ac:dyDescent="0.25">
      <c r="A4" s="2" t="s">
        <v>4</v>
      </c>
      <c r="B4" s="7"/>
      <c r="C4" s="139">
        <f>+'Modeling &amp; Presentation'!C$28</f>
        <v>394</v>
      </c>
      <c r="D4" s="61">
        <f>+BASE!D4</f>
        <v>394</v>
      </c>
      <c r="E4" s="103">
        <f>+C4/D4-1</f>
        <v>0</v>
      </c>
      <c r="F4" s="144">
        <f t="shared" ref="F4:F55" si="0">SUM(G4:R4)</f>
        <v>3152</v>
      </c>
      <c r="G4" s="52">
        <f>$C4*BASE!F4</f>
        <v>394</v>
      </c>
      <c r="H4" s="52">
        <f>$C4*BASE!G4</f>
        <v>394</v>
      </c>
      <c r="I4" s="52">
        <f>$C4*BASE!H4</f>
        <v>394</v>
      </c>
      <c r="J4" s="52">
        <f>$C4*BASE!I4</f>
        <v>394</v>
      </c>
      <c r="K4" s="52">
        <f>$C4*BASE!J4</f>
        <v>394</v>
      </c>
      <c r="L4" s="52">
        <f>$C4*BASE!K4</f>
        <v>0</v>
      </c>
      <c r="M4" s="52">
        <f>$C4*BASE!L4</f>
        <v>0</v>
      </c>
      <c r="N4" s="52">
        <f>$C4*BASE!M4</f>
        <v>0</v>
      </c>
      <c r="O4" s="52">
        <f>$C4*BASE!N4</f>
        <v>0</v>
      </c>
      <c r="P4" s="52">
        <f>$C4*BASE!O4</f>
        <v>394</v>
      </c>
      <c r="Q4" s="52">
        <f>$C4*BASE!P4</f>
        <v>394</v>
      </c>
      <c r="R4" s="52">
        <f>$C4*BASE!Q4</f>
        <v>394</v>
      </c>
    </row>
    <row r="5" spans="1:18" ht="15" x14ac:dyDescent="0.25">
      <c r="A5" s="2" t="s">
        <v>4</v>
      </c>
      <c r="B5" s="7"/>
      <c r="C5" s="139">
        <v>0</v>
      </c>
      <c r="D5" s="61">
        <f>+BASE!D5</f>
        <v>0</v>
      </c>
      <c r="E5" s="103">
        <f t="shared" ref="E5:E55" si="1">IF(D5&gt;0,(+C5-D5)/D5,0)</f>
        <v>0</v>
      </c>
      <c r="F5" s="144">
        <f t="shared" si="0"/>
        <v>0</v>
      </c>
      <c r="G5" s="52">
        <f>$C5*BASE!F5</f>
        <v>0</v>
      </c>
      <c r="H5" s="52">
        <f>$C5*BASE!G5</f>
        <v>0</v>
      </c>
      <c r="I5" s="52">
        <f>$C5*BASE!H5</f>
        <v>0</v>
      </c>
      <c r="J5" s="52">
        <f>$C5*BASE!I5</f>
        <v>0</v>
      </c>
      <c r="K5" s="52">
        <f>$C5*BASE!J5</f>
        <v>0</v>
      </c>
      <c r="L5" s="52">
        <f>$C5*BASE!K5</f>
        <v>0</v>
      </c>
      <c r="M5" s="52">
        <f>$C5*BASE!L5</f>
        <v>0</v>
      </c>
      <c r="N5" s="52">
        <f>$C5*BASE!M5</f>
        <v>0</v>
      </c>
      <c r="O5" s="52">
        <f>$C5*BASE!N5</f>
        <v>0</v>
      </c>
      <c r="P5" s="52">
        <f>$C5*BASE!O5</f>
        <v>0</v>
      </c>
      <c r="Q5" s="52">
        <f>$C5*BASE!P5</f>
        <v>0</v>
      </c>
      <c r="R5" s="52">
        <f>$C5*BASE!Q5</f>
        <v>0</v>
      </c>
    </row>
    <row r="6" spans="1:18" ht="30" x14ac:dyDescent="0.25">
      <c r="A6" s="2" t="s">
        <v>5</v>
      </c>
      <c r="B6" s="7"/>
      <c r="C6" s="139">
        <f>+'Modeling &amp; Presentation'!C$28</f>
        <v>394</v>
      </c>
      <c r="D6" s="61">
        <f>+BASE!D6</f>
        <v>394</v>
      </c>
      <c r="E6" s="103">
        <f>+C6/D6-1</f>
        <v>0</v>
      </c>
      <c r="F6" s="144">
        <f t="shared" si="0"/>
        <v>1576</v>
      </c>
      <c r="G6" s="52">
        <f>$C6*BASE!F6</f>
        <v>0</v>
      </c>
      <c r="H6" s="52">
        <f>$C6*BASE!G6</f>
        <v>0</v>
      </c>
      <c r="I6" s="52">
        <f>$C6*BASE!H6</f>
        <v>0</v>
      </c>
      <c r="J6" s="52">
        <f>$C6*BASE!I6</f>
        <v>0</v>
      </c>
      <c r="K6" s="52">
        <f>$C6*BASE!J6</f>
        <v>0</v>
      </c>
      <c r="L6" s="52">
        <f>$C6*BASE!K6</f>
        <v>394</v>
      </c>
      <c r="M6" s="52">
        <f>$C6*BASE!L6</f>
        <v>394</v>
      </c>
      <c r="N6" s="52">
        <f>$C6*BASE!M6</f>
        <v>394</v>
      </c>
      <c r="O6" s="52">
        <f>$C6*BASE!N6</f>
        <v>394</v>
      </c>
      <c r="P6" s="52">
        <f>$C6*BASE!O6</f>
        <v>0</v>
      </c>
      <c r="Q6" s="52">
        <f>$C6*BASE!P6</f>
        <v>0</v>
      </c>
      <c r="R6" s="52">
        <f>$C6*BASE!Q6</f>
        <v>0</v>
      </c>
    </row>
    <row r="7" spans="1:18" ht="15" x14ac:dyDescent="0.25">
      <c r="A7" s="2" t="s">
        <v>98</v>
      </c>
      <c r="B7" s="7"/>
      <c r="C7" s="139">
        <f>+'Modeling &amp; Presentation'!C$6</f>
        <v>31</v>
      </c>
      <c r="D7" s="61">
        <f>+BASE!D7</f>
        <v>31</v>
      </c>
      <c r="E7" s="103">
        <f t="shared" ref="E7:E9" si="2">IF(D7&gt;0,(+C7-D7)/D7,0)</f>
        <v>0</v>
      </c>
      <c r="F7" s="144">
        <f t="shared" ref="F7:F12" si="3">SUM(G7:R7)</f>
        <v>0</v>
      </c>
      <c r="G7" s="52">
        <f>$C7*BASE!F7</f>
        <v>0</v>
      </c>
      <c r="H7" s="52">
        <f>$C7*BASE!G7</f>
        <v>0</v>
      </c>
      <c r="I7" s="52">
        <f>$C7*BASE!H7</f>
        <v>0</v>
      </c>
      <c r="J7" s="52">
        <f>$C7*BASE!I7</f>
        <v>0</v>
      </c>
      <c r="K7" s="52">
        <f>$C7*BASE!J7</f>
        <v>0</v>
      </c>
      <c r="L7" s="52">
        <f>$C7*BASE!K7</f>
        <v>0</v>
      </c>
      <c r="M7" s="52">
        <f>$C7*BASE!L7</f>
        <v>0</v>
      </c>
      <c r="N7" s="52">
        <f>$C7*BASE!M7</f>
        <v>0</v>
      </c>
      <c r="O7" s="52">
        <f>$C7*BASE!N7</f>
        <v>0</v>
      </c>
      <c r="P7" s="52">
        <f>$C7*BASE!O7</f>
        <v>0</v>
      </c>
      <c r="Q7" s="52">
        <f>$C7*BASE!P7</f>
        <v>0</v>
      </c>
      <c r="R7" s="52">
        <f>$C7*BASE!Q7</f>
        <v>0</v>
      </c>
    </row>
    <row r="8" spans="1:18" ht="15" x14ac:dyDescent="0.25">
      <c r="A8" s="2" t="s">
        <v>98</v>
      </c>
      <c r="B8" s="7"/>
      <c r="C8" s="139">
        <f>+'Modeling &amp; Presentation'!C$6</f>
        <v>31</v>
      </c>
      <c r="D8" s="61">
        <f>+BASE!D8</f>
        <v>31</v>
      </c>
      <c r="E8" s="103">
        <f t="shared" si="2"/>
        <v>0</v>
      </c>
      <c r="F8" s="144">
        <f t="shared" si="3"/>
        <v>0</v>
      </c>
      <c r="G8" s="52">
        <f>$C8*BASE!F8</f>
        <v>0</v>
      </c>
      <c r="H8" s="52">
        <f>$C8*BASE!G8</f>
        <v>0</v>
      </c>
      <c r="I8" s="52">
        <f>$C8*BASE!H8</f>
        <v>0</v>
      </c>
      <c r="J8" s="52">
        <f>$C8*BASE!I8</f>
        <v>0</v>
      </c>
      <c r="K8" s="52">
        <f>$C8*BASE!J8</f>
        <v>0</v>
      </c>
      <c r="L8" s="52">
        <f>$C8*BASE!K8</f>
        <v>0</v>
      </c>
      <c r="M8" s="52">
        <f>$C8*BASE!L8</f>
        <v>0</v>
      </c>
      <c r="N8" s="52">
        <f>$C8*BASE!M8</f>
        <v>0</v>
      </c>
      <c r="O8" s="52">
        <f>$C8*BASE!N8</f>
        <v>0</v>
      </c>
      <c r="P8" s="52">
        <f>$C8*BASE!O8</f>
        <v>0</v>
      </c>
      <c r="Q8" s="52">
        <f>$C8*BASE!P8</f>
        <v>0</v>
      </c>
      <c r="R8" s="52">
        <f>$C8*BASE!Q8</f>
        <v>0</v>
      </c>
    </row>
    <row r="9" spans="1:18" ht="15" x14ac:dyDescent="0.25">
      <c r="A9" s="2" t="s">
        <v>98</v>
      </c>
      <c r="B9" s="7"/>
      <c r="C9" s="139">
        <f>+'Modeling &amp; Presentation'!C$6</f>
        <v>31</v>
      </c>
      <c r="D9" s="61">
        <f>+BASE!D9</f>
        <v>31</v>
      </c>
      <c r="E9" s="103">
        <f t="shared" si="2"/>
        <v>0</v>
      </c>
      <c r="F9" s="144">
        <f t="shared" si="3"/>
        <v>0</v>
      </c>
      <c r="G9" s="52">
        <f>$C9*BASE!F9</f>
        <v>0</v>
      </c>
      <c r="H9" s="52">
        <f>$C9*BASE!G9</f>
        <v>0</v>
      </c>
      <c r="I9" s="52">
        <f>$C9*BASE!H9</f>
        <v>0</v>
      </c>
      <c r="J9" s="52">
        <f>$C9*BASE!I9</f>
        <v>0</v>
      </c>
      <c r="K9" s="52">
        <f>$C9*BASE!J9</f>
        <v>0</v>
      </c>
      <c r="L9" s="52">
        <f>$C9*BASE!K9</f>
        <v>0</v>
      </c>
      <c r="M9" s="52">
        <f>$C9*BASE!L9</f>
        <v>0</v>
      </c>
      <c r="N9" s="52">
        <f>$C9*BASE!M9</f>
        <v>0</v>
      </c>
      <c r="O9" s="52">
        <f>$C9*BASE!N9</f>
        <v>0</v>
      </c>
      <c r="P9" s="52">
        <f>$C9*BASE!O9</f>
        <v>0</v>
      </c>
      <c r="Q9" s="52">
        <f>$C9*BASE!P9</f>
        <v>0</v>
      </c>
      <c r="R9" s="52">
        <f>$C9*BASE!Q9</f>
        <v>0</v>
      </c>
    </row>
    <row r="10" spans="1:18" ht="15" x14ac:dyDescent="0.25">
      <c r="A10" s="200" t="s">
        <v>104</v>
      </c>
      <c r="B10" s="7"/>
      <c r="C10" s="139">
        <f>+'Modeling &amp; Presentation'!C$7</f>
        <v>15.9</v>
      </c>
      <c r="D10" s="61">
        <f>+BASE!D10</f>
        <v>14.9</v>
      </c>
      <c r="E10" s="103">
        <f t="shared" ref="E10:E12" si="4">IF(D10&gt;0,(+C10-D10)/D10,0)</f>
        <v>6.7114093959731544E-2</v>
      </c>
      <c r="F10" s="144">
        <f t="shared" si="3"/>
        <v>1404701.4000000001</v>
      </c>
      <c r="G10" s="52">
        <f>$C10*BASE!F10</f>
        <v>0</v>
      </c>
      <c r="H10" s="52">
        <f>$C10*BASE!G10</f>
        <v>0</v>
      </c>
      <c r="I10" s="52">
        <f>$C10*BASE!H10</f>
        <v>0</v>
      </c>
      <c r="J10" s="52">
        <f>$C10*BASE!I10</f>
        <v>0</v>
      </c>
      <c r="K10" s="52">
        <f>$C10*BASE!J10</f>
        <v>280491.90000000002</v>
      </c>
      <c r="L10" s="52">
        <f>$C10*BASE!K10</f>
        <v>281016.60000000003</v>
      </c>
      <c r="M10" s="52">
        <f>$C10*BASE!L10</f>
        <v>281302.8</v>
      </c>
      <c r="N10" s="52">
        <f>$C10*BASE!M10</f>
        <v>281350.5</v>
      </c>
      <c r="O10" s="52">
        <f>$C10*BASE!N10</f>
        <v>280539.60000000003</v>
      </c>
      <c r="P10" s="52">
        <f>$C10*BASE!O10</f>
        <v>0</v>
      </c>
      <c r="Q10" s="52">
        <f>$C10*BASE!P10</f>
        <v>0</v>
      </c>
      <c r="R10" s="52">
        <f>$C10*BASE!Q10</f>
        <v>0</v>
      </c>
    </row>
    <row r="11" spans="1:18" ht="15" x14ac:dyDescent="0.25">
      <c r="A11" s="200" t="s">
        <v>104</v>
      </c>
      <c r="B11" s="7"/>
      <c r="C11" s="139">
        <f>+'Modeling &amp; Presentation'!C$7</f>
        <v>15.9</v>
      </c>
      <c r="D11" s="61">
        <f>+BASE!D11</f>
        <v>14.9</v>
      </c>
      <c r="E11" s="103">
        <f t="shared" si="4"/>
        <v>6.7114093959731544E-2</v>
      </c>
      <c r="F11" s="144">
        <f t="shared" si="3"/>
        <v>0</v>
      </c>
      <c r="G11" s="52">
        <f>$C11*BASE!F11</f>
        <v>0</v>
      </c>
      <c r="H11" s="52">
        <f>$C11*BASE!G11</f>
        <v>0</v>
      </c>
      <c r="I11" s="52">
        <f>$C11*BASE!H11</f>
        <v>0</v>
      </c>
      <c r="J11" s="52">
        <f>$C11*BASE!I11</f>
        <v>0</v>
      </c>
      <c r="K11" s="52">
        <f>$C11*BASE!J11</f>
        <v>0</v>
      </c>
      <c r="L11" s="52">
        <f>$C11*BASE!K11</f>
        <v>0</v>
      </c>
      <c r="M11" s="52">
        <f>$C11*BASE!L11</f>
        <v>0</v>
      </c>
      <c r="N11" s="52">
        <f>$C11*BASE!M11</f>
        <v>0</v>
      </c>
      <c r="O11" s="52">
        <f>$C11*BASE!N11</f>
        <v>0</v>
      </c>
      <c r="P11" s="52">
        <f>$C11*BASE!O11</f>
        <v>0</v>
      </c>
      <c r="Q11" s="52">
        <f>$C11*BASE!P11</f>
        <v>0</v>
      </c>
      <c r="R11" s="52">
        <f>$C11*BASE!Q11</f>
        <v>0</v>
      </c>
    </row>
    <row r="12" spans="1:18" ht="15" x14ac:dyDescent="0.25">
      <c r="A12" s="200" t="s">
        <v>104</v>
      </c>
      <c r="B12" s="7"/>
      <c r="C12" s="139">
        <f>+'Modeling &amp; Presentation'!C$7</f>
        <v>15.9</v>
      </c>
      <c r="D12" s="61">
        <f>+BASE!D12</f>
        <v>14.9</v>
      </c>
      <c r="E12" s="103">
        <f t="shared" si="4"/>
        <v>6.7114093959731544E-2</v>
      </c>
      <c r="F12" s="144">
        <f t="shared" si="3"/>
        <v>0</v>
      </c>
      <c r="G12" s="52">
        <f>$C12*BASE!F12</f>
        <v>0</v>
      </c>
      <c r="H12" s="52">
        <f>$C12*BASE!G12</f>
        <v>0</v>
      </c>
      <c r="I12" s="52">
        <f>$C12*BASE!H12</f>
        <v>0</v>
      </c>
      <c r="J12" s="52">
        <f>$C12*BASE!I12</f>
        <v>0</v>
      </c>
      <c r="K12" s="52">
        <f>$C12*BASE!J12</f>
        <v>0</v>
      </c>
      <c r="L12" s="52">
        <f>$C12*BASE!K12</f>
        <v>0</v>
      </c>
      <c r="M12" s="52">
        <f>$C12*BASE!L12</f>
        <v>0</v>
      </c>
      <c r="N12" s="52">
        <f>$C12*BASE!M12</f>
        <v>0</v>
      </c>
      <c r="O12" s="52">
        <f>$C12*BASE!N12</f>
        <v>0</v>
      </c>
      <c r="P12" s="52">
        <f>$C12*BASE!O12</f>
        <v>0</v>
      </c>
      <c r="Q12" s="52">
        <f>$C12*BASE!P12</f>
        <v>0</v>
      </c>
      <c r="R12" s="52">
        <f>$C12*BASE!Q12</f>
        <v>0</v>
      </c>
    </row>
    <row r="13" spans="1:18" ht="15" x14ac:dyDescent="0.25">
      <c r="A13" s="2" t="s">
        <v>6</v>
      </c>
      <c r="B13" s="7"/>
      <c r="C13" s="139">
        <f>+'Modeling &amp; Presentation'!C$8</f>
        <v>15.9</v>
      </c>
      <c r="D13" s="61">
        <f>+BASE!D13</f>
        <v>14.9</v>
      </c>
      <c r="E13" s="103">
        <f t="shared" si="1"/>
        <v>6.7114093959731544E-2</v>
      </c>
      <c r="F13" s="144">
        <f t="shared" si="0"/>
        <v>1956685.8000000003</v>
      </c>
      <c r="G13" s="52">
        <f>$C13*BASE!F13</f>
        <v>279188.10000000003</v>
      </c>
      <c r="H13" s="52">
        <f>$C13*BASE!G13</f>
        <v>278758.8</v>
      </c>
      <c r="I13" s="52">
        <f>$C13*BASE!H13</f>
        <v>279744.60000000003</v>
      </c>
      <c r="J13" s="52">
        <f>$C13*BASE!I13</f>
        <v>280110.3</v>
      </c>
      <c r="K13" s="52">
        <f>$C13*BASE!J13</f>
        <v>0</v>
      </c>
      <c r="L13" s="52">
        <f>$C13*BASE!K13</f>
        <v>0</v>
      </c>
      <c r="M13" s="52">
        <f>$C13*BASE!L13</f>
        <v>0</v>
      </c>
      <c r="N13" s="52">
        <f>$C13*BASE!M13</f>
        <v>0</v>
      </c>
      <c r="O13" s="52">
        <f>$C13*BASE!N13</f>
        <v>0</v>
      </c>
      <c r="P13" s="52">
        <f>$C13*BASE!O13</f>
        <v>280778.10000000003</v>
      </c>
      <c r="Q13" s="52">
        <f>$C13*BASE!P13</f>
        <v>279553.8</v>
      </c>
      <c r="R13" s="52">
        <f>$C13*BASE!Q13</f>
        <v>278552.10000000003</v>
      </c>
    </row>
    <row r="14" spans="1:18" ht="15" x14ac:dyDescent="0.25">
      <c r="A14" s="2" t="s">
        <v>6</v>
      </c>
      <c r="B14" s="7"/>
      <c r="C14" s="139">
        <f>+'Modeling &amp; Presentation'!C$8</f>
        <v>15.9</v>
      </c>
      <c r="D14" s="61">
        <f>+BASE!D14</f>
        <v>14.9</v>
      </c>
      <c r="E14" s="103">
        <f t="shared" si="1"/>
        <v>6.7114093959731544E-2</v>
      </c>
      <c r="F14" s="144">
        <f t="shared" si="0"/>
        <v>0</v>
      </c>
      <c r="G14" s="52">
        <f>$C14*BASE!F14</f>
        <v>0</v>
      </c>
      <c r="H14" s="52">
        <f>$C14*BASE!G14</f>
        <v>0</v>
      </c>
      <c r="I14" s="52">
        <f>$C14*BASE!H14</f>
        <v>0</v>
      </c>
      <c r="J14" s="52">
        <f>$C14*BASE!I14</f>
        <v>0</v>
      </c>
      <c r="K14" s="52">
        <f>$C14*BASE!J14</f>
        <v>0</v>
      </c>
      <c r="L14" s="52">
        <f>$C14*BASE!K14</f>
        <v>0</v>
      </c>
      <c r="M14" s="52">
        <f>$C14*BASE!L14</f>
        <v>0</v>
      </c>
      <c r="N14" s="52">
        <f>$C14*BASE!M14</f>
        <v>0</v>
      </c>
      <c r="O14" s="52">
        <f>$C14*BASE!N14</f>
        <v>0</v>
      </c>
      <c r="P14" s="52">
        <f>$C14*BASE!O14</f>
        <v>0</v>
      </c>
      <c r="Q14" s="52">
        <f>$C14*BASE!P14</f>
        <v>0</v>
      </c>
      <c r="R14" s="52">
        <f>$C14*BASE!Q14</f>
        <v>0</v>
      </c>
    </row>
    <row r="15" spans="1:18" ht="15" x14ac:dyDescent="0.25">
      <c r="A15" s="2" t="s">
        <v>6</v>
      </c>
      <c r="B15" s="7"/>
      <c r="C15" s="139">
        <f>+'Modeling &amp; Presentation'!C$8</f>
        <v>15.9</v>
      </c>
      <c r="D15" s="61">
        <f>+BASE!D15</f>
        <v>14.9</v>
      </c>
      <c r="E15" s="103">
        <f t="shared" si="1"/>
        <v>6.7114093959731544E-2</v>
      </c>
      <c r="F15" s="144">
        <f t="shared" si="0"/>
        <v>0</v>
      </c>
      <c r="G15" s="52">
        <f>$C15*BASE!F15</f>
        <v>0</v>
      </c>
      <c r="H15" s="52">
        <f>$C15*BASE!G15</f>
        <v>0</v>
      </c>
      <c r="I15" s="52">
        <f>$C15*BASE!H15</f>
        <v>0</v>
      </c>
      <c r="J15" s="52">
        <f>$C15*BASE!I15</f>
        <v>0</v>
      </c>
      <c r="K15" s="52">
        <f>$C15*BASE!J15</f>
        <v>0</v>
      </c>
      <c r="L15" s="52">
        <f>$C15*BASE!K15</f>
        <v>0</v>
      </c>
      <c r="M15" s="52">
        <f>$C15*BASE!L15</f>
        <v>0</v>
      </c>
      <c r="N15" s="52">
        <f>$C15*BASE!M15</f>
        <v>0</v>
      </c>
      <c r="O15" s="52">
        <f>$C15*BASE!N15</f>
        <v>0</v>
      </c>
      <c r="P15" s="52">
        <f>$C15*BASE!O15</f>
        <v>0</v>
      </c>
      <c r="Q15" s="52">
        <f>$C15*BASE!P15</f>
        <v>0</v>
      </c>
      <c r="R15" s="52">
        <f>$C15*BASE!Q15</f>
        <v>0</v>
      </c>
    </row>
    <row r="16" spans="1:18" ht="15" x14ac:dyDescent="0.25">
      <c r="A16" s="2" t="s">
        <v>7</v>
      </c>
      <c r="B16" s="7"/>
      <c r="C16" s="139">
        <f>+'Modeling &amp; Presentation'!C$9</f>
        <v>26.5</v>
      </c>
      <c r="D16" s="61">
        <f>+BASE!D16</f>
        <v>24.83</v>
      </c>
      <c r="E16" s="103">
        <f t="shared" si="1"/>
        <v>6.7257349979863143E-2</v>
      </c>
      <c r="F16" s="144">
        <f t="shared" si="0"/>
        <v>6121.5</v>
      </c>
      <c r="G16" s="52">
        <f>$C16*BASE!F16</f>
        <v>848</v>
      </c>
      <c r="H16" s="52">
        <f>$C16*BASE!G16</f>
        <v>848</v>
      </c>
      <c r="I16" s="52">
        <f>$C16*BASE!H16</f>
        <v>848</v>
      </c>
      <c r="J16" s="52">
        <f>$C16*BASE!I16</f>
        <v>848</v>
      </c>
      <c r="K16" s="52">
        <f>$C16*BASE!J16</f>
        <v>0</v>
      </c>
      <c r="L16" s="52">
        <f>$C16*BASE!K16</f>
        <v>0</v>
      </c>
      <c r="M16" s="52">
        <f>$C16*BASE!L16</f>
        <v>0</v>
      </c>
      <c r="N16" s="52">
        <f>$C16*BASE!M16</f>
        <v>0</v>
      </c>
      <c r="O16" s="52">
        <f>$C16*BASE!N16</f>
        <v>0</v>
      </c>
      <c r="P16" s="52">
        <f>$C16*BASE!O16</f>
        <v>901</v>
      </c>
      <c r="Q16" s="52">
        <f>$C16*BASE!P16</f>
        <v>927.5</v>
      </c>
      <c r="R16" s="52">
        <f>$C16*BASE!Q16</f>
        <v>901</v>
      </c>
    </row>
    <row r="17" spans="1:18" ht="15" x14ac:dyDescent="0.25">
      <c r="A17" s="2" t="s">
        <v>7</v>
      </c>
      <c r="B17" s="7"/>
      <c r="C17" s="139">
        <f>+'Modeling &amp; Presentation'!C$9</f>
        <v>26.5</v>
      </c>
      <c r="D17" s="61">
        <f>+BASE!D17</f>
        <v>24.83</v>
      </c>
      <c r="E17" s="103">
        <f t="shared" si="1"/>
        <v>6.7257349979863143E-2</v>
      </c>
      <c r="F17" s="144">
        <f t="shared" si="0"/>
        <v>0</v>
      </c>
      <c r="G17" s="52">
        <f>$C17*BASE!F17</f>
        <v>0</v>
      </c>
      <c r="H17" s="52">
        <f>$C17*BASE!G17</f>
        <v>0</v>
      </c>
      <c r="I17" s="52">
        <f>$C17*BASE!H17</f>
        <v>0</v>
      </c>
      <c r="J17" s="52">
        <f>$C17*BASE!I17</f>
        <v>0</v>
      </c>
      <c r="K17" s="52">
        <f>$C17*BASE!J17</f>
        <v>0</v>
      </c>
      <c r="L17" s="52">
        <f>$C17*BASE!K17</f>
        <v>0</v>
      </c>
      <c r="M17" s="52">
        <f>$C17*BASE!L17</f>
        <v>0</v>
      </c>
      <c r="N17" s="52">
        <f>$C17*BASE!M17</f>
        <v>0</v>
      </c>
      <c r="O17" s="52">
        <f>$C17*BASE!N17</f>
        <v>0</v>
      </c>
      <c r="P17" s="52">
        <f>$C17*BASE!O17</f>
        <v>0</v>
      </c>
      <c r="Q17" s="52">
        <f>$C17*BASE!P17</f>
        <v>0</v>
      </c>
      <c r="R17" s="52">
        <f>$C17*BASE!Q17</f>
        <v>0</v>
      </c>
    </row>
    <row r="18" spans="1:18" ht="15" x14ac:dyDescent="0.25">
      <c r="A18" s="2" t="s">
        <v>7</v>
      </c>
      <c r="B18" s="7"/>
      <c r="C18" s="139">
        <f>+'Modeling &amp; Presentation'!C$9</f>
        <v>26.5</v>
      </c>
      <c r="D18" s="61">
        <f>+BASE!D18</f>
        <v>24.83</v>
      </c>
      <c r="E18" s="103">
        <f t="shared" si="1"/>
        <v>6.7257349979863143E-2</v>
      </c>
      <c r="F18" s="144">
        <f t="shared" si="0"/>
        <v>0</v>
      </c>
      <c r="G18" s="52">
        <f>$C18*BASE!F18</f>
        <v>0</v>
      </c>
      <c r="H18" s="52">
        <f>$C18*BASE!G18</f>
        <v>0</v>
      </c>
      <c r="I18" s="52">
        <f>$C18*BASE!H18</f>
        <v>0</v>
      </c>
      <c r="J18" s="52">
        <f>$C18*BASE!I18</f>
        <v>0</v>
      </c>
      <c r="K18" s="52">
        <f>$C18*BASE!J18</f>
        <v>0</v>
      </c>
      <c r="L18" s="52">
        <f>$C18*BASE!K18</f>
        <v>0</v>
      </c>
      <c r="M18" s="52">
        <f>$C18*BASE!L18</f>
        <v>0</v>
      </c>
      <c r="N18" s="52">
        <f>$C18*BASE!M18</f>
        <v>0</v>
      </c>
      <c r="O18" s="52">
        <f>$C18*BASE!N18</f>
        <v>0</v>
      </c>
      <c r="P18" s="52">
        <f>$C18*BASE!O18</f>
        <v>0</v>
      </c>
      <c r="Q18" s="52">
        <f>$C18*BASE!P18</f>
        <v>0</v>
      </c>
      <c r="R18" s="52">
        <f>$C18*BASE!Q18</f>
        <v>0</v>
      </c>
    </row>
    <row r="19" spans="1:18" ht="15" x14ac:dyDescent="0.25">
      <c r="A19" s="200" t="s">
        <v>106</v>
      </c>
      <c r="B19" s="7"/>
      <c r="C19" s="139">
        <f>+'Modeling &amp; Presentation'!C$10</f>
        <v>26.5</v>
      </c>
      <c r="D19" s="61">
        <f>+BASE!D19</f>
        <v>24.83</v>
      </c>
      <c r="E19" s="103">
        <f t="shared" si="1"/>
        <v>6.7257349979863143E-2</v>
      </c>
      <c r="F19" s="144">
        <f t="shared" si="0"/>
        <v>4425.5</v>
      </c>
      <c r="G19" s="52">
        <f>$C19*BASE!F19</f>
        <v>0</v>
      </c>
      <c r="H19" s="52">
        <f>$C19*BASE!G19</f>
        <v>0</v>
      </c>
      <c r="I19" s="52">
        <f>$C19*BASE!H19</f>
        <v>0</v>
      </c>
      <c r="J19" s="52">
        <f>$C19*BASE!I19</f>
        <v>0</v>
      </c>
      <c r="K19" s="52">
        <f>$C19*BASE!J19</f>
        <v>874.5</v>
      </c>
      <c r="L19" s="52">
        <f>$C19*BASE!K19</f>
        <v>927.5</v>
      </c>
      <c r="M19" s="52">
        <f>$C19*BASE!L19</f>
        <v>874.5</v>
      </c>
      <c r="N19" s="52">
        <f>$C19*BASE!M19</f>
        <v>874.5</v>
      </c>
      <c r="O19" s="52">
        <f>$C19*BASE!N19</f>
        <v>874.5</v>
      </c>
      <c r="P19" s="52">
        <f>$C19*BASE!O19</f>
        <v>0</v>
      </c>
      <c r="Q19" s="52">
        <f>$C19*BASE!P19</f>
        <v>0</v>
      </c>
      <c r="R19" s="52">
        <f>$C19*BASE!Q19</f>
        <v>0</v>
      </c>
    </row>
    <row r="20" spans="1:18" ht="15" x14ac:dyDescent="0.25">
      <c r="A20" s="200" t="s">
        <v>106</v>
      </c>
      <c r="B20" s="7"/>
      <c r="C20" s="139">
        <f>+'Modeling &amp; Presentation'!C$10</f>
        <v>26.5</v>
      </c>
      <c r="D20" s="61">
        <f>+BASE!D20</f>
        <v>24.83</v>
      </c>
      <c r="E20" s="103">
        <f t="shared" si="1"/>
        <v>6.7257349979863143E-2</v>
      </c>
      <c r="F20" s="144">
        <f t="shared" si="0"/>
        <v>0</v>
      </c>
      <c r="G20" s="52">
        <f>$C20*BASE!F20</f>
        <v>0</v>
      </c>
      <c r="H20" s="52">
        <f>$C20*BASE!G20</f>
        <v>0</v>
      </c>
      <c r="I20" s="52">
        <f>$C20*BASE!H20</f>
        <v>0</v>
      </c>
      <c r="J20" s="52">
        <f>$C20*BASE!I20</f>
        <v>0</v>
      </c>
      <c r="K20" s="52">
        <f>$C20*BASE!J20</f>
        <v>0</v>
      </c>
      <c r="L20" s="52">
        <f>$C20*BASE!K20</f>
        <v>0</v>
      </c>
      <c r="M20" s="52">
        <f>$C20*BASE!L20</f>
        <v>0</v>
      </c>
      <c r="N20" s="52">
        <f>$C20*BASE!M20</f>
        <v>0</v>
      </c>
      <c r="O20" s="52">
        <f>$C20*BASE!N20</f>
        <v>0</v>
      </c>
      <c r="P20" s="52">
        <f>$C20*BASE!O20</f>
        <v>0</v>
      </c>
      <c r="Q20" s="52">
        <f>$C20*BASE!P20</f>
        <v>0</v>
      </c>
      <c r="R20" s="52">
        <f>$C20*BASE!Q20</f>
        <v>0</v>
      </c>
    </row>
    <row r="21" spans="1:18" ht="15" x14ac:dyDescent="0.25">
      <c r="A21" s="200" t="s">
        <v>106</v>
      </c>
      <c r="B21" s="7"/>
      <c r="C21" s="139">
        <f>+'Modeling &amp; Presentation'!C$10</f>
        <v>26.5</v>
      </c>
      <c r="D21" s="61">
        <f>+BASE!D21</f>
        <v>24.83</v>
      </c>
      <c r="E21" s="103">
        <f t="shared" si="1"/>
        <v>6.7257349979863143E-2</v>
      </c>
      <c r="F21" s="144">
        <f t="shared" si="0"/>
        <v>0</v>
      </c>
      <c r="G21" s="52">
        <f>$C21*BASE!F21</f>
        <v>0</v>
      </c>
      <c r="H21" s="52">
        <f>$C21*BASE!G21</f>
        <v>0</v>
      </c>
      <c r="I21" s="52">
        <f>$C21*BASE!H21</f>
        <v>0</v>
      </c>
      <c r="J21" s="52">
        <f>$C21*BASE!I21</f>
        <v>0</v>
      </c>
      <c r="K21" s="52">
        <f>$C21*BASE!J21</f>
        <v>0</v>
      </c>
      <c r="L21" s="52">
        <f>$C21*BASE!K21</f>
        <v>0</v>
      </c>
      <c r="M21" s="52">
        <f>$C21*BASE!L21</f>
        <v>0</v>
      </c>
      <c r="N21" s="52">
        <f>$C21*BASE!M21</f>
        <v>0</v>
      </c>
      <c r="O21" s="52">
        <f>$C21*BASE!N21</f>
        <v>0</v>
      </c>
      <c r="P21" s="52">
        <f>$C21*BASE!O21</f>
        <v>0</v>
      </c>
      <c r="Q21" s="52">
        <f>$C21*BASE!P21</f>
        <v>0</v>
      </c>
      <c r="R21" s="52">
        <f>$C21*BASE!Q21</f>
        <v>0</v>
      </c>
    </row>
    <row r="22" spans="1:18" ht="15" x14ac:dyDescent="0.25">
      <c r="A22" s="2" t="s">
        <v>8</v>
      </c>
      <c r="B22" s="7"/>
      <c r="C22" s="139">
        <f>+'Modeling &amp; Presentation'!C$11</f>
        <v>53</v>
      </c>
      <c r="D22" s="61">
        <f>+BASE!D22</f>
        <v>49.67</v>
      </c>
      <c r="E22" s="103">
        <f t="shared" si="1"/>
        <v>6.7042480370444898E-2</v>
      </c>
      <c r="F22" s="144">
        <f t="shared" si="0"/>
        <v>0</v>
      </c>
      <c r="G22" s="52">
        <f>$C22*BASE!F22</f>
        <v>0</v>
      </c>
      <c r="H22" s="52">
        <f>$C22*BASE!G22</f>
        <v>0</v>
      </c>
      <c r="I22" s="52">
        <f>$C22*BASE!H22</f>
        <v>0</v>
      </c>
      <c r="J22" s="52">
        <f>$C22*BASE!I22</f>
        <v>0</v>
      </c>
      <c r="K22" s="52">
        <f>$C22*BASE!J22</f>
        <v>0</v>
      </c>
      <c r="L22" s="52">
        <f>$C22*BASE!K22</f>
        <v>0</v>
      </c>
      <c r="M22" s="52">
        <f>$C22*BASE!L22</f>
        <v>0</v>
      </c>
      <c r="N22" s="52">
        <f>$C22*BASE!M22</f>
        <v>0</v>
      </c>
      <c r="O22" s="52">
        <f>$C22*BASE!N22</f>
        <v>0</v>
      </c>
      <c r="P22" s="52">
        <f>$C22*BASE!O22</f>
        <v>0</v>
      </c>
      <c r="Q22" s="52">
        <f>$C22*BASE!P22</f>
        <v>0</v>
      </c>
      <c r="R22" s="52">
        <f>$C22*BASE!Q22</f>
        <v>0</v>
      </c>
    </row>
    <row r="23" spans="1:18" ht="15" x14ac:dyDescent="0.25">
      <c r="A23" s="2" t="s">
        <v>8</v>
      </c>
      <c r="B23" s="7"/>
      <c r="C23" s="139">
        <f>+'Modeling &amp; Presentation'!C$11</f>
        <v>53</v>
      </c>
      <c r="D23" s="61">
        <f>+BASE!D23</f>
        <v>49.67</v>
      </c>
      <c r="E23" s="103">
        <f t="shared" si="1"/>
        <v>6.7042480370444898E-2</v>
      </c>
      <c r="F23" s="144">
        <f t="shared" si="0"/>
        <v>0</v>
      </c>
      <c r="G23" s="52">
        <f>$C23*BASE!F23</f>
        <v>0</v>
      </c>
      <c r="H23" s="52">
        <f>$C23*BASE!G23</f>
        <v>0</v>
      </c>
      <c r="I23" s="52">
        <f>$C23*BASE!H23</f>
        <v>0</v>
      </c>
      <c r="J23" s="52">
        <f>$C23*BASE!I23</f>
        <v>0</v>
      </c>
      <c r="K23" s="52">
        <f>$C23*BASE!J23</f>
        <v>0</v>
      </c>
      <c r="L23" s="52">
        <f>$C23*BASE!K23</f>
        <v>0</v>
      </c>
      <c r="M23" s="52">
        <f>$C23*BASE!L23</f>
        <v>0</v>
      </c>
      <c r="N23" s="52">
        <f>$C23*BASE!M23</f>
        <v>0</v>
      </c>
      <c r="O23" s="52">
        <f>$C23*BASE!N23</f>
        <v>0</v>
      </c>
      <c r="P23" s="52">
        <f>$C23*BASE!O23</f>
        <v>0</v>
      </c>
      <c r="Q23" s="52">
        <f>$C23*BASE!P23</f>
        <v>0</v>
      </c>
      <c r="R23" s="52">
        <f>$C23*BASE!Q23</f>
        <v>0</v>
      </c>
    </row>
    <row r="24" spans="1:18" ht="15" x14ac:dyDescent="0.25">
      <c r="A24" s="2" t="s">
        <v>8</v>
      </c>
      <c r="B24" s="7"/>
      <c r="C24" s="139">
        <f>+'Modeling &amp; Presentation'!C$11</f>
        <v>53</v>
      </c>
      <c r="D24" s="61">
        <f>+BASE!D24</f>
        <v>49.67</v>
      </c>
      <c r="E24" s="103">
        <f t="shared" si="1"/>
        <v>6.7042480370444898E-2</v>
      </c>
      <c r="F24" s="144">
        <f t="shared" si="0"/>
        <v>0</v>
      </c>
      <c r="G24" s="52">
        <f>$C24*BASE!F24</f>
        <v>0</v>
      </c>
      <c r="H24" s="52">
        <f>$C24*BASE!G24</f>
        <v>0</v>
      </c>
      <c r="I24" s="52">
        <f>$C24*BASE!H24</f>
        <v>0</v>
      </c>
      <c r="J24" s="52">
        <f>$C24*BASE!I24</f>
        <v>0</v>
      </c>
      <c r="K24" s="52">
        <f>$C24*BASE!J24</f>
        <v>0</v>
      </c>
      <c r="L24" s="52">
        <f>$C24*BASE!K24</f>
        <v>0</v>
      </c>
      <c r="M24" s="52">
        <f>$C24*BASE!L24</f>
        <v>0</v>
      </c>
      <c r="N24" s="52">
        <f>$C24*BASE!M24</f>
        <v>0</v>
      </c>
      <c r="O24" s="52">
        <f>$C24*BASE!N24</f>
        <v>0</v>
      </c>
      <c r="P24" s="52">
        <f>$C24*BASE!O24</f>
        <v>0</v>
      </c>
      <c r="Q24" s="52">
        <f>$C24*BASE!P24</f>
        <v>0</v>
      </c>
      <c r="R24" s="52">
        <f>$C24*BASE!Q24</f>
        <v>0</v>
      </c>
    </row>
    <row r="25" spans="1:18" ht="15" x14ac:dyDescent="0.25">
      <c r="A25" s="2" t="s">
        <v>9</v>
      </c>
      <c r="B25" s="7"/>
      <c r="C25" s="139">
        <f>+'Modeling &amp; Presentation'!C$12</f>
        <v>84.8</v>
      </c>
      <c r="D25" s="61">
        <f>+BASE!D25</f>
        <v>79.47</v>
      </c>
      <c r="E25" s="103">
        <f t="shared" si="1"/>
        <v>6.7069334340002493E-2</v>
      </c>
      <c r="F25" s="144">
        <f t="shared" si="0"/>
        <v>1780.7999999999995</v>
      </c>
      <c r="G25" s="52">
        <f>$C25*BASE!F25</f>
        <v>84.8</v>
      </c>
      <c r="H25" s="52">
        <f>$C25*BASE!G25</f>
        <v>84.8</v>
      </c>
      <c r="I25" s="52">
        <f>$C25*BASE!H25</f>
        <v>169.6</v>
      </c>
      <c r="J25" s="52">
        <f>$C25*BASE!I25</f>
        <v>169.6</v>
      </c>
      <c r="K25" s="52">
        <f>$C25*BASE!J25</f>
        <v>169.6</v>
      </c>
      <c r="L25" s="52">
        <f>$C25*BASE!K25</f>
        <v>84.8</v>
      </c>
      <c r="M25" s="52">
        <f>$C25*BASE!L25</f>
        <v>169.6</v>
      </c>
      <c r="N25" s="52">
        <f>$C25*BASE!M25</f>
        <v>169.6</v>
      </c>
      <c r="O25" s="52">
        <f>$C25*BASE!N25</f>
        <v>169.6</v>
      </c>
      <c r="P25" s="52">
        <f>$C25*BASE!O25</f>
        <v>169.6</v>
      </c>
      <c r="Q25" s="52">
        <f>$C25*BASE!P25</f>
        <v>169.6</v>
      </c>
      <c r="R25" s="52">
        <f>$C25*BASE!Q25</f>
        <v>169.6</v>
      </c>
    </row>
    <row r="26" spans="1:18" ht="15" x14ac:dyDescent="0.25">
      <c r="A26" s="2" t="s">
        <v>9</v>
      </c>
      <c r="B26" s="7"/>
      <c r="C26" s="139">
        <f>+'Modeling &amp; Presentation'!C$12</f>
        <v>84.8</v>
      </c>
      <c r="D26" s="61">
        <f>+BASE!D26</f>
        <v>79.47</v>
      </c>
      <c r="E26" s="103">
        <f t="shared" si="1"/>
        <v>6.7069334340002493E-2</v>
      </c>
      <c r="F26" s="144">
        <f t="shared" si="0"/>
        <v>0</v>
      </c>
      <c r="G26" s="52">
        <f>$C26*BASE!F26</f>
        <v>0</v>
      </c>
      <c r="H26" s="52">
        <f>$C26*BASE!G26</f>
        <v>0</v>
      </c>
      <c r="I26" s="52">
        <f>$C26*BASE!H26</f>
        <v>0</v>
      </c>
      <c r="J26" s="52">
        <f>$C26*BASE!I26</f>
        <v>0</v>
      </c>
      <c r="K26" s="52">
        <f>$C26*BASE!J26</f>
        <v>0</v>
      </c>
      <c r="L26" s="52">
        <f>$C26*BASE!K26</f>
        <v>0</v>
      </c>
      <c r="M26" s="52">
        <f>$C26*BASE!L26</f>
        <v>0</v>
      </c>
      <c r="N26" s="52">
        <f>$C26*BASE!M26</f>
        <v>0</v>
      </c>
      <c r="O26" s="52">
        <f>$C26*BASE!N26</f>
        <v>0</v>
      </c>
      <c r="P26" s="52">
        <f>$C26*BASE!O26</f>
        <v>0</v>
      </c>
      <c r="Q26" s="52">
        <f>$C26*BASE!P26</f>
        <v>0</v>
      </c>
      <c r="R26" s="52">
        <f>$C26*BASE!Q26</f>
        <v>0</v>
      </c>
    </row>
    <row r="27" spans="1:18" ht="15" x14ac:dyDescent="0.25">
      <c r="A27" s="2" t="s">
        <v>9</v>
      </c>
      <c r="B27" s="7"/>
      <c r="C27" s="139">
        <f>+'Modeling &amp; Presentation'!C$12</f>
        <v>84.8</v>
      </c>
      <c r="D27" s="61">
        <f>+BASE!D27</f>
        <v>79.47</v>
      </c>
      <c r="E27" s="103">
        <f t="shared" si="1"/>
        <v>6.7069334340002493E-2</v>
      </c>
      <c r="F27" s="144">
        <f t="shared" si="0"/>
        <v>0</v>
      </c>
      <c r="G27" s="52">
        <f>$C27*BASE!F27</f>
        <v>0</v>
      </c>
      <c r="H27" s="52">
        <f>$C27*BASE!G27</f>
        <v>0</v>
      </c>
      <c r="I27" s="52">
        <f>$C27*BASE!H27</f>
        <v>0</v>
      </c>
      <c r="J27" s="52">
        <f>$C27*BASE!I27</f>
        <v>0</v>
      </c>
      <c r="K27" s="52">
        <f>$C27*BASE!J27</f>
        <v>0</v>
      </c>
      <c r="L27" s="52">
        <f>$C27*BASE!K27</f>
        <v>0</v>
      </c>
      <c r="M27" s="52">
        <f>$C27*BASE!L27</f>
        <v>0</v>
      </c>
      <c r="N27" s="52">
        <f>$C27*BASE!M27</f>
        <v>0</v>
      </c>
      <c r="O27" s="52">
        <f>$C27*BASE!N27</f>
        <v>0</v>
      </c>
      <c r="P27" s="52">
        <f>$C27*BASE!O27</f>
        <v>0</v>
      </c>
      <c r="Q27" s="52">
        <f>$C27*BASE!P27</f>
        <v>0</v>
      </c>
      <c r="R27" s="52">
        <f>$C27*BASE!Q27</f>
        <v>0</v>
      </c>
    </row>
    <row r="28" spans="1:18" ht="15" x14ac:dyDescent="0.25">
      <c r="A28" s="110" t="s">
        <v>86</v>
      </c>
      <c r="B28" s="7"/>
      <c r="C28" s="139">
        <f>+'Modeling &amp; Presentation'!C$13</f>
        <v>265</v>
      </c>
      <c r="D28" s="61">
        <f>+BASE!D28</f>
        <v>248.33</v>
      </c>
      <c r="E28" s="103">
        <f t="shared" si="1"/>
        <v>6.7128417831111772E-2</v>
      </c>
      <c r="F28" s="144">
        <f t="shared" si="0"/>
        <v>3180</v>
      </c>
      <c r="G28" s="52">
        <f>$C28*BASE!F28</f>
        <v>265</v>
      </c>
      <c r="H28" s="52">
        <f>$C28*BASE!G28</f>
        <v>265</v>
      </c>
      <c r="I28" s="52">
        <f>$C28*BASE!H28</f>
        <v>265</v>
      </c>
      <c r="J28" s="52">
        <f>$C28*BASE!I28</f>
        <v>265</v>
      </c>
      <c r="K28" s="52">
        <f>$C28*BASE!J28</f>
        <v>265</v>
      </c>
      <c r="L28" s="52">
        <f>$C28*BASE!K28</f>
        <v>265</v>
      </c>
      <c r="M28" s="52">
        <f>$C28*BASE!L28</f>
        <v>265</v>
      </c>
      <c r="N28" s="52">
        <f>$C28*BASE!M28</f>
        <v>265</v>
      </c>
      <c r="O28" s="52">
        <f>$C28*BASE!N28</f>
        <v>265</v>
      </c>
      <c r="P28" s="52">
        <f>$C28*BASE!O28</f>
        <v>265</v>
      </c>
      <c r="Q28" s="52">
        <f>$C28*BASE!P28</f>
        <v>265</v>
      </c>
      <c r="R28" s="52">
        <f>$C28*BASE!Q28</f>
        <v>265</v>
      </c>
    </row>
    <row r="29" spans="1:18" ht="15" x14ac:dyDescent="0.25">
      <c r="A29" s="110" t="s">
        <v>86</v>
      </c>
      <c r="B29" s="7"/>
      <c r="C29" s="139">
        <f>+'Modeling &amp; Presentation'!C$13</f>
        <v>265</v>
      </c>
      <c r="D29" s="61">
        <f>+BASE!D29</f>
        <v>248.33</v>
      </c>
      <c r="E29" s="103">
        <f t="shared" si="1"/>
        <v>6.7128417831111772E-2</v>
      </c>
      <c r="F29" s="144">
        <f t="shared" si="0"/>
        <v>0</v>
      </c>
      <c r="G29" s="52">
        <f>$C29*BASE!F29</f>
        <v>0</v>
      </c>
      <c r="H29" s="52">
        <f>$C29*BASE!G29</f>
        <v>0</v>
      </c>
      <c r="I29" s="52">
        <f>$C29*BASE!H29</f>
        <v>0</v>
      </c>
      <c r="J29" s="52">
        <f>$C29*BASE!I29</f>
        <v>0</v>
      </c>
      <c r="K29" s="52">
        <f>$C29*BASE!J29</f>
        <v>0</v>
      </c>
      <c r="L29" s="52">
        <f>$C29*BASE!K29</f>
        <v>0</v>
      </c>
      <c r="M29" s="52">
        <f>$C29*BASE!L29</f>
        <v>0</v>
      </c>
      <c r="N29" s="52">
        <f>$C29*BASE!M29</f>
        <v>0</v>
      </c>
      <c r="O29" s="52">
        <f>$C29*BASE!N29</f>
        <v>0</v>
      </c>
      <c r="P29" s="52">
        <f>$C29*BASE!O29</f>
        <v>0</v>
      </c>
      <c r="Q29" s="52">
        <f>$C29*BASE!P29</f>
        <v>0</v>
      </c>
      <c r="R29" s="52">
        <f>$C29*BASE!Q29</f>
        <v>0</v>
      </c>
    </row>
    <row r="30" spans="1:18" ht="15" x14ac:dyDescent="0.25">
      <c r="A30" s="110" t="s">
        <v>86</v>
      </c>
      <c r="B30" s="7"/>
      <c r="C30" s="139">
        <f>+'Modeling &amp; Presentation'!C$13</f>
        <v>265</v>
      </c>
      <c r="D30" s="61">
        <f>+BASE!D30</f>
        <v>248.33</v>
      </c>
      <c r="E30" s="103">
        <f t="shared" si="1"/>
        <v>6.7128417831111772E-2</v>
      </c>
      <c r="F30" s="144">
        <f t="shared" si="0"/>
        <v>0</v>
      </c>
      <c r="G30" s="52">
        <f>$C30*BASE!F30</f>
        <v>0</v>
      </c>
      <c r="H30" s="52">
        <f>$C30*BASE!G30</f>
        <v>0</v>
      </c>
      <c r="I30" s="52">
        <f>$C30*BASE!H30</f>
        <v>0</v>
      </c>
      <c r="J30" s="52">
        <f>$C30*BASE!I30</f>
        <v>0</v>
      </c>
      <c r="K30" s="52">
        <f>$C30*BASE!J30</f>
        <v>0</v>
      </c>
      <c r="L30" s="52">
        <f>$C30*BASE!K30</f>
        <v>0</v>
      </c>
      <c r="M30" s="52">
        <f>$C30*BASE!L30</f>
        <v>0</v>
      </c>
      <c r="N30" s="52">
        <f>$C30*BASE!M30</f>
        <v>0</v>
      </c>
      <c r="O30" s="52">
        <f>$C30*BASE!N30</f>
        <v>0</v>
      </c>
      <c r="P30" s="52">
        <f>$C30*BASE!O30</f>
        <v>0</v>
      </c>
      <c r="Q30" s="52">
        <f>$C30*BASE!P30</f>
        <v>0</v>
      </c>
      <c r="R30" s="52">
        <f>$C30*BASE!Q30</f>
        <v>0</v>
      </c>
    </row>
    <row r="31" spans="1:18" ht="15" x14ac:dyDescent="0.25">
      <c r="A31" s="2" t="s">
        <v>10</v>
      </c>
      <c r="B31" s="109"/>
      <c r="C31" s="139">
        <f>+'Modeling &amp; Presentation'!C$17</f>
        <v>15.9</v>
      </c>
      <c r="D31" s="61">
        <f>+BASE!D31</f>
        <v>14.9</v>
      </c>
      <c r="E31" s="103">
        <f t="shared" si="1"/>
        <v>6.7114093959731544E-2</v>
      </c>
      <c r="F31" s="144">
        <f t="shared" si="0"/>
        <v>50625.600000000006</v>
      </c>
      <c r="G31" s="52">
        <f>$C31*BASE!F31</f>
        <v>4197.6000000000004</v>
      </c>
      <c r="H31" s="52">
        <f>$C31*BASE!G31</f>
        <v>4213.5</v>
      </c>
      <c r="I31" s="52">
        <f>$C31*BASE!H31</f>
        <v>4245.3</v>
      </c>
      <c r="J31" s="52">
        <f>$C31*BASE!I31</f>
        <v>4197.6000000000004</v>
      </c>
      <c r="K31" s="52">
        <f>$C31*BASE!J31</f>
        <v>4229.4000000000005</v>
      </c>
      <c r="L31" s="52">
        <f>$C31*BASE!K31</f>
        <v>4213.5</v>
      </c>
      <c r="M31" s="52">
        <f>$C31*BASE!L31</f>
        <v>4213.5</v>
      </c>
      <c r="N31" s="52">
        <f>$C31*BASE!M31</f>
        <v>4213.5</v>
      </c>
      <c r="O31" s="52">
        <f>$C31*BASE!N31</f>
        <v>4245.3</v>
      </c>
      <c r="P31" s="52">
        <f>$C31*BASE!O31</f>
        <v>4213.5</v>
      </c>
      <c r="Q31" s="52">
        <f>$C31*BASE!P31</f>
        <v>4197.6000000000004</v>
      </c>
      <c r="R31" s="52">
        <f>$C31*BASE!Q31</f>
        <v>4245.3</v>
      </c>
    </row>
    <row r="32" spans="1:18" ht="15" x14ac:dyDescent="0.25">
      <c r="A32" s="2" t="s">
        <v>10</v>
      </c>
      <c r="B32" s="7"/>
      <c r="C32" s="139">
        <f>+'Modeling &amp; Presentation'!C$17</f>
        <v>15.9</v>
      </c>
      <c r="D32" s="61">
        <f>+BASE!D32</f>
        <v>14.9</v>
      </c>
      <c r="E32" s="103">
        <f t="shared" si="1"/>
        <v>6.7114093959731544E-2</v>
      </c>
      <c r="F32" s="144">
        <f t="shared" si="0"/>
        <v>0</v>
      </c>
      <c r="G32" s="52">
        <f>$C32*BASE!F32</f>
        <v>0</v>
      </c>
      <c r="H32" s="52">
        <f>$C32*BASE!G32</f>
        <v>0</v>
      </c>
      <c r="I32" s="52">
        <f>$C32*BASE!H32</f>
        <v>0</v>
      </c>
      <c r="J32" s="52">
        <f>$C32*BASE!I32</f>
        <v>0</v>
      </c>
      <c r="K32" s="52">
        <f>$C32*BASE!J32</f>
        <v>0</v>
      </c>
      <c r="L32" s="52">
        <f>$C32*BASE!K32</f>
        <v>0</v>
      </c>
      <c r="M32" s="52">
        <f>$C32*BASE!L32</f>
        <v>0</v>
      </c>
      <c r="N32" s="52">
        <f>$C32*BASE!M32</f>
        <v>0</v>
      </c>
      <c r="O32" s="52">
        <f>$C32*BASE!N32</f>
        <v>0</v>
      </c>
      <c r="P32" s="52">
        <f>$C32*BASE!O32</f>
        <v>0</v>
      </c>
      <c r="Q32" s="52">
        <f>$C32*BASE!P32</f>
        <v>0</v>
      </c>
      <c r="R32" s="52">
        <f>$C32*BASE!Q32</f>
        <v>0</v>
      </c>
    </row>
    <row r="33" spans="1:18" ht="15" x14ac:dyDescent="0.25">
      <c r="A33" s="2" t="s">
        <v>10</v>
      </c>
      <c r="B33" s="7"/>
      <c r="C33" s="139">
        <f>+'Modeling &amp; Presentation'!C$17</f>
        <v>15.9</v>
      </c>
      <c r="D33" s="61">
        <f>+BASE!D33</f>
        <v>14.9</v>
      </c>
      <c r="E33" s="103">
        <f t="shared" si="1"/>
        <v>6.7114093959731544E-2</v>
      </c>
      <c r="F33" s="144">
        <f t="shared" si="0"/>
        <v>0</v>
      </c>
      <c r="G33" s="52">
        <f>$C33*BASE!F33</f>
        <v>0</v>
      </c>
      <c r="H33" s="52">
        <f>$C33*BASE!G33</f>
        <v>0</v>
      </c>
      <c r="I33" s="52">
        <f>$C33*BASE!H33</f>
        <v>0</v>
      </c>
      <c r="J33" s="52">
        <f>$C33*BASE!I33</f>
        <v>0</v>
      </c>
      <c r="K33" s="52">
        <f>$C33*BASE!J33</f>
        <v>0</v>
      </c>
      <c r="L33" s="52">
        <f>$C33*BASE!K33</f>
        <v>0</v>
      </c>
      <c r="M33" s="52">
        <f>$C33*BASE!L33</f>
        <v>0</v>
      </c>
      <c r="N33" s="52">
        <f>$C33*BASE!M33</f>
        <v>0</v>
      </c>
      <c r="O33" s="52">
        <f>$C33*BASE!N33</f>
        <v>0</v>
      </c>
      <c r="P33" s="52">
        <f>$C33*BASE!O33</f>
        <v>0</v>
      </c>
      <c r="Q33" s="52">
        <f>$C33*BASE!P33</f>
        <v>0</v>
      </c>
      <c r="R33" s="52">
        <f>$C33*BASE!Q33</f>
        <v>0</v>
      </c>
    </row>
    <row r="34" spans="1:18" ht="15" x14ac:dyDescent="0.25">
      <c r="A34" s="2" t="s">
        <v>11</v>
      </c>
      <c r="B34" s="7"/>
      <c r="C34" s="139">
        <f>+'Modeling &amp; Presentation'!C$18</f>
        <v>26.5</v>
      </c>
      <c r="D34" s="61">
        <f>+BASE!D34</f>
        <v>24.83</v>
      </c>
      <c r="E34" s="103">
        <f t="shared" si="1"/>
        <v>6.7257349979863143E-2</v>
      </c>
      <c r="F34" s="144">
        <f t="shared" si="0"/>
        <v>49157.5</v>
      </c>
      <c r="G34" s="52">
        <f>$C34*BASE!F34</f>
        <v>4054.5</v>
      </c>
      <c r="H34" s="52">
        <f>$C34*BASE!G34</f>
        <v>4054.5</v>
      </c>
      <c r="I34" s="52">
        <f>$C34*BASE!H34</f>
        <v>4134</v>
      </c>
      <c r="J34" s="52">
        <f>$C34*BASE!I34</f>
        <v>4054.5</v>
      </c>
      <c r="K34" s="52">
        <f>$C34*BASE!J34</f>
        <v>4081</v>
      </c>
      <c r="L34" s="52">
        <f>$C34*BASE!K34</f>
        <v>4081</v>
      </c>
      <c r="M34" s="52">
        <f>$C34*BASE!L34</f>
        <v>4134</v>
      </c>
      <c r="N34" s="52">
        <f>$C34*BASE!M34</f>
        <v>4107.5</v>
      </c>
      <c r="O34" s="52">
        <f>$C34*BASE!N34</f>
        <v>4107.5</v>
      </c>
      <c r="P34" s="52">
        <f>$C34*BASE!O34</f>
        <v>4107.5</v>
      </c>
      <c r="Q34" s="52">
        <f>$C34*BASE!P34</f>
        <v>4107.5</v>
      </c>
      <c r="R34" s="52">
        <f>$C34*BASE!Q34</f>
        <v>4134</v>
      </c>
    </row>
    <row r="35" spans="1:18" ht="15" x14ac:dyDescent="0.25">
      <c r="A35" s="2" t="s">
        <v>11</v>
      </c>
      <c r="B35" s="7"/>
      <c r="C35" s="139">
        <f>+'Modeling &amp; Presentation'!C$18</f>
        <v>26.5</v>
      </c>
      <c r="D35" s="61">
        <f>+BASE!D35</f>
        <v>24.83</v>
      </c>
      <c r="E35" s="103">
        <f t="shared" si="1"/>
        <v>6.7257349979863143E-2</v>
      </c>
      <c r="F35" s="144">
        <f t="shared" si="0"/>
        <v>0</v>
      </c>
      <c r="G35" s="52">
        <f>$C35*BASE!F35</f>
        <v>0</v>
      </c>
      <c r="H35" s="52">
        <f>$C35*BASE!G35</f>
        <v>0</v>
      </c>
      <c r="I35" s="52">
        <f>$C35*BASE!H35</f>
        <v>0</v>
      </c>
      <c r="J35" s="52">
        <f>$C35*BASE!I35</f>
        <v>0</v>
      </c>
      <c r="K35" s="52">
        <f>$C35*BASE!J35</f>
        <v>0</v>
      </c>
      <c r="L35" s="52">
        <f>$C35*BASE!K35</f>
        <v>0</v>
      </c>
      <c r="M35" s="52">
        <f>$C35*BASE!L35</f>
        <v>0</v>
      </c>
      <c r="N35" s="52">
        <f>$C35*BASE!M35</f>
        <v>0</v>
      </c>
      <c r="O35" s="52">
        <f>$C35*BASE!N35</f>
        <v>0</v>
      </c>
      <c r="P35" s="52">
        <f>$C35*BASE!O35</f>
        <v>0</v>
      </c>
      <c r="Q35" s="52">
        <f>$C35*BASE!P35</f>
        <v>0</v>
      </c>
      <c r="R35" s="52">
        <f>$C35*BASE!Q35</f>
        <v>0</v>
      </c>
    </row>
    <row r="36" spans="1:18" ht="15" x14ac:dyDescent="0.25">
      <c r="A36" s="2" t="s">
        <v>11</v>
      </c>
      <c r="B36" s="7"/>
      <c r="C36" s="139">
        <f>+'Modeling &amp; Presentation'!C$18</f>
        <v>26.5</v>
      </c>
      <c r="D36" s="61">
        <f>+BASE!D36</f>
        <v>24.83</v>
      </c>
      <c r="E36" s="103">
        <f t="shared" si="1"/>
        <v>6.7257349979863143E-2</v>
      </c>
      <c r="F36" s="144">
        <f t="shared" si="0"/>
        <v>0</v>
      </c>
      <c r="G36" s="52">
        <f>$C36*BASE!F36</f>
        <v>0</v>
      </c>
      <c r="H36" s="52">
        <f>$C36*BASE!G36</f>
        <v>0</v>
      </c>
      <c r="I36" s="52">
        <f>$C36*BASE!H36</f>
        <v>0</v>
      </c>
      <c r="J36" s="52">
        <f>$C36*BASE!I36</f>
        <v>0</v>
      </c>
      <c r="K36" s="52">
        <f>$C36*BASE!J36</f>
        <v>0</v>
      </c>
      <c r="L36" s="52">
        <f>$C36*BASE!K36</f>
        <v>0</v>
      </c>
      <c r="M36" s="52">
        <f>$C36*BASE!L36</f>
        <v>0</v>
      </c>
      <c r="N36" s="52">
        <f>$C36*BASE!M36</f>
        <v>0</v>
      </c>
      <c r="O36" s="52">
        <f>$C36*BASE!N36</f>
        <v>0</v>
      </c>
      <c r="P36" s="52">
        <f>$C36*BASE!O36</f>
        <v>0</v>
      </c>
      <c r="Q36" s="52">
        <f>$C36*BASE!P36</f>
        <v>0</v>
      </c>
      <c r="R36" s="52">
        <f>$C36*BASE!Q36</f>
        <v>0</v>
      </c>
    </row>
    <row r="37" spans="1:18" ht="15" x14ac:dyDescent="0.25">
      <c r="A37" s="2" t="s">
        <v>12</v>
      </c>
      <c r="B37" s="7"/>
      <c r="C37" s="139">
        <f>+'Modeling &amp; Presentation'!C$19</f>
        <v>53</v>
      </c>
      <c r="D37" s="61">
        <f>+BASE!D37</f>
        <v>49.67</v>
      </c>
      <c r="E37" s="103">
        <f t="shared" si="1"/>
        <v>6.7042480370444898E-2</v>
      </c>
      <c r="F37" s="144">
        <f t="shared" si="0"/>
        <v>20988</v>
      </c>
      <c r="G37" s="52">
        <f>$C37*BASE!F37</f>
        <v>1749</v>
      </c>
      <c r="H37" s="52">
        <f>$C37*BASE!G37</f>
        <v>1749</v>
      </c>
      <c r="I37" s="52">
        <f>$C37*BASE!H37</f>
        <v>1749</v>
      </c>
      <c r="J37" s="52">
        <f>$C37*BASE!I37</f>
        <v>1749</v>
      </c>
      <c r="K37" s="52">
        <f>$C37*BASE!J37</f>
        <v>1749</v>
      </c>
      <c r="L37" s="52">
        <f>$C37*BASE!K37</f>
        <v>1749</v>
      </c>
      <c r="M37" s="52">
        <f>$C37*BASE!L37</f>
        <v>1749</v>
      </c>
      <c r="N37" s="52">
        <f>$C37*BASE!M37</f>
        <v>1749</v>
      </c>
      <c r="O37" s="52">
        <f>$C37*BASE!N37</f>
        <v>1749</v>
      </c>
      <c r="P37" s="52">
        <f>$C37*BASE!O37</f>
        <v>1749</v>
      </c>
      <c r="Q37" s="52">
        <f>$C37*BASE!P37</f>
        <v>1749</v>
      </c>
      <c r="R37" s="52">
        <f>$C37*BASE!Q37</f>
        <v>1749</v>
      </c>
    </row>
    <row r="38" spans="1:18" ht="15" x14ac:dyDescent="0.25">
      <c r="A38" s="2" t="s">
        <v>12</v>
      </c>
      <c r="B38" s="7"/>
      <c r="C38" s="139">
        <f>+'Modeling &amp; Presentation'!C$19</f>
        <v>53</v>
      </c>
      <c r="D38" s="61">
        <f>+BASE!D38</f>
        <v>49.67</v>
      </c>
      <c r="E38" s="103">
        <f t="shared" si="1"/>
        <v>6.7042480370444898E-2</v>
      </c>
      <c r="F38" s="144">
        <f t="shared" si="0"/>
        <v>0</v>
      </c>
      <c r="G38" s="52">
        <f>$C38*BASE!F38</f>
        <v>0</v>
      </c>
      <c r="H38" s="52">
        <f>$C38*BASE!G38</f>
        <v>0</v>
      </c>
      <c r="I38" s="52">
        <f>$C38*BASE!H38</f>
        <v>0</v>
      </c>
      <c r="J38" s="52">
        <f>$C38*BASE!I38</f>
        <v>0</v>
      </c>
      <c r="K38" s="52">
        <f>$C38*BASE!J38</f>
        <v>0</v>
      </c>
      <c r="L38" s="52">
        <f>$C38*BASE!K38</f>
        <v>0</v>
      </c>
      <c r="M38" s="52">
        <f>$C38*BASE!L38</f>
        <v>0</v>
      </c>
      <c r="N38" s="52">
        <f>$C38*BASE!M38</f>
        <v>0</v>
      </c>
      <c r="O38" s="52">
        <f>$C38*BASE!N38</f>
        <v>0</v>
      </c>
      <c r="P38" s="52">
        <f>$C38*BASE!O38</f>
        <v>0</v>
      </c>
      <c r="Q38" s="52">
        <f>$C38*BASE!P38</f>
        <v>0</v>
      </c>
      <c r="R38" s="52">
        <f>$C38*BASE!Q38</f>
        <v>0</v>
      </c>
    </row>
    <row r="39" spans="1:18" ht="15" x14ac:dyDescent="0.25">
      <c r="A39" s="2" t="s">
        <v>12</v>
      </c>
      <c r="B39" s="7"/>
      <c r="C39" s="139">
        <f>+'Modeling &amp; Presentation'!C$19</f>
        <v>53</v>
      </c>
      <c r="D39" s="61">
        <f>+BASE!D39</f>
        <v>49.67</v>
      </c>
      <c r="E39" s="103">
        <f t="shared" si="1"/>
        <v>6.7042480370444898E-2</v>
      </c>
      <c r="F39" s="144">
        <f t="shared" si="0"/>
        <v>0</v>
      </c>
      <c r="G39" s="52">
        <f>$C39*BASE!F39</f>
        <v>0</v>
      </c>
      <c r="H39" s="52">
        <f>$C39*BASE!G39</f>
        <v>0</v>
      </c>
      <c r="I39" s="52">
        <f>$C39*BASE!H39</f>
        <v>0</v>
      </c>
      <c r="J39" s="52">
        <f>$C39*BASE!I39</f>
        <v>0</v>
      </c>
      <c r="K39" s="52">
        <f>$C39*BASE!J39</f>
        <v>0</v>
      </c>
      <c r="L39" s="52">
        <f>$C39*BASE!K39</f>
        <v>0</v>
      </c>
      <c r="M39" s="52">
        <f>$C39*BASE!L39</f>
        <v>0</v>
      </c>
      <c r="N39" s="52">
        <f>$C39*BASE!M39</f>
        <v>0</v>
      </c>
      <c r="O39" s="52">
        <f>$C39*BASE!N39</f>
        <v>0</v>
      </c>
      <c r="P39" s="52">
        <f>$C39*BASE!O39</f>
        <v>0</v>
      </c>
      <c r="Q39" s="52">
        <f>$C39*BASE!P39</f>
        <v>0</v>
      </c>
      <c r="R39" s="52">
        <f>$C39*BASE!Q39</f>
        <v>0</v>
      </c>
    </row>
    <row r="40" spans="1:18" ht="15" x14ac:dyDescent="0.25">
      <c r="A40" s="2" t="s">
        <v>13</v>
      </c>
      <c r="B40" s="7"/>
      <c r="C40" s="139">
        <f>+'Modeling &amp; Presentation'!C$20</f>
        <v>84.8</v>
      </c>
      <c r="D40" s="61">
        <f>+BASE!D40</f>
        <v>79.47</v>
      </c>
      <c r="E40" s="103">
        <f t="shared" si="1"/>
        <v>6.7069334340002493E-2</v>
      </c>
      <c r="F40" s="144">
        <f t="shared" si="0"/>
        <v>115582.39999999999</v>
      </c>
      <c r="G40" s="52">
        <f>$C40*BASE!F40</f>
        <v>9412.7999999999993</v>
      </c>
      <c r="H40" s="52">
        <f>$C40*BASE!G40</f>
        <v>9497.6</v>
      </c>
      <c r="I40" s="52">
        <f>$C40*BASE!H40</f>
        <v>9582.4</v>
      </c>
      <c r="J40" s="52">
        <f>$C40*BASE!I40</f>
        <v>9582.4</v>
      </c>
      <c r="K40" s="52">
        <f>$C40*BASE!J40</f>
        <v>9667.1999999999989</v>
      </c>
      <c r="L40" s="52">
        <f>$C40*BASE!K40</f>
        <v>9667.1999999999989</v>
      </c>
      <c r="M40" s="52">
        <f>$C40*BASE!L40</f>
        <v>9667.1999999999989</v>
      </c>
      <c r="N40" s="52">
        <f>$C40*BASE!M40</f>
        <v>9752</v>
      </c>
      <c r="O40" s="52">
        <f>$C40*BASE!N40</f>
        <v>9752</v>
      </c>
      <c r="P40" s="52">
        <f>$C40*BASE!O40</f>
        <v>9667.1999999999989</v>
      </c>
      <c r="Q40" s="52">
        <f>$C40*BASE!P40</f>
        <v>9667.1999999999989</v>
      </c>
      <c r="R40" s="52">
        <f>$C40*BASE!Q40</f>
        <v>9667.1999999999989</v>
      </c>
    </row>
    <row r="41" spans="1:18" ht="15" x14ac:dyDescent="0.25">
      <c r="A41" s="2" t="s">
        <v>13</v>
      </c>
      <c r="B41" s="7"/>
      <c r="C41" s="139">
        <f>+'Modeling &amp; Presentation'!C$20</f>
        <v>84.8</v>
      </c>
      <c r="D41" s="61">
        <f>+BASE!D41</f>
        <v>79.47</v>
      </c>
      <c r="E41" s="103">
        <f t="shared" si="1"/>
        <v>6.7069334340002493E-2</v>
      </c>
      <c r="F41" s="144">
        <f t="shared" si="0"/>
        <v>0</v>
      </c>
      <c r="G41" s="52">
        <f>$C41*BASE!F41</f>
        <v>0</v>
      </c>
      <c r="H41" s="52">
        <f>$C41*BASE!G41</f>
        <v>0</v>
      </c>
      <c r="I41" s="52">
        <f>$C41*BASE!H41</f>
        <v>0</v>
      </c>
      <c r="J41" s="52">
        <f>$C41*BASE!I41</f>
        <v>0</v>
      </c>
      <c r="K41" s="52">
        <f>$C41*BASE!J41</f>
        <v>0</v>
      </c>
      <c r="L41" s="52">
        <f>$C41*BASE!K41</f>
        <v>0</v>
      </c>
      <c r="M41" s="52">
        <f>$C41*BASE!L41</f>
        <v>0</v>
      </c>
      <c r="N41" s="52">
        <f>$C41*BASE!M41</f>
        <v>0</v>
      </c>
      <c r="O41" s="52">
        <f>$C41*BASE!N41</f>
        <v>0</v>
      </c>
      <c r="P41" s="52">
        <f>$C41*BASE!O41</f>
        <v>0</v>
      </c>
      <c r="Q41" s="52">
        <f>$C41*BASE!P41</f>
        <v>0</v>
      </c>
      <c r="R41" s="52">
        <f>$C41*BASE!Q41</f>
        <v>0</v>
      </c>
    </row>
    <row r="42" spans="1:18" ht="15" x14ac:dyDescent="0.25">
      <c r="A42" s="2" t="s">
        <v>13</v>
      </c>
      <c r="B42" s="7"/>
      <c r="C42" s="139">
        <f>+'Modeling &amp; Presentation'!C$20</f>
        <v>84.8</v>
      </c>
      <c r="D42" s="61">
        <f>+BASE!D42</f>
        <v>79.47</v>
      </c>
      <c r="E42" s="103">
        <f t="shared" si="1"/>
        <v>6.7069334340002493E-2</v>
      </c>
      <c r="F42" s="144">
        <f t="shared" si="0"/>
        <v>0</v>
      </c>
      <c r="G42" s="52">
        <f>$C42*BASE!F42</f>
        <v>0</v>
      </c>
      <c r="H42" s="52">
        <f>$C42*BASE!G42</f>
        <v>0</v>
      </c>
      <c r="I42" s="52">
        <f>$C42*BASE!H42</f>
        <v>0</v>
      </c>
      <c r="J42" s="52">
        <f>$C42*BASE!I42</f>
        <v>0</v>
      </c>
      <c r="K42" s="52">
        <f>$C42*BASE!J42</f>
        <v>0</v>
      </c>
      <c r="L42" s="52">
        <f>$C42*BASE!K42</f>
        <v>0</v>
      </c>
      <c r="M42" s="52">
        <f>$C42*BASE!L42</f>
        <v>0</v>
      </c>
      <c r="N42" s="52">
        <f>$C42*BASE!M42</f>
        <v>0</v>
      </c>
      <c r="O42" s="52">
        <f>$C42*BASE!N42</f>
        <v>0</v>
      </c>
      <c r="P42" s="52">
        <f>$C42*BASE!O42</f>
        <v>0</v>
      </c>
      <c r="Q42" s="52">
        <f>$C42*BASE!P42</f>
        <v>0</v>
      </c>
      <c r="R42" s="52">
        <f>$C42*BASE!Q42</f>
        <v>0</v>
      </c>
    </row>
    <row r="43" spans="1:18" ht="15" x14ac:dyDescent="0.25">
      <c r="A43" s="2" t="s">
        <v>14</v>
      </c>
      <c r="B43" s="7"/>
      <c r="C43" s="139">
        <f>+'Modeling &amp; Presentation'!C$21</f>
        <v>159</v>
      </c>
      <c r="D43" s="61">
        <f>+BASE!D43</f>
        <v>149</v>
      </c>
      <c r="E43" s="103">
        <f t="shared" si="1"/>
        <v>6.7114093959731544E-2</v>
      </c>
      <c r="F43" s="144">
        <f t="shared" si="0"/>
        <v>29097</v>
      </c>
      <c r="G43" s="52">
        <f>$C43*BASE!F43</f>
        <v>2544</v>
      </c>
      <c r="H43" s="52">
        <f>$C43*BASE!G43</f>
        <v>2544</v>
      </c>
      <c r="I43" s="52">
        <f>$C43*BASE!H43</f>
        <v>2544</v>
      </c>
      <c r="J43" s="52">
        <f>$C43*BASE!I43</f>
        <v>2385</v>
      </c>
      <c r="K43" s="52">
        <f>$C43*BASE!J43</f>
        <v>2385</v>
      </c>
      <c r="L43" s="52">
        <f>$C43*BASE!K43</f>
        <v>2385</v>
      </c>
      <c r="M43" s="52">
        <f>$C43*BASE!L43</f>
        <v>2385</v>
      </c>
      <c r="N43" s="52">
        <f>$C43*BASE!M43</f>
        <v>2385</v>
      </c>
      <c r="O43" s="52">
        <f>$C43*BASE!N43</f>
        <v>2385</v>
      </c>
      <c r="P43" s="52">
        <f>$C43*BASE!O43</f>
        <v>2385</v>
      </c>
      <c r="Q43" s="52">
        <f>$C43*BASE!P43</f>
        <v>2385</v>
      </c>
      <c r="R43" s="52">
        <f>$C43*BASE!Q43</f>
        <v>2385</v>
      </c>
    </row>
    <row r="44" spans="1:18" ht="15" x14ac:dyDescent="0.25">
      <c r="A44" s="2" t="s">
        <v>14</v>
      </c>
      <c r="B44" s="7"/>
      <c r="C44" s="139">
        <f>+'Modeling &amp; Presentation'!C$21</f>
        <v>159</v>
      </c>
      <c r="D44" s="61">
        <f>+BASE!D44</f>
        <v>149</v>
      </c>
      <c r="E44" s="103">
        <f t="shared" si="1"/>
        <v>6.7114093959731544E-2</v>
      </c>
      <c r="F44" s="144">
        <f t="shared" si="0"/>
        <v>0</v>
      </c>
      <c r="G44" s="52">
        <f>$C44*BASE!F44</f>
        <v>0</v>
      </c>
      <c r="H44" s="52">
        <f>$C44*BASE!G44</f>
        <v>0</v>
      </c>
      <c r="I44" s="52">
        <f>$C44*BASE!H44</f>
        <v>0</v>
      </c>
      <c r="J44" s="52">
        <f>$C44*BASE!I44</f>
        <v>0</v>
      </c>
      <c r="K44" s="52">
        <f>$C44*BASE!J44</f>
        <v>0</v>
      </c>
      <c r="L44" s="52">
        <f>$C44*BASE!K44</f>
        <v>0</v>
      </c>
      <c r="M44" s="52">
        <f>$C44*BASE!L44</f>
        <v>0</v>
      </c>
      <c r="N44" s="52">
        <f>$C44*BASE!M44</f>
        <v>0</v>
      </c>
      <c r="O44" s="52">
        <f>$C44*BASE!N44</f>
        <v>0</v>
      </c>
      <c r="P44" s="52">
        <f>$C44*BASE!O44</f>
        <v>0</v>
      </c>
      <c r="Q44" s="52">
        <f>$C44*BASE!P44</f>
        <v>0</v>
      </c>
      <c r="R44" s="52">
        <f>$C44*BASE!Q44</f>
        <v>0</v>
      </c>
    </row>
    <row r="45" spans="1:18" ht="15" x14ac:dyDescent="0.25">
      <c r="A45" s="2" t="s">
        <v>14</v>
      </c>
      <c r="B45" s="7"/>
      <c r="C45" s="139">
        <f>+'Modeling &amp; Presentation'!C$21</f>
        <v>159</v>
      </c>
      <c r="D45" s="61">
        <f>+BASE!D45</f>
        <v>149</v>
      </c>
      <c r="E45" s="103">
        <f t="shared" si="1"/>
        <v>6.7114093959731544E-2</v>
      </c>
      <c r="F45" s="144">
        <f t="shared" si="0"/>
        <v>0</v>
      </c>
      <c r="G45" s="52">
        <f>$C45*BASE!F45</f>
        <v>0</v>
      </c>
      <c r="H45" s="52">
        <f>$C45*BASE!G45</f>
        <v>0</v>
      </c>
      <c r="I45" s="52">
        <f>$C45*BASE!H45</f>
        <v>0</v>
      </c>
      <c r="J45" s="52">
        <f>$C45*BASE!I45</f>
        <v>0</v>
      </c>
      <c r="K45" s="52">
        <f>$C45*BASE!J45</f>
        <v>0</v>
      </c>
      <c r="L45" s="52">
        <f>$C45*BASE!K45</f>
        <v>0</v>
      </c>
      <c r="M45" s="52">
        <f>$C45*BASE!L45</f>
        <v>0</v>
      </c>
      <c r="N45" s="52">
        <f>$C45*BASE!M45</f>
        <v>0</v>
      </c>
      <c r="O45" s="52">
        <f>$C45*BASE!N45</f>
        <v>0</v>
      </c>
      <c r="P45" s="52">
        <f>$C45*BASE!O45</f>
        <v>0</v>
      </c>
      <c r="Q45" s="52">
        <f>$C45*BASE!P45</f>
        <v>0</v>
      </c>
      <c r="R45" s="52">
        <f>$C45*BASE!Q45</f>
        <v>0</v>
      </c>
    </row>
    <row r="46" spans="1:18" ht="15" x14ac:dyDescent="0.25">
      <c r="A46" s="118" t="s">
        <v>61</v>
      </c>
      <c r="B46" s="7"/>
      <c r="C46" s="139">
        <f>+'Modeling &amp; Presentation'!C$22</f>
        <v>265</v>
      </c>
      <c r="D46" s="61">
        <f>+BASE!D46</f>
        <v>248.33</v>
      </c>
      <c r="E46" s="103">
        <f t="shared" si="1"/>
        <v>6.7128417831111772E-2</v>
      </c>
      <c r="F46" s="144">
        <f t="shared" si="0"/>
        <v>6360</v>
      </c>
      <c r="G46" s="52">
        <f>$C46*BASE!F46</f>
        <v>530</v>
      </c>
      <c r="H46" s="52">
        <f>$C46*BASE!G46</f>
        <v>530</v>
      </c>
      <c r="I46" s="52">
        <f>$C46*BASE!H46</f>
        <v>530</v>
      </c>
      <c r="J46" s="52">
        <f>$C46*BASE!I46</f>
        <v>530</v>
      </c>
      <c r="K46" s="52">
        <f>$C46*BASE!J46</f>
        <v>530</v>
      </c>
      <c r="L46" s="52">
        <f>$C46*BASE!K46</f>
        <v>530</v>
      </c>
      <c r="M46" s="52">
        <f>$C46*BASE!L46</f>
        <v>530</v>
      </c>
      <c r="N46" s="52">
        <f>$C46*BASE!M46</f>
        <v>530</v>
      </c>
      <c r="O46" s="52">
        <f>$C46*BASE!N46</f>
        <v>530</v>
      </c>
      <c r="P46" s="52">
        <f>$C46*BASE!O46</f>
        <v>530</v>
      </c>
      <c r="Q46" s="52">
        <f>$C46*BASE!P46</f>
        <v>530</v>
      </c>
      <c r="R46" s="52">
        <f>$C46*BASE!Q46</f>
        <v>530</v>
      </c>
    </row>
    <row r="47" spans="1:18" ht="15" x14ac:dyDescent="0.25">
      <c r="A47" s="118" t="s">
        <v>61</v>
      </c>
      <c r="B47" s="7"/>
      <c r="C47" s="139">
        <f>+'Modeling &amp; Presentation'!C$22</f>
        <v>265</v>
      </c>
      <c r="D47" s="61">
        <f>+BASE!D47</f>
        <v>248.33</v>
      </c>
      <c r="E47" s="103">
        <f t="shared" si="1"/>
        <v>6.7128417831111772E-2</v>
      </c>
      <c r="F47" s="144">
        <f t="shared" si="0"/>
        <v>0</v>
      </c>
      <c r="G47" s="52">
        <f>$C47*BASE!F47</f>
        <v>0</v>
      </c>
      <c r="H47" s="52">
        <f>$C47*BASE!G47</f>
        <v>0</v>
      </c>
      <c r="I47" s="52">
        <f>$C47*BASE!H47</f>
        <v>0</v>
      </c>
      <c r="J47" s="52">
        <f>$C47*BASE!I47</f>
        <v>0</v>
      </c>
      <c r="K47" s="52">
        <f>$C47*BASE!J47</f>
        <v>0</v>
      </c>
      <c r="L47" s="52">
        <f>$C47*BASE!K47</f>
        <v>0</v>
      </c>
      <c r="M47" s="52">
        <f>$C47*BASE!L47</f>
        <v>0</v>
      </c>
      <c r="N47" s="52">
        <f>$C47*BASE!M47</f>
        <v>0</v>
      </c>
      <c r="O47" s="52">
        <f>$C47*BASE!N47</f>
        <v>0</v>
      </c>
      <c r="P47" s="52">
        <f>$C47*BASE!O47</f>
        <v>0</v>
      </c>
      <c r="Q47" s="52">
        <f>$C47*BASE!P47</f>
        <v>0</v>
      </c>
      <c r="R47" s="52">
        <f>$C47*BASE!Q47</f>
        <v>0</v>
      </c>
    </row>
    <row r="48" spans="1:18" ht="15" x14ac:dyDescent="0.25">
      <c r="A48" s="118" t="s">
        <v>61</v>
      </c>
      <c r="B48" s="7"/>
      <c r="C48" s="139">
        <f>+'Modeling &amp; Presentation'!C$22</f>
        <v>265</v>
      </c>
      <c r="D48" s="61">
        <f>+BASE!D48</f>
        <v>248.33</v>
      </c>
      <c r="E48" s="103">
        <f t="shared" si="1"/>
        <v>6.7128417831111772E-2</v>
      </c>
      <c r="F48" s="144">
        <f t="shared" si="0"/>
        <v>0</v>
      </c>
      <c r="G48" s="52">
        <f>$C48*BASE!F48</f>
        <v>0</v>
      </c>
      <c r="H48" s="52">
        <f>$C48*BASE!G48</f>
        <v>0</v>
      </c>
      <c r="I48" s="52">
        <f>$C48*BASE!H48</f>
        <v>0</v>
      </c>
      <c r="J48" s="52">
        <f>$C48*BASE!I48</f>
        <v>0</v>
      </c>
      <c r="K48" s="52">
        <f>$C48*BASE!J48</f>
        <v>0</v>
      </c>
      <c r="L48" s="52">
        <f>$C48*BASE!K48</f>
        <v>0</v>
      </c>
      <c r="M48" s="52">
        <f>$C48*BASE!L48</f>
        <v>0</v>
      </c>
      <c r="N48" s="52">
        <f>$C48*BASE!M48</f>
        <v>0</v>
      </c>
      <c r="O48" s="52">
        <f>$C48*BASE!N48</f>
        <v>0</v>
      </c>
      <c r="P48" s="52">
        <f>$C48*BASE!O48</f>
        <v>0</v>
      </c>
      <c r="Q48" s="52">
        <f>$C48*BASE!P48</f>
        <v>0</v>
      </c>
      <c r="R48" s="52">
        <f>$C48*BASE!Q48</f>
        <v>0</v>
      </c>
    </row>
    <row r="49" spans="1:18" ht="15" x14ac:dyDescent="0.25">
      <c r="A49" s="2" t="s">
        <v>15</v>
      </c>
      <c r="B49" s="7"/>
      <c r="C49" s="139">
        <f>+'Modeling &amp; Presentation'!C$23</f>
        <v>530</v>
      </c>
      <c r="D49" s="61">
        <f>+BASE!D49</f>
        <v>496.67</v>
      </c>
      <c r="E49" s="103">
        <f t="shared" si="1"/>
        <v>6.7106932168240443E-2</v>
      </c>
      <c r="F49" s="144">
        <f t="shared" si="0"/>
        <v>19080</v>
      </c>
      <c r="G49" s="52">
        <f>$C49*BASE!F49</f>
        <v>1590</v>
      </c>
      <c r="H49" s="52">
        <f>$C49*BASE!G49</f>
        <v>1590</v>
      </c>
      <c r="I49" s="52">
        <f>$C49*BASE!H49</f>
        <v>1590</v>
      </c>
      <c r="J49" s="52">
        <f>$C49*BASE!I49</f>
        <v>1590</v>
      </c>
      <c r="K49" s="52">
        <f>$C49*BASE!J49</f>
        <v>1590</v>
      </c>
      <c r="L49" s="52">
        <f>$C49*BASE!K49</f>
        <v>1590</v>
      </c>
      <c r="M49" s="52">
        <f>$C49*BASE!L49</f>
        <v>1590</v>
      </c>
      <c r="N49" s="52">
        <f>$C49*BASE!M49</f>
        <v>1590</v>
      </c>
      <c r="O49" s="52">
        <f>$C49*BASE!N49</f>
        <v>1590</v>
      </c>
      <c r="P49" s="52">
        <f>$C49*BASE!O49</f>
        <v>1590</v>
      </c>
      <c r="Q49" s="52">
        <f>$C49*BASE!P49</f>
        <v>1590</v>
      </c>
      <c r="R49" s="52">
        <f>$C49*BASE!Q49</f>
        <v>1590</v>
      </c>
    </row>
    <row r="50" spans="1:18" ht="15" x14ac:dyDescent="0.25">
      <c r="A50" s="2" t="s">
        <v>15</v>
      </c>
      <c r="B50" s="7"/>
      <c r="C50" s="139">
        <f>+'Modeling &amp; Presentation'!C$23</f>
        <v>530</v>
      </c>
      <c r="D50" s="61">
        <f>+BASE!D50</f>
        <v>496.67</v>
      </c>
      <c r="E50" s="103">
        <f t="shared" si="1"/>
        <v>6.7106932168240443E-2</v>
      </c>
      <c r="F50" s="144">
        <f t="shared" si="0"/>
        <v>0</v>
      </c>
      <c r="G50" s="52">
        <f>$C50*BASE!F50</f>
        <v>0</v>
      </c>
      <c r="H50" s="52">
        <f>$C50*BASE!G50</f>
        <v>0</v>
      </c>
      <c r="I50" s="52">
        <f>$C50*BASE!H50</f>
        <v>0</v>
      </c>
      <c r="J50" s="52">
        <f>$C50*BASE!I50</f>
        <v>0</v>
      </c>
      <c r="K50" s="52">
        <f>$C50*BASE!J50</f>
        <v>0</v>
      </c>
      <c r="L50" s="52">
        <f>$C50*BASE!K50</f>
        <v>0</v>
      </c>
      <c r="M50" s="52">
        <f>$C50*BASE!L50</f>
        <v>0</v>
      </c>
      <c r="N50" s="52">
        <f>$C50*BASE!M50</f>
        <v>0</v>
      </c>
      <c r="O50" s="52">
        <f>$C50*BASE!N50</f>
        <v>0</v>
      </c>
      <c r="P50" s="52">
        <f>$C50*BASE!O50</f>
        <v>0</v>
      </c>
      <c r="Q50" s="52">
        <f>$C50*BASE!P50</f>
        <v>0</v>
      </c>
      <c r="R50" s="52">
        <f>$C50*BASE!Q50</f>
        <v>0</v>
      </c>
    </row>
    <row r="51" spans="1:18" ht="15" x14ac:dyDescent="0.25">
      <c r="A51" s="2" t="s">
        <v>15</v>
      </c>
      <c r="B51" s="7"/>
      <c r="C51" s="139">
        <f>+'Modeling &amp; Presentation'!C$23</f>
        <v>530</v>
      </c>
      <c r="D51" s="61">
        <f>+BASE!D51</f>
        <v>496.67</v>
      </c>
      <c r="E51" s="103">
        <f t="shared" si="1"/>
        <v>6.7106932168240443E-2</v>
      </c>
      <c r="F51" s="144">
        <f t="shared" si="0"/>
        <v>0</v>
      </c>
      <c r="G51" s="52">
        <f>$C51*BASE!F51</f>
        <v>0</v>
      </c>
      <c r="H51" s="52">
        <f>$C51*BASE!G51</f>
        <v>0</v>
      </c>
      <c r="I51" s="52">
        <f>$C51*BASE!H51</f>
        <v>0</v>
      </c>
      <c r="J51" s="52">
        <f>$C51*BASE!I51</f>
        <v>0</v>
      </c>
      <c r="K51" s="52">
        <f>$C51*BASE!J51</f>
        <v>0</v>
      </c>
      <c r="L51" s="52">
        <f>$C51*BASE!K51</f>
        <v>0</v>
      </c>
      <c r="M51" s="52">
        <f>$C51*BASE!L51</f>
        <v>0</v>
      </c>
      <c r="N51" s="52">
        <f>$C51*BASE!M51</f>
        <v>0</v>
      </c>
      <c r="O51" s="52">
        <f>$C51*BASE!N51</f>
        <v>0</v>
      </c>
      <c r="P51" s="52">
        <f>$C51*BASE!O51</f>
        <v>0</v>
      </c>
      <c r="Q51" s="52">
        <f>$C51*BASE!P51</f>
        <v>0</v>
      </c>
      <c r="R51" s="52">
        <f>$C51*BASE!Q51</f>
        <v>0</v>
      </c>
    </row>
    <row r="52" spans="1:18" ht="15" x14ac:dyDescent="0.25">
      <c r="A52" s="2" t="s">
        <v>16</v>
      </c>
      <c r="B52" s="7"/>
      <c r="C52" s="139">
        <f>+'Modeling &amp; Presentation'!C$29</f>
        <v>28.68</v>
      </c>
      <c r="D52" s="61">
        <f>+BASE!D52</f>
        <v>28.68</v>
      </c>
      <c r="E52" s="103">
        <f t="shared" si="1"/>
        <v>0</v>
      </c>
      <c r="F52" s="144">
        <f t="shared" si="0"/>
        <v>1376.64</v>
      </c>
      <c r="G52" s="52">
        <f>$C52*BASE!F52</f>
        <v>114.72</v>
      </c>
      <c r="H52" s="52">
        <f>$C52*BASE!G52</f>
        <v>114.72</v>
      </c>
      <c r="I52" s="52">
        <f>$C52*BASE!H52</f>
        <v>114.72</v>
      </c>
      <c r="J52" s="52">
        <f>$C52*BASE!I52</f>
        <v>114.72</v>
      </c>
      <c r="K52" s="52">
        <f>$C52*BASE!J52</f>
        <v>114.72</v>
      </c>
      <c r="L52" s="52">
        <f>$C52*BASE!K52</f>
        <v>114.72</v>
      </c>
      <c r="M52" s="52">
        <f>$C52*BASE!L52</f>
        <v>114.72</v>
      </c>
      <c r="N52" s="52">
        <f>$C52*BASE!M52</f>
        <v>114.72</v>
      </c>
      <c r="O52" s="52">
        <f>$C52*BASE!N52</f>
        <v>114.72</v>
      </c>
      <c r="P52" s="52">
        <f>$C52*BASE!O52</f>
        <v>114.72</v>
      </c>
      <c r="Q52" s="52">
        <f>$C52*BASE!P52</f>
        <v>114.72</v>
      </c>
      <c r="R52" s="52">
        <f>$C52*BASE!Q52</f>
        <v>114.72</v>
      </c>
    </row>
    <row r="53" spans="1:18" ht="15" x14ac:dyDescent="0.25">
      <c r="A53" s="2" t="s">
        <v>17</v>
      </c>
      <c r="B53" s="7"/>
      <c r="C53" s="139">
        <f>+'Modeling &amp; Presentation'!C$30</f>
        <v>0</v>
      </c>
      <c r="D53" s="61">
        <f>+BASE!D53</f>
        <v>0</v>
      </c>
      <c r="E53" s="103">
        <f t="shared" si="1"/>
        <v>0</v>
      </c>
      <c r="F53" s="144">
        <f t="shared" si="0"/>
        <v>0</v>
      </c>
      <c r="G53" s="52">
        <f>$C53*BASE!F53</f>
        <v>0</v>
      </c>
      <c r="H53" s="52">
        <f>$C53*BASE!G53</f>
        <v>0</v>
      </c>
      <c r="I53" s="52">
        <f>$C53*BASE!H53</f>
        <v>0</v>
      </c>
      <c r="J53" s="52">
        <f>$C53*BASE!I53</f>
        <v>0</v>
      </c>
      <c r="K53" s="52">
        <f>$C53*BASE!J53</f>
        <v>0</v>
      </c>
      <c r="L53" s="52">
        <f>$C53*BASE!K53</f>
        <v>0</v>
      </c>
      <c r="M53" s="52">
        <f>$C53*BASE!L53</f>
        <v>0</v>
      </c>
      <c r="N53" s="52">
        <f>$C53*BASE!M53</f>
        <v>0</v>
      </c>
      <c r="O53" s="52">
        <f>$C53*BASE!N53</f>
        <v>0</v>
      </c>
      <c r="P53" s="52">
        <f>$C53*BASE!O53</f>
        <v>0</v>
      </c>
      <c r="Q53" s="52">
        <f>$C53*BASE!P53</f>
        <v>0</v>
      </c>
      <c r="R53" s="52">
        <f>$C53*BASE!Q53</f>
        <v>0</v>
      </c>
    </row>
    <row r="54" spans="1:18" ht="15" x14ac:dyDescent="0.25">
      <c r="A54" s="2" t="s">
        <v>18</v>
      </c>
      <c r="B54" s="7"/>
      <c r="C54" s="139">
        <f>+'Modeling &amp; Presentation'!C$30</f>
        <v>0</v>
      </c>
      <c r="D54" s="61">
        <f>+BASE!D54</f>
        <v>0</v>
      </c>
      <c r="E54" s="103">
        <f t="shared" si="1"/>
        <v>0</v>
      </c>
      <c r="F54" s="144">
        <f t="shared" si="0"/>
        <v>0</v>
      </c>
      <c r="G54" s="52">
        <f>$C54*BASE!F54</f>
        <v>0</v>
      </c>
      <c r="H54" s="52">
        <f>$C54*BASE!G54</f>
        <v>0</v>
      </c>
      <c r="I54" s="52">
        <f>$C54*BASE!H54</f>
        <v>0</v>
      </c>
      <c r="J54" s="52">
        <f>$C54*BASE!I54</f>
        <v>0</v>
      </c>
      <c r="K54" s="52">
        <f>$C54*BASE!J54</f>
        <v>0</v>
      </c>
      <c r="L54" s="52">
        <f>$C54*BASE!K54</f>
        <v>0</v>
      </c>
      <c r="M54" s="52">
        <f>$C54*BASE!L54</f>
        <v>0</v>
      </c>
      <c r="N54" s="52">
        <f>$C54*BASE!M54</f>
        <v>0</v>
      </c>
      <c r="O54" s="52">
        <f>$C54*BASE!N54</f>
        <v>0</v>
      </c>
      <c r="P54" s="52">
        <f>$C54*BASE!O54</f>
        <v>0</v>
      </c>
      <c r="Q54" s="52">
        <f>$C54*BASE!P54</f>
        <v>0</v>
      </c>
      <c r="R54" s="52">
        <f>$C54*BASE!Q54</f>
        <v>0</v>
      </c>
    </row>
    <row r="55" spans="1:18" ht="15" x14ac:dyDescent="0.25">
      <c r="A55" s="2" t="s">
        <v>19</v>
      </c>
      <c r="B55" s="7"/>
      <c r="C55" s="139">
        <f>+'Modeling &amp; Presentation'!C$30</f>
        <v>0</v>
      </c>
      <c r="D55" s="61">
        <f>+BASE!D55</f>
        <v>0</v>
      </c>
      <c r="E55" s="103">
        <f t="shared" si="1"/>
        <v>0</v>
      </c>
      <c r="F55" s="144">
        <f t="shared" si="0"/>
        <v>0</v>
      </c>
      <c r="G55" s="52">
        <f>$C55*BASE!F55</f>
        <v>0</v>
      </c>
      <c r="H55" s="52">
        <f>$C55*BASE!G55</f>
        <v>0</v>
      </c>
      <c r="I55" s="52">
        <f>$C55*BASE!H55</f>
        <v>0</v>
      </c>
      <c r="J55" s="52">
        <f>$C55*BASE!I55</f>
        <v>0</v>
      </c>
      <c r="K55" s="52">
        <f>$C55*BASE!J55</f>
        <v>0</v>
      </c>
      <c r="L55" s="52">
        <f>$C55*BASE!K55</f>
        <v>0</v>
      </c>
      <c r="M55" s="52">
        <f>$C55*BASE!L55</f>
        <v>0</v>
      </c>
      <c r="N55" s="52">
        <f>$C55*BASE!M55</f>
        <v>0</v>
      </c>
      <c r="O55" s="52">
        <f>$C55*BASE!N55</f>
        <v>0</v>
      </c>
      <c r="P55" s="52">
        <f>$C55*BASE!O55</f>
        <v>0</v>
      </c>
      <c r="Q55" s="52">
        <f>$C55*BASE!P55</f>
        <v>0</v>
      </c>
      <c r="R55" s="52">
        <f>$C55*BASE!Q55</f>
        <v>0</v>
      </c>
    </row>
    <row r="56" spans="1:18" s="8" customFormat="1" ht="15" x14ac:dyDescent="0.25">
      <c r="A56" s="54" t="s">
        <v>42</v>
      </c>
      <c r="D56" s="62"/>
      <c r="E56" s="104"/>
    </row>
    <row r="57" spans="1:18" s="13" customFormat="1" ht="15" x14ac:dyDescent="0.25">
      <c r="A57" s="13" t="s">
        <v>24</v>
      </c>
      <c r="D57" s="140"/>
      <c r="E57" s="141"/>
      <c r="F57" s="14">
        <f>SUM(F3:F6)</f>
        <v>4728</v>
      </c>
      <c r="G57" s="14">
        <f>SUM(G3:G6)</f>
        <v>394</v>
      </c>
      <c r="H57" s="14">
        <f t="shared" ref="H57:R57" si="5">SUM(H3:H6)</f>
        <v>394</v>
      </c>
      <c r="I57" s="14">
        <f t="shared" si="5"/>
        <v>394</v>
      </c>
      <c r="J57" s="14">
        <f t="shared" si="5"/>
        <v>394</v>
      </c>
      <c r="K57" s="14">
        <f t="shared" si="5"/>
        <v>394</v>
      </c>
      <c r="L57" s="14">
        <f t="shared" si="5"/>
        <v>394</v>
      </c>
      <c r="M57" s="14">
        <f t="shared" si="5"/>
        <v>394</v>
      </c>
      <c r="N57" s="14">
        <f t="shared" si="5"/>
        <v>394</v>
      </c>
      <c r="O57" s="14">
        <f t="shared" si="5"/>
        <v>394</v>
      </c>
      <c r="P57" s="14">
        <f t="shared" si="5"/>
        <v>394</v>
      </c>
      <c r="Q57" s="14">
        <f t="shared" si="5"/>
        <v>394</v>
      </c>
      <c r="R57" s="14">
        <f t="shared" si="5"/>
        <v>394</v>
      </c>
    </row>
    <row r="58" spans="1:18" s="13" customFormat="1" ht="15" x14ac:dyDescent="0.25">
      <c r="A58" s="13" t="s">
        <v>22</v>
      </c>
      <c r="D58" s="140"/>
      <c r="E58" s="141"/>
      <c r="F58" s="14">
        <f>SUM(F7:F30)</f>
        <v>3376895</v>
      </c>
      <c r="G58" s="14">
        <f t="shared" ref="G58:R58" si="6">SUM(G7:G30)</f>
        <v>280385.90000000002</v>
      </c>
      <c r="H58" s="14">
        <f t="shared" si="6"/>
        <v>279956.59999999998</v>
      </c>
      <c r="I58" s="14">
        <f t="shared" si="6"/>
        <v>281027.20000000001</v>
      </c>
      <c r="J58" s="14">
        <f t="shared" si="6"/>
        <v>281392.89999999997</v>
      </c>
      <c r="K58" s="14">
        <f t="shared" si="6"/>
        <v>281801</v>
      </c>
      <c r="L58" s="14">
        <f t="shared" si="6"/>
        <v>282293.90000000002</v>
      </c>
      <c r="M58" s="14">
        <f t="shared" si="6"/>
        <v>282611.89999999997</v>
      </c>
      <c r="N58" s="14">
        <f t="shared" si="6"/>
        <v>282659.59999999998</v>
      </c>
      <c r="O58" s="14">
        <f t="shared" si="6"/>
        <v>281848.7</v>
      </c>
      <c r="P58" s="14">
        <f t="shared" si="6"/>
        <v>282113.7</v>
      </c>
      <c r="Q58" s="14">
        <f t="shared" si="6"/>
        <v>280915.89999999997</v>
      </c>
      <c r="R58" s="14">
        <f t="shared" si="6"/>
        <v>279887.7</v>
      </c>
    </row>
    <row r="59" spans="1:18" s="13" customFormat="1" ht="15" x14ac:dyDescent="0.25">
      <c r="A59" s="13" t="s">
        <v>31</v>
      </c>
      <c r="D59" s="140"/>
      <c r="E59" s="141"/>
      <c r="F59" s="14">
        <f>SUM(F31:F51)</f>
        <v>290890.5</v>
      </c>
      <c r="G59" s="14">
        <f>SUM(G31:G51)</f>
        <v>24077.9</v>
      </c>
      <c r="H59" s="14">
        <f t="shared" ref="H59:R59" si="7">SUM(H31:H51)</f>
        <v>24178.6</v>
      </c>
      <c r="I59" s="14">
        <f t="shared" si="7"/>
        <v>24374.699999999997</v>
      </c>
      <c r="J59" s="14">
        <f t="shared" si="7"/>
        <v>24088.5</v>
      </c>
      <c r="K59" s="14">
        <f t="shared" si="7"/>
        <v>24231.599999999999</v>
      </c>
      <c r="L59" s="14">
        <f t="shared" si="7"/>
        <v>24215.699999999997</v>
      </c>
      <c r="M59" s="14">
        <f t="shared" si="7"/>
        <v>24268.699999999997</v>
      </c>
      <c r="N59" s="14">
        <f t="shared" si="7"/>
        <v>24327</v>
      </c>
      <c r="O59" s="14">
        <f t="shared" si="7"/>
        <v>24358.799999999999</v>
      </c>
      <c r="P59" s="14">
        <f t="shared" si="7"/>
        <v>24242.199999999997</v>
      </c>
      <c r="Q59" s="14">
        <f t="shared" si="7"/>
        <v>24226.3</v>
      </c>
      <c r="R59" s="14">
        <f t="shared" si="7"/>
        <v>24300.5</v>
      </c>
    </row>
    <row r="60" spans="1:18" s="13" customFormat="1" ht="15" x14ac:dyDescent="0.25">
      <c r="A60" s="13" t="s">
        <v>23</v>
      </c>
      <c r="D60" s="140"/>
      <c r="E60" s="141"/>
      <c r="F60" s="14">
        <f>SUM(F52:F55)</f>
        <v>1376.64</v>
      </c>
      <c r="G60" s="14">
        <f>SUM(G52:G55)</f>
        <v>114.72</v>
      </c>
      <c r="H60" s="14">
        <f t="shared" ref="H60:R60" si="8">SUM(H52:H55)</f>
        <v>114.72</v>
      </c>
      <c r="I60" s="14">
        <f t="shared" si="8"/>
        <v>114.72</v>
      </c>
      <c r="J60" s="14">
        <f t="shared" si="8"/>
        <v>114.72</v>
      </c>
      <c r="K60" s="14">
        <f t="shared" si="8"/>
        <v>114.72</v>
      </c>
      <c r="L60" s="14">
        <f t="shared" si="8"/>
        <v>114.72</v>
      </c>
      <c r="M60" s="14">
        <f t="shared" si="8"/>
        <v>114.72</v>
      </c>
      <c r="N60" s="14">
        <f t="shared" si="8"/>
        <v>114.72</v>
      </c>
      <c r="O60" s="14">
        <f t="shared" si="8"/>
        <v>114.72</v>
      </c>
      <c r="P60" s="14">
        <f t="shared" si="8"/>
        <v>114.72</v>
      </c>
      <c r="Q60" s="14">
        <f t="shared" si="8"/>
        <v>114.72</v>
      </c>
      <c r="R60" s="14">
        <f t="shared" si="8"/>
        <v>114.72</v>
      </c>
    </row>
    <row r="61" spans="1:18" s="11" customFormat="1" ht="15" x14ac:dyDescent="0.25">
      <c r="A61" s="10" t="s">
        <v>21</v>
      </c>
      <c r="B61" s="10"/>
      <c r="C61" s="10"/>
      <c r="D61" s="64"/>
      <c r="E61" s="105"/>
      <c r="F61" s="12">
        <f t="shared" ref="F61:R61" si="9">SUM(F3:F56)</f>
        <v>3673890.14</v>
      </c>
      <c r="G61" s="12">
        <f t="shared" si="9"/>
        <v>304972.51999999996</v>
      </c>
      <c r="H61" s="12">
        <f t="shared" si="9"/>
        <v>304643.91999999993</v>
      </c>
      <c r="I61" s="12">
        <f t="shared" si="9"/>
        <v>305910.62</v>
      </c>
      <c r="J61" s="12">
        <f t="shared" si="9"/>
        <v>305990.11999999994</v>
      </c>
      <c r="K61" s="12">
        <f t="shared" si="9"/>
        <v>306541.32</v>
      </c>
      <c r="L61" s="12">
        <f t="shared" si="9"/>
        <v>307018.32</v>
      </c>
      <c r="M61" s="12">
        <f t="shared" si="9"/>
        <v>307389.31999999995</v>
      </c>
      <c r="N61" s="12">
        <f t="shared" si="9"/>
        <v>307495.31999999995</v>
      </c>
      <c r="O61" s="12">
        <f t="shared" si="9"/>
        <v>306716.21999999997</v>
      </c>
      <c r="P61" s="12">
        <f t="shared" si="9"/>
        <v>306864.62</v>
      </c>
      <c r="Q61" s="12">
        <f t="shared" si="9"/>
        <v>305650.91999999993</v>
      </c>
      <c r="R61" s="12">
        <f t="shared" si="9"/>
        <v>304696.92</v>
      </c>
    </row>
    <row r="62" spans="1:18" s="16" customFormat="1" ht="11.25" x14ac:dyDescent="0.2">
      <c r="A62" s="15" t="s">
        <v>25</v>
      </c>
      <c r="D62" s="66"/>
      <c r="E62" s="106"/>
      <c r="G62" s="16">
        <f>SUM(G57:G60)-G61</f>
        <v>0</v>
      </c>
      <c r="H62" s="16">
        <f t="shared" ref="H62:R62" si="10">SUM(H57:H60)-H61</f>
        <v>0</v>
      </c>
      <c r="I62" s="16">
        <f t="shared" si="10"/>
        <v>0</v>
      </c>
      <c r="J62" s="16">
        <f t="shared" si="10"/>
        <v>0</v>
      </c>
      <c r="K62" s="16">
        <f t="shared" si="10"/>
        <v>0</v>
      </c>
      <c r="L62" s="16">
        <f t="shared" si="10"/>
        <v>0</v>
      </c>
      <c r="M62" s="16">
        <f t="shared" si="10"/>
        <v>0</v>
      </c>
      <c r="N62" s="16">
        <f t="shared" si="10"/>
        <v>0</v>
      </c>
      <c r="O62" s="16">
        <f t="shared" si="10"/>
        <v>0</v>
      </c>
      <c r="P62" s="16">
        <f t="shared" si="10"/>
        <v>0</v>
      </c>
      <c r="Q62" s="16">
        <f t="shared" si="10"/>
        <v>0</v>
      </c>
      <c r="R62" s="16">
        <f t="shared" si="10"/>
        <v>0</v>
      </c>
    </row>
    <row r="63" spans="1:18" x14ac:dyDescent="0.2">
      <c r="E63" s="107"/>
    </row>
    <row r="64" spans="1:18" s="8" customFormat="1" ht="15" x14ac:dyDescent="0.2">
      <c r="A64" s="48" t="s">
        <v>43</v>
      </c>
      <c r="C64" s="37"/>
      <c r="D64" s="68"/>
      <c r="E64" s="104"/>
    </row>
    <row r="65" spans="1:18" s="13" customFormat="1" ht="15" x14ac:dyDescent="0.25">
      <c r="A65" s="13" t="s">
        <v>24</v>
      </c>
      <c r="D65" s="142"/>
      <c r="E65" s="143"/>
      <c r="F65" s="14">
        <f>+'BILLED BASE'!D57</f>
        <v>4728</v>
      </c>
      <c r="G65" s="14">
        <f>+'BILLED BASE'!E57</f>
        <v>394</v>
      </c>
      <c r="H65" s="14">
        <f>+'BILLED BASE'!F57</f>
        <v>394</v>
      </c>
      <c r="I65" s="14">
        <f>+'BILLED BASE'!G57</f>
        <v>394</v>
      </c>
      <c r="J65" s="14">
        <f>+'BILLED BASE'!H57</f>
        <v>394</v>
      </c>
      <c r="K65" s="14">
        <f>+'BILLED BASE'!I57</f>
        <v>394</v>
      </c>
      <c r="L65" s="14">
        <f>+'BILLED BASE'!J57</f>
        <v>394</v>
      </c>
      <c r="M65" s="14">
        <f>+'BILLED BASE'!K57</f>
        <v>394</v>
      </c>
      <c r="N65" s="14">
        <f>+'BILLED BASE'!L57</f>
        <v>394</v>
      </c>
      <c r="O65" s="14">
        <f>+'BILLED BASE'!M57</f>
        <v>394</v>
      </c>
      <c r="P65" s="14">
        <f>+'BILLED BASE'!N57</f>
        <v>394</v>
      </c>
      <c r="Q65" s="14">
        <f>+'BILLED BASE'!O57</f>
        <v>394</v>
      </c>
      <c r="R65" s="14">
        <f>+'BILLED BASE'!P57</f>
        <v>394</v>
      </c>
    </row>
    <row r="66" spans="1:18" s="13" customFormat="1" ht="15" x14ac:dyDescent="0.25">
      <c r="A66" s="13" t="s">
        <v>22</v>
      </c>
      <c r="D66" s="142"/>
      <c r="E66" s="143"/>
      <c r="F66" s="14">
        <f>+'BILLED BASE'!D58</f>
        <v>3164510.37</v>
      </c>
      <c r="G66" s="14">
        <f>+'BILLED BASE'!E58</f>
        <v>262751.46000000002</v>
      </c>
      <c r="H66" s="14">
        <f>+'BILLED BASE'!F58</f>
        <v>262349.16000000003</v>
      </c>
      <c r="I66" s="14">
        <f>+'BILLED BASE'!G58</f>
        <v>263352.43000000005</v>
      </c>
      <c r="J66" s="14">
        <f>+'BILLED BASE'!H58</f>
        <v>263695.13</v>
      </c>
      <c r="K66" s="14">
        <f>+'BILLED BASE'!I58</f>
        <v>264077.56000000006</v>
      </c>
      <c r="L66" s="14">
        <f>+'BILLED BASE'!J58</f>
        <v>264539.45</v>
      </c>
      <c r="M66" s="14">
        <f>+'BILLED BASE'!K58</f>
        <v>264837.46000000002</v>
      </c>
      <c r="N66" s="14">
        <f>+'BILLED BASE'!L58</f>
        <v>264882.16000000003</v>
      </c>
      <c r="O66" s="14">
        <f>+'BILLED BASE'!M58</f>
        <v>264122.26000000007</v>
      </c>
      <c r="P66" s="14">
        <f>+'BILLED BASE'!N58</f>
        <v>264370.59000000003</v>
      </c>
      <c r="Q66" s="14">
        <f>+'BILLED BASE'!O58</f>
        <v>263248.12000000005</v>
      </c>
      <c r="R66" s="14">
        <f>+'BILLED BASE'!P58</f>
        <v>262284.59000000003</v>
      </c>
    </row>
    <row r="67" spans="1:18" s="13" customFormat="1" ht="15" x14ac:dyDescent="0.25">
      <c r="A67" s="13" t="s">
        <v>31</v>
      </c>
      <c r="D67" s="142"/>
      <c r="E67" s="143"/>
      <c r="F67" s="14">
        <f>+'BILLED BASE'!D59</f>
        <v>272595.22000000003</v>
      </c>
      <c r="G67" s="14">
        <f>+'BILLED BASE'!E59</f>
        <v>22563.54</v>
      </c>
      <c r="H67" s="14">
        <f>+'BILLED BASE'!F59</f>
        <v>22657.909999999996</v>
      </c>
      <c r="I67" s="14">
        <f>+'BILLED BASE'!G59</f>
        <v>22841.67</v>
      </c>
      <c r="J67" s="14">
        <f>+'BILLED BASE'!H59</f>
        <v>22573.48</v>
      </c>
      <c r="K67" s="14">
        <f>+'BILLED BASE'!I59</f>
        <v>22707.579999999998</v>
      </c>
      <c r="L67" s="14">
        <f>+'BILLED BASE'!J59</f>
        <v>22692.68</v>
      </c>
      <c r="M67" s="14">
        <f>+'BILLED BASE'!K59</f>
        <v>22742.339999999997</v>
      </c>
      <c r="N67" s="14">
        <f>+'BILLED BASE'!L59</f>
        <v>22796.979999999996</v>
      </c>
      <c r="O67" s="14">
        <f>+'BILLED BASE'!M59</f>
        <v>22826.78</v>
      </c>
      <c r="P67" s="14">
        <f>+'BILLED BASE'!N59</f>
        <v>22717.51</v>
      </c>
      <c r="Q67" s="14">
        <f>+'BILLED BASE'!O59</f>
        <v>22702.61</v>
      </c>
      <c r="R67" s="14">
        <f>+'BILLED BASE'!P59</f>
        <v>22772.14</v>
      </c>
    </row>
    <row r="68" spans="1:18" s="13" customFormat="1" ht="15" x14ac:dyDescent="0.25">
      <c r="A68" s="13" t="s">
        <v>23</v>
      </c>
      <c r="D68" s="142"/>
      <c r="E68" s="143"/>
      <c r="F68" s="14">
        <f>+'BILLED BASE'!D60</f>
        <v>-69395.06</v>
      </c>
      <c r="G68" s="14">
        <f>+'BILLED BASE'!E60</f>
        <v>-7515.86</v>
      </c>
      <c r="H68" s="14">
        <f>+'BILLED BASE'!F60</f>
        <v>-855.86</v>
      </c>
      <c r="I68" s="14">
        <f>+'BILLED BASE'!G60</f>
        <v>-1836.91</v>
      </c>
      <c r="J68" s="14">
        <f>+'BILLED BASE'!H60</f>
        <v>-6121.04</v>
      </c>
      <c r="K68" s="14">
        <f>+'BILLED BASE'!I60</f>
        <v>-3967.1200000000003</v>
      </c>
      <c r="L68" s="14">
        <f>+'BILLED BASE'!J60</f>
        <v>-533.22</v>
      </c>
      <c r="M68" s="14">
        <f>+'BILLED BASE'!K60</f>
        <v>-4769</v>
      </c>
      <c r="N68" s="14">
        <f>+'BILLED BASE'!L60</f>
        <v>-7865.58</v>
      </c>
      <c r="O68" s="14">
        <f>+'BILLED BASE'!M60</f>
        <v>-8819.6200000000008</v>
      </c>
      <c r="P68" s="14">
        <f>+'BILLED BASE'!N60</f>
        <v>-18879.949999999997</v>
      </c>
      <c r="Q68" s="14">
        <f>+'BILLED BASE'!O60</f>
        <v>-6804.04</v>
      </c>
      <c r="R68" s="14">
        <f>+'BILLED BASE'!P60</f>
        <v>-1426.86</v>
      </c>
    </row>
    <row r="69" spans="1:18" s="11" customFormat="1" ht="15" x14ac:dyDescent="0.25">
      <c r="A69" s="10" t="s">
        <v>21</v>
      </c>
      <c r="B69" s="10"/>
      <c r="C69" s="10"/>
      <c r="D69" s="69"/>
      <c r="E69" s="105"/>
      <c r="F69" s="12">
        <f>+'BILLED BASE'!D61</f>
        <v>3372438.53</v>
      </c>
      <c r="G69" s="12">
        <f>+'BILLED BASE'!E61</f>
        <v>278193.1399999999</v>
      </c>
      <c r="H69" s="12">
        <f>+'BILLED BASE'!F61</f>
        <v>284545.20999999996</v>
      </c>
      <c r="I69" s="12">
        <f>+'BILLED BASE'!G61</f>
        <v>284751.18999999994</v>
      </c>
      <c r="J69" s="12">
        <f>+'BILLED BASE'!H61</f>
        <v>280541.56999999989</v>
      </c>
      <c r="K69" s="12">
        <f>+'BILLED BASE'!I61</f>
        <v>283212.02</v>
      </c>
      <c r="L69" s="12">
        <f>+'BILLED BASE'!J61</f>
        <v>287092.90999999997</v>
      </c>
      <c r="M69" s="12">
        <f>+'BILLED BASE'!K61</f>
        <v>283204.8</v>
      </c>
      <c r="N69" s="12">
        <f>+'BILLED BASE'!L61</f>
        <v>280207.56</v>
      </c>
      <c r="O69" s="12">
        <f>+'BILLED BASE'!M61</f>
        <v>278523.42</v>
      </c>
      <c r="P69" s="12">
        <f>+'BILLED BASE'!N61</f>
        <v>268602.15000000002</v>
      </c>
      <c r="Q69" s="12">
        <f>+'BILLED BASE'!O61</f>
        <v>279540.69</v>
      </c>
      <c r="R69" s="12">
        <f>+'BILLED BASE'!P61</f>
        <v>284023.86999999994</v>
      </c>
    </row>
    <row r="70" spans="1:18" s="16" customFormat="1" ht="11.25" x14ac:dyDescent="0.2">
      <c r="A70" s="15" t="s">
        <v>25</v>
      </c>
      <c r="D70" s="70"/>
      <c r="E70" s="106"/>
      <c r="F70" s="16">
        <f>SUM(F65:F68)-F69</f>
        <v>0</v>
      </c>
      <c r="G70" s="16">
        <f>SUM(G65:G68)-G69</f>
        <v>0</v>
      </c>
      <c r="H70" s="16">
        <f>SUM(H65:H68)-H69</f>
        <v>0</v>
      </c>
      <c r="I70" s="16">
        <f t="shared" ref="I70:R70" si="11">SUM(I65:I68)-I69</f>
        <v>0</v>
      </c>
      <c r="J70" s="16">
        <f t="shared" si="11"/>
        <v>0</v>
      </c>
      <c r="K70" s="16">
        <f t="shared" si="11"/>
        <v>0</v>
      </c>
      <c r="L70" s="16">
        <f t="shared" si="11"/>
        <v>0</v>
      </c>
      <c r="M70" s="16">
        <f t="shared" si="11"/>
        <v>0</v>
      </c>
      <c r="N70" s="16">
        <f t="shared" si="11"/>
        <v>0</v>
      </c>
      <c r="O70" s="16">
        <f t="shared" si="11"/>
        <v>0</v>
      </c>
      <c r="P70" s="16">
        <f t="shared" si="11"/>
        <v>0</v>
      </c>
      <c r="Q70" s="16">
        <f t="shared" si="11"/>
        <v>0</v>
      </c>
      <c r="R70" s="16">
        <f t="shared" si="11"/>
        <v>0</v>
      </c>
    </row>
    <row r="71" spans="1:18" s="9" customFormat="1" ht="15" x14ac:dyDescent="0.25">
      <c r="A71" s="49"/>
      <c r="D71" s="71"/>
      <c r="E71" s="108"/>
      <c r="F71" s="52">
        <f>+F61-F69</f>
        <v>301451.61000000034</v>
      </c>
      <c r="G71" s="52">
        <f t="shared" ref="G71:R71" si="12">+G61-G69</f>
        <v>26779.380000000063</v>
      </c>
      <c r="H71" s="52">
        <f t="shared" si="12"/>
        <v>20098.709999999963</v>
      </c>
      <c r="I71" s="52">
        <f t="shared" si="12"/>
        <v>21159.430000000051</v>
      </c>
      <c r="J71" s="52">
        <f t="shared" si="12"/>
        <v>25448.550000000047</v>
      </c>
      <c r="K71" s="52">
        <f t="shared" si="12"/>
        <v>23329.299999999988</v>
      </c>
      <c r="L71" s="52">
        <f t="shared" si="12"/>
        <v>19925.410000000033</v>
      </c>
      <c r="M71" s="52">
        <f t="shared" si="12"/>
        <v>24184.51999999996</v>
      </c>
      <c r="N71" s="52">
        <f t="shared" si="12"/>
        <v>27287.759999999951</v>
      </c>
      <c r="O71" s="52">
        <f t="shared" si="12"/>
        <v>28192.799999999988</v>
      </c>
      <c r="P71" s="52">
        <f t="shared" si="12"/>
        <v>38262.469999999972</v>
      </c>
      <c r="Q71" s="52">
        <f t="shared" si="12"/>
        <v>26110.229999999923</v>
      </c>
      <c r="R71" s="52">
        <f t="shared" si="12"/>
        <v>20673.050000000047</v>
      </c>
    </row>
    <row r="72" spans="1:18" s="9" customFormat="1" ht="15" x14ac:dyDescent="0.25">
      <c r="A72" s="49"/>
      <c r="C72" s="55"/>
      <c r="D72" s="71"/>
      <c r="E72" s="108"/>
      <c r="F72" s="160">
        <f>+F71/F69</f>
        <v>8.9386836058951188E-2</v>
      </c>
      <c r="G72" s="53">
        <f t="shared" ref="G72:R72" si="13">+G71/G69</f>
        <v>9.6261827304584408E-2</v>
      </c>
      <c r="H72" s="53">
        <f t="shared" si="13"/>
        <v>7.0634504794510389E-2</v>
      </c>
      <c r="I72" s="53">
        <f t="shared" si="13"/>
        <v>7.430848664758892E-2</v>
      </c>
      <c r="J72" s="53">
        <f t="shared" si="13"/>
        <v>9.0712224929802937E-2</v>
      </c>
      <c r="K72" s="53">
        <f t="shared" si="13"/>
        <v>8.2373975511350075E-2</v>
      </c>
      <c r="L72" s="53">
        <f t="shared" si="13"/>
        <v>6.9404047630434465E-2</v>
      </c>
      <c r="M72" s="53">
        <f t="shared" si="13"/>
        <v>8.5395868996570548E-2</v>
      </c>
      <c r="N72" s="53">
        <f t="shared" si="13"/>
        <v>9.7384096274918314E-2</v>
      </c>
      <c r="O72" s="53">
        <f t="shared" si="13"/>
        <v>0.10122236758402575</v>
      </c>
      <c r="P72" s="53">
        <f t="shared" si="13"/>
        <v>0.14245034896407183</v>
      </c>
      <c r="Q72" s="53">
        <f t="shared" si="13"/>
        <v>9.3404040749845485E-2</v>
      </c>
      <c r="R72" s="53">
        <f t="shared" si="13"/>
        <v>7.2786311939204443E-2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3F5864F4B06E04EA53C126AE6AFDD9E" ma:contentTypeVersion="56" ma:contentTypeDescription="" ma:contentTypeScope="" ma:versionID="a0346dc81d2a01391ef44ecceba217a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2019-05-31T07:00:00+00:00</OpenedDate>
    <SignificantOrder xmlns="dc463f71-b30c-4ab2-9473-d307f9d35888">false</SignificantOrder>
    <Date1 xmlns="dc463f71-b30c-4ab2-9473-d307f9d35888">2019-05-31T07:00:00+00:00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Rainier View Water Company, Inc.</CaseCompanyNames>
    <Nickname xmlns="http://schemas.microsoft.com/sharepoint/v3" xsi:nil="true"/>
    <DocketNumber xmlns="dc463f71-b30c-4ab2-9473-d307f9d35888">190447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D881748-E80B-4667-8BE0-C7358634E555}"/>
</file>

<file path=customXml/itemProps2.xml><?xml version="1.0" encoding="utf-8"?>
<ds:datastoreItem xmlns:ds="http://schemas.openxmlformats.org/officeDocument/2006/customXml" ds:itemID="{9C3ED638-FC06-4CAD-BD00-E0C51A7A2B08}"/>
</file>

<file path=customXml/itemProps3.xml><?xml version="1.0" encoding="utf-8"?>
<ds:datastoreItem xmlns:ds="http://schemas.openxmlformats.org/officeDocument/2006/customXml" ds:itemID="{4D2DA687-9070-49BD-A44E-6DF210872350}"/>
</file>

<file path=customXml/itemProps4.xml><?xml version="1.0" encoding="utf-8"?>
<ds:datastoreItem xmlns:ds="http://schemas.openxmlformats.org/officeDocument/2006/customXml" ds:itemID="{45759659-58A3-4B9B-AE2B-17993BAA74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Proposed Rate Summary</vt:lpstr>
      <vt:lpstr>CONSUMPTION</vt:lpstr>
      <vt:lpstr>BASE</vt:lpstr>
      <vt:lpstr>BILLED CONSUMPTION</vt:lpstr>
      <vt:lpstr>BILLED BASE</vt:lpstr>
      <vt:lpstr>TOTAL ACTUAL BILLING</vt:lpstr>
      <vt:lpstr>CONSUMPTION SUMMARY</vt:lpstr>
      <vt:lpstr>Model CONSUMPTION</vt:lpstr>
      <vt:lpstr>Model BILLABLE BASE</vt:lpstr>
      <vt:lpstr>Total Model BIlling</vt:lpstr>
      <vt:lpstr>Modeling &amp; Presentation</vt:lpstr>
      <vt:lpstr>'CONSUMPTION SUMMARY'!Print_Titles</vt:lpstr>
      <vt:lpstr>'Modeling &amp; Presentation'!Print_Titles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Haynes</dc:creator>
  <cp:lastModifiedBy>Richard Finnigan</cp:lastModifiedBy>
  <cp:lastPrinted>2018-01-23T17:29:05Z</cp:lastPrinted>
  <dcterms:created xsi:type="dcterms:W3CDTF">2011-06-30T21:01:53Z</dcterms:created>
  <dcterms:modified xsi:type="dcterms:W3CDTF">2019-05-24T16:42:19Z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0x0101006E56B4D1795A2E4DB2F0B01679ED314A0003F5864F4B06E04EA53C126AE6AFDD9E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