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9 Regulatory Filings\Energy Independence Act\EEI Report\Annual Emissions Calcs\"/>
    </mc:Choice>
  </mc:AlternateContent>
  <bookViews>
    <workbookView xWindow="0" yWindow="0" windowWidth="19020" windowHeight="8895"/>
  </bookViews>
  <sheets>
    <sheet name="Summary" sheetId="1" r:id="rId1"/>
    <sheet name="Known Resources" sheetId="4" r:id="rId2"/>
    <sheet name="Unknown Resources" sheetId="8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41" i="4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G50" i="8" s="1"/>
  <c r="F54" i="8"/>
  <c r="F55" i="8"/>
  <c r="F56" i="8"/>
  <c r="F57" i="8"/>
  <c r="F58" i="8"/>
  <c r="F59" i="8"/>
  <c r="F5" i="8"/>
  <c r="G31" i="8" l="1"/>
  <c r="G38" i="8"/>
  <c r="G22" i="8"/>
  <c r="G48" i="8"/>
  <c r="G13" i="8"/>
  <c r="G44" i="8"/>
  <c r="G41" i="8"/>
  <c r="F63" i="8"/>
  <c r="G39" i="8"/>
  <c r="G25" i="8"/>
  <c r="D8" i="4"/>
  <c r="D19" i="4"/>
  <c r="B19" i="4"/>
  <c r="B18" i="4"/>
  <c r="B17" i="4"/>
  <c r="B16" i="4"/>
  <c r="B15" i="4"/>
  <c r="B14" i="4"/>
  <c r="B13" i="4"/>
  <c r="B12" i="4"/>
  <c r="B11" i="4"/>
  <c r="B10" i="4"/>
  <c r="B9" i="4"/>
  <c r="C9" i="4" s="1"/>
  <c r="B8" i="4"/>
  <c r="C8" i="4" l="1"/>
  <c r="C19" i="4"/>
  <c r="B5" i="4"/>
  <c r="D5" i="4"/>
  <c r="B4" i="4"/>
  <c r="D4" i="4"/>
  <c r="C4" i="4" s="1"/>
  <c r="C5" i="4" l="1"/>
  <c r="B7" i="4"/>
  <c r="C7" i="4" s="1"/>
  <c r="B6" i="4"/>
  <c r="C6" i="4" s="1"/>
  <c r="D28" i="4" l="1"/>
  <c r="D29" i="4"/>
  <c r="D25" i="4"/>
  <c r="D26" i="4"/>
  <c r="D9" i="4" l="1"/>
  <c r="D6" i="4"/>
  <c r="D7" i="4"/>
  <c r="C13" i="4"/>
  <c r="C14" i="4"/>
  <c r="C15" i="4"/>
  <c r="C16" i="4"/>
  <c r="C17" i="4"/>
  <c r="C18" i="4"/>
  <c r="D10" i="4"/>
  <c r="B1" i="4" l="1"/>
  <c r="C2" i="4"/>
  <c r="B3" i="4"/>
  <c r="D20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D41" i="4" l="1"/>
  <c r="E18" i="1"/>
  <c r="E19" i="1"/>
  <c r="F3" i="8" l="1"/>
  <c r="F18" i="1"/>
  <c r="G51" i="8" l="1"/>
  <c r="G21" i="8"/>
  <c r="G58" i="8"/>
  <c r="G26" i="8"/>
  <c r="G45" i="8"/>
  <c r="G27" i="8"/>
  <c r="G43" i="8"/>
  <c r="G24" i="8"/>
  <c r="G5" i="8"/>
  <c r="G52" i="8"/>
  <c r="G8" i="8"/>
  <c r="G16" i="8"/>
  <c r="G32" i="8"/>
  <c r="G40" i="8"/>
  <c r="G56" i="8"/>
  <c r="G9" i="8"/>
  <c r="G17" i="8"/>
  <c r="G33" i="8"/>
  <c r="G49" i="8"/>
  <c r="G57" i="8"/>
  <c r="G29" i="8"/>
  <c r="G14" i="8"/>
  <c r="G7" i="8"/>
  <c r="G10" i="8"/>
  <c r="G18" i="8"/>
  <c r="G34" i="8"/>
  <c r="G42" i="8"/>
  <c r="G37" i="8"/>
  <c r="G53" i="8"/>
  <c r="G6" i="8"/>
  <c r="G55" i="8"/>
  <c r="G11" i="8"/>
  <c r="G19" i="8"/>
  <c r="G35" i="8"/>
  <c r="G59" i="8"/>
  <c r="G30" i="8"/>
  <c r="G54" i="8"/>
  <c r="G23" i="8"/>
  <c r="G12" i="8"/>
  <c r="G20" i="8"/>
  <c r="G28" i="8"/>
  <c r="G36" i="8"/>
  <c r="G46" i="8"/>
  <c r="G15" i="8"/>
  <c r="G47" i="8"/>
  <c r="G63" i="8" l="1"/>
  <c r="F19" i="1" s="1"/>
  <c r="F20" i="1" s="1"/>
  <c r="G20" i="1" s="1"/>
</calcChain>
</file>

<file path=xl/comments1.xml><?xml version="1.0" encoding="utf-8"?>
<comments xmlns="http://schemas.openxmlformats.org/spreadsheetml/2006/main">
  <authors>
    <author>kbb8737</author>
    <author>jyl3501</author>
    <author>kkb4463</author>
  </authors>
  <commentList>
    <comment ref="I8" authorId="0" shapeId="0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20" authorId="1" shapeId="0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BPA changed to an unknown resource per UTC request.</t>
        </r>
      </text>
    </comment>
    <comment ref="I21" authorId="2" shapeId="0">
      <text>
        <r>
          <rPr>
            <sz val="8"/>
            <color indexed="81"/>
            <rFont val="Tahoma"/>
            <family val="2"/>
          </rPr>
          <t xml:space="preserve">Avista Corp. FERC Financial Report, Form No. 1
</t>
        </r>
      </text>
    </comment>
    <comment ref="K21" authorId="2" shapeId="0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2" shapeId="0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2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0" shapeId="0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<sst xmlns="http://schemas.openxmlformats.org/spreadsheetml/2006/main" count="376" uniqueCount="237">
  <si>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</si>
  <si>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</si>
  <si>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</si>
  <si>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</si>
  <si>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</si>
  <si>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</si>
  <si>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</si>
  <si>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</si>
  <si>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</si>
  <si>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</si>
  <si>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</si>
  <si>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</si>
  <si>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</si>
  <si>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</si>
  <si>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</si>
  <si>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</si>
  <si>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</si>
  <si>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</si>
  <si>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</si>
  <si>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</si>
  <si>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</si>
  <si>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</si>
  <si>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</si>
  <si>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</si>
  <si>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</si>
  <si>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</si>
  <si>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</si>
  <si>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</si>
  <si>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</si>
  <si>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</si>
  <si>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</si>
  <si>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</si>
  <si>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</si>
  <si>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</si>
  <si>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</si>
  <si>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</si>
  <si>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</si>
  <si>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</si>
  <si>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</si>
  <si>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</si>
  <si>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</si>
  <si>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</si>
  <si>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</si>
  <si>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</si>
  <si>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</si>
  <si>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</si>
  <si>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</si>
  <si>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</si>
  <si>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</si>
  <si>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</si>
  <si>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Black Hills Power Inc.</t>
  </si>
  <si>
    <t>BP Energy Co.</t>
  </si>
  <si>
    <t>Citigroup Energy Inc.</t>
  </si>
  <si>
    <t>EDF Trading Ltd.</t>
  </si>
  <si>
    <t>Engy Authrty</t>
  </si>
  <si>
    <t>Exelon Generation Company</t>
  </si>
  <si>
    <t>Grant County Public Utility</t>
  </si>
  <si>
    <t>Idaho Power Co.</t>
  </si>
  <si>
    <t>Kootenai Electric Cooperative</t>
  </si>
  <si>
    <t>Macquarie Energy LLC</t>
  </si>
  <si>
    <t>Morgan Stanley Capital Group</t>
  </si>
  <si>
    <t>PacifiCorp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</si>
  <si>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</si>
  <si>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</si>
  <si>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</si>
  <si>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</si>
  <si>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</si>
  <si>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Rainbow Energy Marketing Corp</t>
  </si>
  <si>
    <t>Lancaster</t>
  </si>
  <si>
    <t>Seattle City Light</t>
  </si>
  <si>
    <t>SMUD</t>
  </si>
  <si>
    <t>Sovereign Power</t>
  </si>
  <si>
    <t>Tacoma Public Utilities</t>
  </si>
  <si>
    <t>Talen Energy Marketing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</si>
  <si>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</si>
  <si>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</si>
  <si>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</si>
  <si>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</si>
  <si>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</si>
  <si>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</si>
  <si>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</si>
  <si>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</si>
  <si>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</si>
  <si>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</si>
  <si>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</si>
  <si>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</si>
  <si>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</si>
  <si>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</si>
  <si>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Long Lake-Hydro</t>
  </si>
  <si>
    <t>Upper Falls-Hydro</t>
  </si>
  <si>
    <t>Cabinet Gorge-Hydro</t>
  </si>
  <si>
    <t>Noxon Rapids-Hydro</t>
  </si>
  <si>
    <t xml:space="preserve">Kettle Falls   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</si>
  <si>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</si>
  <si>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</si>
  <si>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</si>
  <si>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</si>
  <si>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</si>
  <si>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</si>
  <si>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</si>
  <si>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</si>
  <si>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</si>
  <si>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</si>
  <si>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</si>
  <si>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</si>
  <si>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</si>
  <si>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</si>
  <si>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</si>
  <si>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</si>
  <si>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</si>
  <si>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</si>
  <si>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</si>
  <si>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</si>
  <si>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</si>
  <si>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</si>
  <si>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</si>
  <si>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</si>
  <si>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</si>
  <si>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</si>
  <si>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</si>
  <si>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</si>
  <si>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</si>
  <si>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</si>
  <si>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</si>
  <si>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</si>
  <si>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</si>
  <si>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</si>
  <si>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</si>
  <si>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</si>
  <si>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</si>
  <si>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</si>
  <si>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</si>
  <si>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</si>
  <si>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</si>
  <si>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</si>
  <si>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</si>
  <si>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</si>
  <si>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</si>
  <si>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</si>
  <si>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</si>
  <si>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</si>
  <si>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 (Opererational Control)</t>
  </si>
  <si>
    <t>Bonneville Power Administration</t>
  </si>
  <si>
    <t>Palouse Wind Holdings (Wind PPA)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</si>
  <si>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</si>
  <si>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</si>
  <si>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</si>
  <si>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</si>
  <si>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</si>
  <si>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</si>
  <si>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</si>
  <si>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</si>
  <si>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</si>
  <si>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</si>
  <si>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</si>
  <si>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</si>
  <si>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</si>
  <si>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</si>
  <si>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</si>
  <si>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</si>
  <si>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</si>
  <si>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</si>
  <si>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</si>
  <si>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</si>
  <si>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</si>
  <si>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</si>
  <si>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</si>
  <si>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Bonneville Power Admin</t>
  </si>
  <si>
    <t>Brookfield Energy Marketing</t>
  </si>
  <si>
    <t>EDF Trading North America LLC</t>
  </si>
  <si>
    <t>Eugene City of</t>
  </si>
  <si>
    <t>Inland Power &amp; Light Co.</t>
  </si>
  <si>
    <t>NorthWestern Corp.</t>
  </si>
  <si>
    <t>Portland General Electric Co.</t>
  </si>
  <si>
    <t>Public Service Co. of CO</t>
  </si>
  <si>
    <t>Puget Sound Energy Inc.</t>
  </si>
  <si>
    <t>Sierra Pacific Power Co.</t>
  </si>
  <si>
    <t>Turlock Irrigation District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</si>
  <si>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</si>
  <si>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</si>
  <si>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</si>
  <si>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</si>
  <si>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Washington Department of Commerce Fuel Mix Report =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</si>
  <si>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</si>
  <si>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Avista =</t>
  </si>
  <si>
    <t>Net Purchase</t>
  </si>
  <si>
    <t>Lbs CO2 from Purchases</t>
  </si>
  <si>
    <t>Calpine Energy Services, L.P.</t>
  </si>
  <si>
    <t>ConocoPhillips Co.</t>
  </si>
  <si>
    <t>Rainbow Energy Marketing Co.</t>
  </si>
  <si>
    <t>CO2 emissions in kg</t>
  </si>
  <si>
    <t xml:space="preserve">CO2 emissions in metric tons </t>
  </si>
  <si>
    <t xml:space="preserve">Kettle Falls Boiler </t>
  </si>
  <si>
    <t xml:space="preserve"> </t>
  </si>
  <si>
    <t>British Columbia Hydro and Power Author</t>
  </si>
  <si>
    <t>Direct Energy Business Mkt</t>
  </si>
  <si>
    <t>Tenaska Power Services Co.</t>
  </si>
  <si>
    <t>Kettle Falls CT (Natural Gas)</t>
  </si>
  <si>
    <t>Chelan County PUD No. 1 (Hydro - 5% share of Rocky Reach and Rock Island Dams)</t>
  </si>
  <si>
    <t>Grant County Public Utility (3.7% share of Priest Rapids and Wanapum Dams)</t>
  </si>
  <si>
    <t>Hydro Technology Systems (PURPA Hydro)</t>
  </si>
  <si>
    <t>Jim White (PURPA Hydro)</t>
  </si>
  <si>
    <t>Phillips Ranch (PURPA Hydro)</t>
  </si>
  <si>
    <t>Sheep Creek Hydro (PURPA Hydro)</t>
  </si>
  <si>
    <t>Spokane City of (Upriver Hydro Project)</t>
  </si>
  <si>
    <t>PUD of Douglas County (3.3% share of Wells Dam)</t>
  </si>
  <si>
    <t>PUD No 1 of Pend Oreille Cnty (Box Canyon and Boundary Dams)</t>
  </si>
  <si>
    <t>PUD No 1 of Pend Oreille Cnty (Box Canyon and Boundary Dam)</t>
  </si>
  <si>
    <t>Community Solar (Boulder Park Solar)</t>
  </si>
  <si>
    <t>Deep Creek Energy, LLC (PURPA Hydro)</t>
  </si>
  <si>
    <t>Avangrid Renewables LLC</t>
  </si>
  <si>
    <t>CA Indepdnt System Operator Co</t>
  </si>
  <si>
    <t>Clatskanie Peoples Utility Dis</t>
  </si>
  <si>
    <t>Clearwater Power Company</t>
  </si>
  <si>
    <t>Energy Keepers Inc.</t>
  </si>
  <si>
    <t>Gridforce Energy Management LLC</t>
  </si>
  <si>
    <t>Idaho Cnty Light &amp; Power Coop</t>
  </si>
  <si>
    <t>Idaho Power Company Balancing</t>
  </si>
  <si>
    <t>Nevada Power Co.</t>
  </si>
  <si>
    <t>NextEra Energy Power Mrkg LLC</t>
  </si>
  <si>
    <t>PUD No. 1 of Chelan County</t>
  </si>
  <si>
    <t>Shell Energy North Am (US) LP</t>
  </si>
  <si>
    <t>Spokane City of</t>
  </si>
  <si>
    <t>TransAlta Energy Mrkg (US) Inc</t>
  </si>
  <si>
    <t>Vitol Inc.</t>
  </si>
  <si>
    <t>Little Falls-Hydro</t>
  </si>
  <si>
    <t xml:space="preserve">2018 Data </t>
  </si>
  <si>
    <t>MWh</t>
  </si>
  <si>
    <t>MW</t>
  </si>
  <si>
    <t>Type</t>
  </si>
  <si>
    <t>Adams-Neilson Solar</t>
  </si>
  <si>
    <t>NaturEner Power Watch LLC</t>
  </si>
  <si>
    <t>PNGC Power Inc.</t>
  </si>
  <si>
    <t>Talen Energy Montana LLC</t>
  </si>
  <si>
    <t>The City of Cove (PURPA Hydro)</t>
  </si>
  <si>
    <t>Clark Fork Hydro (PURPA Hydro)</t>
  </si>
  <si>
    <t>Spokane County (Sewer Plant Digester)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</si>
</sst>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4" formatCode="###,##0.000;\(###,##0.000\)"/>
    <numFmt numFmtId="175" formatCode="#,##0;[Red]\(#,##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Protection="0">
      <alignment horizontal="center"/>
    </xf>
    <xf numFmtId="0" fontId="24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</cellStyleXfs>
  <cellXfs count="171">
    <xf numFmtId="0" fontId="0" fillId="0" borderId="0" xfId="0"/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8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8" xfId="1" applyNumberFormat="1" applyFont="1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2" fontId="0" fillId="5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2" fontId="0" fillId="5" borderId="35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5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2" fontId="18" fillId="6" borderId="0" xfId="0" applyNumberFormat="1" applyFont="1" applyFill="1" applyBorder="1" applyAlignment="1" applyProtection="1">
      <alignment horizontal="center" vertical="center"/>
      <protection locked="0"/>
    </xf>
    <xf numFmtId="4" fontId="19" fillId="6" borderId="2" xfId="0" applyNumberFormat="1" applyFont="1" applyFill="1" applyBorder="1" applyAlignment="1" applyProtection="1">
      <alignment horizontal="center" vertical="center"/>
      <protection locked="0"/>
    </xf>
    <xf numFmtId="2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2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2" fontId="20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43" fontId="0" fillId="12" borderId="0" xfId="0" applyNumberFormat="1" applyFill="1"/>
    <xf numFmtId="9" fontId="29" fillId="5" borderId="2" xfId="2" applyFont="1" applyFill="1" applyBorder="1" applyAlignment="1" applyProtection="1">
      <alignment horizontal="center" vertical="center" wrapText="1"/>
      <protection locked="0"/>
    </xf>
    <xf numFmtId="2" fontId="29" fillId="5" borderId="2" xfId="2" applyNumberFormat="1" applyFont="1" applyFill="1" applyBorder="1" applyAlignment="1" applyProtection="1">
      <alignment horizontal="center" vertical="center" wrapText="1"/>
      <protection locked="0"/>
    </xf>
    <xf numFmtId="9" fontId="29" fillId="8" borderId="2" xfId="2" applyFont="1" applyFill="1" applyBorder="1" applyAlignment="1" applyProtection="1">
      <alignment horizontal="center" vertical="center"/>
      <protection locked="0"/>
    </xf>
    <xf numFmtId="0" fontId="30" fillId="0" borderId="0" xfId="4" applyFont="1" applyAlignment="1">
      <alignment horizontal="left"/>
    </xf>
    <xf numFmtId="168" fontId="0" fillId="0" borderId="0" xfId="0" applyNumberFormat="1"/>
    <xf numFmtId="174" fontId="11" fillId="0" borderId="0" xfId="4" applyNumberFormat="1" applyAlignment="1">
      <alignment horizontal="righ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1" fillId="0" borderId="0" xfId="0" applyFont="1"/>
    <xf numFmtId="0" fontId="2" fillId="0" borderId="0" xfId="0" applyFont="1"/>
    <xf numFmtId="0" fontId="11" fillId="0" borderId="0" xfId="4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0" fontId="0" fillId="0" borderId="0" xfId="0"/>
    <xf numFmtId="0" fontId="0" fillId="0" borderId="0" xfId="0" applyNumberFormat="1" applyAlignment="1">
      <alignment horizontal="left" vertical="top" wrapText="1"/>
    </xf>
    <xf numFmtId="175" fontId="0" fillId="0" borderId="0" xfId="0" applyNumberFormat="1" applyAlignment="1">
      <alignment horizontal="right" vertical="top" wrapText="1"/>
    </xf>
    <xf numFmtId="175" fontId="0" fillId="0" borderId="0" xfId="0" applyNumberFormat="1"/>
    <xf numFmtId="11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43" fontId="0" fillId="0" borderId="0" xfId="1" applyFont="1"/>
    <xf numFmtId="1" fontId="0" fillId="0" borderId="0" xfId="0" applyNumberFormat="1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  <xf numFmtId="3" fontId="11" fillId="0" borderId="0" xfId="4" applyNumberFormat="1" applyAlignment="1">
      <alignment horizontal="right" vertical="top" wrapText="1"/>
    </xf>
  </cellXfs>
  <cellStyles count="23">
    <cellStyle name="Comma" xfId="1" builtinId="3"/>
    <cellStyle name="HeadlineStyle" xfId="20"/>
    <cellStyle name="HeadlineStyleJustified" xfId="21"/>
    <cellStyle name="Normal" xfId="0" builtinId="0"/>
    <cellStyle name="Normal 2" xfId="4"/>
    <cellStyle name="Percent" xfId="2" builtinId="5"/>
    <cellStyle name="Style 21" xfId="5"/>
    <cellStyle name="Style 22" xfId="3"/>
    <cellStyle name="Style 23" xfId="6"/>
    <cellStyle name="Style 24" xfId="7"/>
    <cellStyle name="Style 25" xfId="8"/>
    <cellStyle name="Style 26" xfId="9"/>
    <cellStyle name="Style 27" xfId="10"/>
    <cellStyle name="Style 28" xfId="11"/>
    <cellStyle name="Style 29" xfId="12"/>
    <cellStyle name="Style 30" xfId="13"/>
    <cellStyle name="Style 31" xfId="14"/>
    <cellStyle name="Style 32" xfId="15"/>
    <cellStyle name="Style 33" xfId="16"/>
    <cellStyle name="Style 34" xfId="17"/>
    <cellStyle name="Style 35" xfId="18"/>
    <cellStyle name="Style 36" xfId="19"/>
    <cellStyle name="Style 3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22</xdr:row>
      <xdr:rowOff>0</xdr:rowOff>
    </xdr:from>
    <xdr:to>
      <xdr:col>6</xdr:col>
      <xdr:colOff>533400</xdr:colOff>
      <xdr:row>23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D19" sqref="D19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7109375" bestFit="1" customWidth="1"/>
    <col min="10" max="10" width="11.5703125" bestFit="1" customWidth="1"/>
    <col min="11" max="12" width="13.28515625" bestFit="1" customWidth="1"/>
  </cols>
  <sheetData>
    <row r="1" spans="1:11" ht="18.75" x14ac:dyDescent="0.3">
      <c r="A1" s="5" t="s">
        <v>7</v>
      </c>
    </row>
    <row r="2" spans="1:11" ht="15.75" thickBot="1" x14ac:dyDescent="0.3"/>
    <row r="3" spans="1:11" x14ac:dyDescent="0.25">
      <c r="A3" s="57"/>
      <c r="B3" s="58" t="s">
        <v>11</v>
      </c>
      <c r="C3" s="59" t="s">
        <v>19</v>
      </c>
      <c r="D3" s="64"/>
      <c r="E3" s="62"/>
    </row>
    <row r="4" spans="1:11" x14ac:dyDescent="0.25">
      <c r="A4" s="2" t="s">
        <v>12</v>
      </c>
      <c r="B4" s="163"/>
      <c r="C4" s="34">
        <v>2018</v>
      </c>
      <c r="D4" s="67" t="s">
        <v>34</v>
      </c>
      <c r="E4" s="63"/>
    </row>
    <row r="5" spans="1:11" ht="15.75" thickBot="1" x14ac:dyDescent="0.3">
      <c r="A5" s="164" t="s">
        <v>17</v>
      </c>
      <c r="B5" s="165"/>
      <c r="C5" s="60">
        <v>553661</v>
      </c>
      <c r="D5" s="61">
        <f>+D13/C5</f>
        <v>10.170169110701314</v>
      </c>
    </row>
    <row r="6" spans="1:11" x14ac:dyDescent="0.25">
      <c r="A6" s="7"/>
      <c r="B6" s="7"/>
      <c r="C6" s="18"/>
      <c r="E6" s="17"/>
    </row>
    <row r="7" spans="1:11" ht="19.5" thickBot="1" x14ac:dyDescent="0.35">
      <c r="A7" s="7"/>
      <c r="B7" s="55" t="s">
        <v>31</v>
      </c>
      <c r="C7" s="18"/>
      <c r="E7" s="17"/>
    </row>
    <row r="8" spans="1:11" x14ac:dyDescent="0.25">
      <c r="A8" s="37"/>
      <c r="B8" s="38"/>
      <c r="C8" s="38"/>
      <c r="D8" s="38"/>
      <c r="E8" s="38"/>
      <c r="F8" s="39" t="s">
        <v>16</v>
      </c>
      <c r="G8" s="50" t="s">
        <v>35</v>
      </c>
    </row>
    <row r="9" spans="1:11" x14ac:dyDescent="0.25">
      <c r="A9" s="40"/>
      <c r="B9" s="13"/>
      <c r="C9" s="13"/>
      <c r="D9" s="15" t="s">
        <v>10</v>
      </c>
      <c r="E9" s="27" t="s">
        <v>24</v>
      </c>
      <c r="F9" s="20" t="s">
        <v>30</v>
      </c>
      <c r="G9" s="51" t="s">
        <v>16</v>
      </c>
      <c r="I9" s="159"/>
      <c r="J9" s="159"/>
      <c r="K9" s="159"/>
    </row>
    <row r="10" spans="1:11" x14ac:dyDescent="0.25">
      <c r="A10" s="2" t="s">
        <v>8</v>
      </c>
      <c r="B10" s="1"/>
      <c r="C10" s="163"/>
      <c r="D10" s="65">
        <v>2466246</v>
      </c>
      <c r="E10" s="14">
        <f>+D10/D13</f>
        <v>0.43799009239497011</v>
      </c>
      <c r="F10" s="36">
        <v>226305</v>
      </c>
      <c r="G10" s="52">
        <f>+D10/F10</f>
        <v>10.897885596871479</v>
      </c>
      <c r="I10" s="159"/>
      <c r="J10" s="159"/>
      <c r="K10" s="159"/>
    </row>
    <row r="11" spans="1:11" x14ac:dyDescent="0.25">
      <c r="A11" s="2" t="s">
        <v>13</v>
      </c>
      <c r="B11" s="1"/>
      <c r="C11" s="163"/>
      <c r="D11" s="65">
        <v>2172293</v>
      </c>
      <c r="E11" s="14">
        <f>+D11/D13</f>
        <v>0.38578585095685786</v>
      </c>
      <c r="F11" s="29">
        <v>24995</v>
      </c>
      <c r="G11" s="52">
        <f>+D11/F11</f>
        <v>86.909101820364072</v>
      </c>
    </row>
    <row r="12" spans="1:11" x14ac:dyDescent="0.25">
      <c r="A12" s="2" t="s">
        <v>14</v>
      </c>
      <c r="B12" s="1"/>
      <c r="C12" s="163"/>
      <c r="D12" s="65">
        <v>992287</v>
      </c>
      <c r="E12" s="14">
        <f>+D12/D13</f>
        <v>0.17622405664817203</v>
      </c>
      <c r="F12" s="7"/>
      <c r="G12" s="41"/>
    </row>
    <row r="13" spans="1:11" ht="15.75" thickBot="1" x14ac:dyDescent="0.3">
      <c r="A13" s="42"/>
      <c r="B13" s="166" t="s">
        <v>9</v>
      </c>
      <c r="C13" s="165"/>
      <c r="D13" s="66">
        <f>SUM(D10:D12)</f>
        <v>5630826</v>
      </c>
      <c r="E13" s="43"/>
      <c r="F13" s="44"/>
      <c r="G13" s="45"/>
      <c r="I13" s="160"/>
    </row>
    <row r="15" spans="1:11" ht="19.5" thickBot="1" x14ac:dyDescent="0.35">
      <c r="B15" s="56" t="s">
        <v>32</v>
      </c>
    </row>
    <row r="16" spans="1:11" x14ac:dyDescent="0.25">
      <c r="A16" s="37"/>
      <c r="B16" s="38"/>
      <c r="C16" s="38"/>
      <c r="D16" s="38"/>
      <c r="E16" s="39" t="s">
        <v>25</v>
      </c>
      <c r="F16" s="46" t="s">
        <v>3</v>
      </c>
      <c r="G16" s="47"/>
    </row>
    <row r="17" spans="1:9" ht="18" x14ac:dyDescent="0.35">
      <c r="A17" s="48"/>
      <c r="B17" s="7"/>
      <c r="C17" s="7"/>
      <c r="D17" s="27" t="s">
        <v>15</v>
      </c>
      <c r="E17" s="20" t="s">
        <v>26</v>
      </c>
      <c r="F17" s="16" t="s">
        <v>5</v>
      </c>
      <c r="G17" s="41"/>
    </row>
    <row r="18" spans="1:9" ht="15.75" thickBot="1" x14ac:dyDescent="0.3">
      <c r="A18" s="2" t="s">
        <v>28</v>
      </c>
      <c r="B18" s="1"/>
      <c r="C18" s="163"/>
      <c r="D18" s="8">
        <f>+'Known Resources'!B41*0.65</f>
        <v>7060255.9296750007</v>
      </c>
      <c r="E18" s="14">
        <f>+D18/(D18+D19)</f>
        <v>1.156598591624072</v>
      </c>
      <c r="F18" s="8">
        <f>+'Known Resources'!D41*0.65</f>
        <v>1940689.853278504</v>
      </c>
      <c r="G18" s="41"/>
      <c r="I18" s="144"/>
    </row>
    <row r="19" spans="1:9" ht="18" x14ac:dyDescent="0.35">
      <c r="A19" s="2" t="s">
        <v>29</v>
      </c>
      <c r="B19" s="1"/>
      <c r="C19" s="163"/>
      <c r="D19" s="53">
        <f>'Unknown Resources'!F63*0.65</f>
        <v>-955929</v>
      </c>
      <c r="E19" s="54">
        <f>+D19/(D18+D19)</f>
        <v>-0.15659859162407189</v>
      </c>
      <c r="F19" s="69">
        <f>+'Unknown Resources'!G63*0.65</f>
        <v>-250970.59924838037</v>
      </c>
      <c r="G19" s="71" t="s">
        <v>33</v>
      </c>
    </row>
    <row r="20" spans="1:9" ht="18.75" thickBot="1" x14ac:dyDescent="0.4">
      <c r="A20" s="42"/>
      <c r="B20" s="44"/>
      <c r="C20" s="44"/>
      <c r="D20" s="68">
        <f>+C4</f>
        <v>2018</v>
      </c>
      <c r="E20" s="49" t="s">
        <v>2</v>
      </c>
      <c r="F20" s="70">
        <f>SUM(F18:F19)</f>
        <v>1689719.2540301236</v>
      </c>
      <c r="G20" s="72">
        <f>+F20/G22</f>
        <v>1.4927415564638264</v>
      </c>
    </row>
    <row r="21" spans="1:9" ht="18" x14ac:dyDescent="0.35">
      <c r="A21" t="s">
        <v>144</v>
      </c>
    </row>
    <row r="22" spans="1:9" ht="18" x14ac:dyDescent="0.35">
      <c r="F22" s="19" t="s">
        <v>23</v>
      </c>
      <c r="G22" s="29">
        <v>1131957</v>
      </c>
      <c r="H22" s="26"/>
    </row>
    <row r="24" spans="1:9" x14ac:dyDescent="0.25">
      <c r="B24" s="26" t="s">
        <v>18</v>
      </c>
      <c r="F24" s="21"/>
      <c r="G24" s="21"/>
    </row>
    <row r="25" spans="1:9" x14ac:dyDescent="0.25">
      <c r="E25" s="21"/>
      <c r="F25" s="21"/>
      <c r="G25" s="24" t="s">
        <v>22</v>
      </c>
    </row>
    <row r="26" spans="1:9" ht="18" x14ac:dyDescent="0.35">
      <c r="E26" s="21"/>
      <c r="F26" s="21"/>
      <c r="G26" s="25" t="s">
        <v>1</v>
      </c>
    </row>
    <row r="27" spans="1:9" x14ac:dyDescent="0.25">
      <c r="E27" s="21"/>
      <c r="F27" s="22" t="s">
        <v>19</v>
      </c>
      <c r="G27" s="23">
        <v>1131957</v>
      </c>
    </row>
    <row r="28" spans="1:9" x14ac:dyDescent="0.25">
      <c r="E28" s="21"/>
      <c r="F28" s="22" t="s">
        <v>20</v>
      </c>
      <c r="G28" s="23">
        <v>2399078</v>
      </c>
    </row>
    <row r="29" spans="1:9" x14ac:dyDescent="0.25">
      <c r="E29" s="21"/>
      <c r="F29" s="22" t="s">
        <v>21</v>
      </c>
      <c r="G29" s="23">
        <v>6946064</v>
      </c>
    </row>
  </sheetData>
  <mergeCells count="8">
    <mergeCell ref="A18:C18"/>
    <mergeCell ref="A19:C19"/>
    <mergeCell ref="A4:B4"/>
    <mergeCell ref="A5:B5"/>
    <mergeCell ref="A10:C10"/>
    <mergeCell ref="A11:C11"/>
    <mergeCell ref="A12:C12"/>
    <mergeCell ref="B13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1"/>
  <sheetViews>
    <sheetView workbookViewId="0">
      <selection activeCell="D41" sqref="D41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  <col min="14" max="14" width="12.7109375" bestFit="1" customWidth="1"/>
    <col min="18" max="18" width="16" bestFit="1" customWidth="1"/>
    <col min="19" max="19" width="13.28515625" bestFit="1" customWidth="1"/>
    <col min="20" max="20" width="19.28515625" bestFit="1" customWidth="1"/>
  </cols>
  <sheetData>
    <row r="1" spans="1:32" ht="18.75" x14ac:dyDescent="0.3">
      <c r="A1" s="5" t="s">
        <v>6</v>
      </c>
      <c r="B1" s="33">
        <f>+Summary!C4</f>
        <v>2018</v>
      </c>
    </row>
    <row r="2" spans="1:32" ht="18.75" x14ac:dyDescent="0.3">
      <c r="A2" s="5"/>
      <c r="B2" s="9" t="s">
        <v>27</v>
      </c>
      <c r="C2" s="9">
        <f>+Summary!C4</f>
        <v>2018</v>
      </c>
      <c r="D2" s="9" t="s">
        <v>3</v>
      </c>
      <c r="F2" s="76" t="s">
        <v>226</v>
      </c>
      <c r="G2" s="77" t="s">
        <v>228</v>
      </c>
      <c r="H2" s="76" t="s">
        <v>229</v>
      </c>
      <c r="I2" s="78" t="s">
        <v>227</v>
      </c>
    </row>
    <row r="3" spans="1:32" ht="19.5" x14ac:dyDescent="0.35">
      <c r="A3" s="6" t="s">
        <v>0</v>
      </c>
      <c r="B3" s="10">
        <f>+Summary!C4</f>
        <v>2018</v>
      </c>
      <c r="C3" s="10" t="s">
        <v>4</v>
      </c>
      <c r="D3" s="10" t="s">
        <v>5</v>
      </c>
      <c r="E3" s="4"/>
      <c r="F3" s="76" t="s">
        <v>74</v>
      </c>
      <c r="G3" s="77">
        <v>233.4</v>
      </c>
      <c r="H3" s="76" t="s">
        <v>75</v>
      </c>
      <c r="I3" s="78">
        <v>1389037</v>
      </c>
      <c r="K3" s="152" t="s">
        <v>145</v>
      </c>
      <c r="L3" s="152" t="s">
        <v>146</v>
      </c>
      <c r="M3" s="152" t="s">
        <v>147</v>
      </c>
      <c r="N3" s="152" t="s">
        <v>148</v>
      </c>
      <c r="O3" s="152" t="s">
        <v>149</v>
      </c>
      <c r="P3" s="152" t="s">
        <v>150</v>
      </c>
      <c r="Q3" s="152" t="s">
        <v>151</v>
      </c>
      <c r="R3" s="152" t="s">
        <v>178</v>
      </c>
      <c r="S3" s="152" t="s">
        <v>152</v>
      </c>
      <c r="T3" s="152" t="s">
        <v>153</v>
      </c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</row>
    <row r="4" spans="1:32" x14ac:dyDescent="0.25">
      <c r="A4" s="28" t="s">
        <v>36</v>
      </c>
      <c r="B4" s="29">
        <f>0.15*(R7+R8)</f>
        <v>1549885.5795000002</v>
      </c>
      <c r="C4" s="136">
        <f>(D4*2000)/B4</f>
        <v>2034.2101244771272</v>
      </c>
      <c r="D4" s="8">
        <f>0.15*(S7+S8)</f>
        <v>1576396.4687999999</v>
      </c>
      <c r="F4" s="76" t="s">
        <v>76</v>
      </c>
      <c r="G4" s="77">
        <v>166.5</v>
      </c>
      <c r="H4" s="76" t="s">
        <v>77</v>
      </c>
      <c r="I4" s="78">
        <v>145074</v>
      </c>
      <c r="K4" s="152" t="s">
        <v>154</v>
      </c>
      <c r="L4" s="152" t="s">
        <v>155</v>
      </c>
      <c r="M4" s="152">
        <v>7456</v>
      </c>
      <c r="N4" s="152">
        <v>1</v>
      </c>
      <c r="O4" s="152"/>
      <c r="P4" s="152">
        <v>2018</v>
      </c>
      <c r="Q4" s="152" t="s">
        <v>156</v>
      </c>
      <c r="R4" s="152">
        <v>65783.570000000007</v>
      </c>
      <c r="S4" s="152">
        <v>39721.135000000002</v>
      </c>
      <c r="T4" s="152">
        <v>668395.51</v>
      </c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</row>
    <row r="5" spans="1:32" x14ac:dyDescent="0.25">
      <c r="A5" s="30" t="s">
        <v>37</v>
      </c>
      <c r="B5" s="29">
        <f>R4+R5</f>
        <v>145112.35</v>
      </c>
      <c r="C5" s="136">
        <f>(D5*2000)/B5</f>
        <v>1198.1814090944015</v>
      </c>
      <c r="D5" s="8">
        <f>S4+S5</f>
        <v>86935.459999999992</v>
      </c>
      <c r="F5" s="76" t="s">
        <v>78</v>
      </c>
      <c r="G5" s="77">
        <v>61.8</v>
      </c>
      <c r="H5" s="76" t="s">
        <v>77</v>
      </c>
      <c r="I5" s="78">
        <v>1515</v>
      </c>
      <c r="K5" s="152" t="s">
        <v>154</v>
      </c>
      <c r="L5" s="152" t="s">
        <v>155</v>
      </c>
      <c r="M5" s="152">
        <v>7456</v>
      </c>
      <c r="N5" s="152">
        <v>2</v>
      </c>
      <c r="O5" s="152"/>
      <c r="P5" s="152">
        <v>2018</v>
      </c>
      <c r="Q5" s="152" t="s">
        <v>156</v>
      </c>
      <c r="R5" s="152">
        <v>79328.78</v>
      </c>
      <c r="S5" s="152">
        <v>47214.324999999997</v>
      </c>
      <c r="T5" s="152">
        <v>794449.87600000005</v>
      </c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</row>
    <row r="6" spans="1:32" x14ac:dyDescent="0.25">
      <c r="A6" s="30" t="s">
        <v>38</v>
      </c>
      <c r="B6" s="29">
        <f t="shared" ref="B6:B7" si="0">I5</f>
        <v>1515</v>
      </c>
      <c r="C6" s="136">
        <f>(U28*2204.62262)/B6</f>
        <v>1434.5995867245704</v>
      </c>
      <c r="D6" s="8">
        <f t="shared" ref="D6:D10" si="1">(+B6*C6)/2000</f>
        <v>1086.7091869438621</v>
      </c>
      <c r="F6" s="76" t="s">
        <v>79</v>
      </c>
      <c r="G6" s="77">
        <v>24.6</v>
      </c>
      <c r="H6" s="76" t="s">
        <v>77</v>
      </c>
      <c r="I6" s="78">
        <v>47931</v>
      </c>
      <c r="K6" s="152" t="s">
        <v>154</v>
      </c>
      <c r="L6" s="152" t="s">
        <v>157</v>
      </c>
      <c r="M6" s="152">
        <v>55179</v>
      </c>
      <c r="N6" s="152" t="s">
        <v>158</v>
      </c>
      <c r="O6" s="152"/>
      <c r="P6" s="152">
        <v>2018</v>
      </c>
      <c r="Q6" s="152" t="s">
        <v>156</v>
      </c>
      <c r="R6" s="152">
        <v>1618239.11</v>
      </c>
      <c r="S6" s="152">
        <v>668953.33900000004</v>
      </c>
      <c r="T6" s="156">
        <v>11300000</v>
      </c>
      <c r="V6" s="152"/>
      <c r="W6" s="152"/>
      <c r="X6" s="152"/>
      <c r="Y6" s="152"/>
      <c r="Z6" s="152"/>
      <c r="AA6" s="152"/>
      <c r="AB6" s="152"/>
      <c r="AC6" s="152"/>
      <c r="AD6" s="152"/>
      <c r="AE6" s="156"/>
      <c r="AF6" s="152"/>
    </row>
    <row r="7" spans="1:32" x14ac:dyDescent="0.25">
      <c r="A7" s="30" t="s">
        <v>39</v>
      </c>
      <c r="B7" s="29">
        <f t="shared" si="0"/>
        <v>47931</v>
      </c>
      <c r="C7" s="136">
        <f>(U29*2204.62262)/B7</f>
        <v>1073.5489994941004</v>
      </c>
      <c r="D7" s="8">
        <f t="shared" si="1"/>
        <v>25728.13854737586</v>
      </c>
      <c r="F7" s="76" t="s">
        <v>80</v>
      </c>
      <c r="G7" s="77">
        <v>295</v>
      </c>
      <c r="H7" s="76" t="s">
        <v>77</v>
      </c>
      <c r="I7" s="78">
        <v>1495191</v>
      </c>
      <c r="K7" s="152" t="s">
        <v>159</v>
      </c>
      <c r="L7" s="152" t="s">
        <v>160</v>
      </c>
      <c r="M7" s="152">
        <v>6076</v>
      </c>
      <c r="N7" s="152">
        <v>3</v>
      </c>
      <c r="O7" s="152"/>
      <c r="P7" s="152">
        <v>2018</v>
      </c>
      <c r="Q7" s="152" t="s">
        <v>156</v>
      </c>
      <c r="R7" s="152">
        <v>5341894.33</v>
      </c>
      <c r="S7" s="152">
        <v>5541603.4440000001</v>
      </c>
      <c r="T7" s="156">
        <v>52800000</v>
      </c>
      <c r="V7" s="152"/>
      <c r="W7" s="152"/>
      <c r="X7" s="152"/>
      <c r="Y7" s="152"/>
      <c r="Z7" s="152"/>
      <c r="AA7" s="152"/>
      <c r="AB7" s="152"/>
      <c r="AC7" s="152"/>
      <c r="AD7" s="152"/>
      <c r="AE7" s="156"/>
      <c r="AF7" s="156"/>
    </row>
    <row r="8" spans="1:32" x14ac:dyDescent="0.25">
      <c r="A8" s="30" t="s">
        <v>40</v>
      </c>
      <c r="B8" s="29">
        <f>R9</f>
        <v>1514792.16</v>
      </c>
      <c r="C8" s="136">
        <f>(D8*2000)/B8</f>
        <v>819.79901189876773</v>
      </c>
      <c r="D8" s="8">
        <f>S9</f>
        <v>620912.55799999996</v>
      </c>
      <c r="F8" s="76" t="s">
        <v>81</v>
      </c>
      <c r="G8" s="77">
        <v>7.2</v>
      </c>
      <c r="H8" s="76" t="s">
        <v>77</v>
      </c>
      <c r="I8" s="79">
        <v>8118</v>
      </c>
      <c r="K8" s="152" t="s">
        <v>159</v>
      </c>
      <c r="L8" s="152" t="s">
        <v>160</v>
      </c>
      <c r="M8" s="152">
        <v>6076</v>
      </c>
      <c r="N8" s="152">
        <v>4</v>
      </c>
      <c r="O8" s="152"/>
      <c r="P8" s="152">
        <v>2018</v>
      </c>
      <c r="Q8" s="152" t="s">
        <v>156</v>
      </c>
      <c r="R8" s="152">
        <v>4990676.2</v>
      </c>
      <c r="S8" s="152">
        <v>4967706.3480000002</v>
      </c>
      <c r="T8" s="156">
        <v>47400000</v>
      </c>
      <c r="V8" s="152"/>
      <c r="W8" s="152"/>
      <c r="X8" s="152"/>
      <c r="Y8" s="152"/>
      <c r="Z8" s="152"/>
      <c r="AA8" s="152"/>
      <c r="AB8" s="152"/>
      <c r="AC8" s="152"/>
      <c r="AD8" s="152"/>
      <c r="AE8" s="156"/>
      <c r="AF8" s="156"/>
    </row>
    <row r="9" spans="1:32" x14ac:dyDescent="0.25">
      <c r="A9" s="30" t="s">
        <v>197</v>
      </c>
      <c r="B9" s="29">
        <f t="shared" ref="B9:B18" si="2">I8</f>
        <v>8118</v>
      </c>
      <c r="C9" s="136">
        <f>(U31*2204.62262)/B9</f>
        <v>1395.4234582963752</v>
      </c>
      <c r="D9" s="8">
        <f t="shared" si="1"/>
        <v>5664.0238172249865</v>
      </c>
      <c r="F9" s="76" t="s">
        <v>82</v>
      </c>
      <c r="G9" s="80">
        <v>50.7</v>
      </c>
      <c r="H9" s="76" t="s">
        <v>83</v>
      </c>
      <c r="I9" s="78">
        <v>336936</v>
      </c>
      <c r="K9" s="152" t="s">
        <v>161</v>
      </c>
      <c r="L9" s="152" t="s">
        <v>162</v>
      </c>
      <c r="M9" s="152">
        <v>7350</v>
      </c>
      <c r="N9" s="152" t="s">
        <v>163</v>
      </c>
      <c r="O9" s="152"/>
      <c r="P9" s="152">
        <v>2018</v>
      </c>
      <c r="Q9" s="152" t="s">
        <v>156</v>
      </c>
      <c r="R9" s="152">
        <v>1514792.16</v>
      </c>
      <c r="S9" s="152">
        <v>620912.55799999996</v>
      </c>
      <c r="T9" s="156">
        <v>10400000</v>
      </c>
      <c r="V9" s="152"/>
      <c r="W9" s="152"/>
      <c r="X9" s="152"/>
      <c r="Y9" s="152"/>
      <c r="Z9" s="152"/>
      <c r="AA9" s="152"/>
      <c r="AB9" s="152"/>
      <c r="AC9" s="152"/>
      <c r="AD9" s="152"/>
      <c r="AE9" s="156"/>
      <c r="AF9" s="156"/>
    </row>
    <row r="10" spans="1:32" x14ac:dyDescent="0.25">
      <c r="A10" s="30" t="s">
        <v>92</v>
      </c>
      <c r="B10" s="29">
        <f t="shared" si="2"/>
        <v>336936</v>
      </c>
      <c r="C10" s="136">
        <v>0</v>
      </c>
      <c r="D10" s="8">
        <f t="shared" si="1"/>
        <v>0</v>
      </c>
      <c r="F10" s="76" t="s">
        <v>84</v>
      </c>
      <c r="G10" s="77">
        <v>14.8</v>
      </c>
      <c r="H10" s="76" t="s">
        <v>85</v>
      </c>
      <c r="I10" s="78">
        <v>81033</v>
      </c>
      <c r="W10" s="158"/>
      <c r="AF10" s="156"/>
    </row>
    <row r="11" spans="1:32" x14ac:dyDescent="0.25">
      <c r="A11" s="30" t="s">
        <v>42</v>
      </c>
      <c r="B11" s="29">
        <f t="shared" si="2"/>
        <v>81033</v>
      </c>
      <c r="C11" s="136">
        <v>0</v>
      </c>
      <c r="D11" s="8">
        <f t="shared" ref="D11:D40" si="3">(+B11*C11)/2000</f>
        <v>0</v>
      </c>
      <c r="F11" s="76" t="s">
        <v>86</v>
      </c>
      <c r="G11" s="77">
        <v>14.8</v>
      </c>
      <c r="H11" s="76" t="s">
        <v>85</v>
      </c>
      <c r="I11" s="78">
        <v>72493</v>
      </c>
      <c r="W11" s="158"/>
      <c r="AF11" s="152"/>
    </row>
    <row r="12" spans="1:32" x14ac:dyDescent="0.25">
      <c r="A12" s="30" t="s">
        <v>43</v>
      </c>
      <c r="B12" s="29">
        <f t="shared" si="2"/>
        <v>72493</v>
      </c>
      <c r="C12" s="136">
        <v>0</v>
      </c>
      <c r="D12" s="8">
        <f t="shared" si="3"/>
        <v>0</v>
      </c>
      <c r="F12" s="76" t="s">
        <v>87</v>
      </c>
      <c r="G12" s="77">
        <v>37.6</v>
      </c>
      <c r="H12" s="76" t="s">
        <v>85</v>
      </c>
      <c r="I12" s="78">
        <v>143308</v>
      </c>
      <c r="W12" s="158"/>
      <c r="AF12" s="156"/>
    </row>
    <row r="13" spans="1:32" x14ac:dyDescent="0.25">
      <c r="A13" s="30" t="s">
        <v>44</v>
      </c>
      <c r="B13" s="29">
        <f t="shared" si="2"/>
        <v>143308</v>
      </c>
      <c r="C13" s="136">
        <f>(V17*2204.62262)/B13</f>
        <v>0</v>
      </c>
      <c r="D13" s="8">
        <f t="shared" si="3"/>
        <v>0</v>
      </c>
      <c r="F13" s="76" t="s">
        <v>225</v>
      </c>
      <c r="G13" s="77">
        <v>40.4</v>
      </c>
      <c r="H13" s="76" t="s">
        <v>85</v>
      </c>
      <c r="I13" s="78">
        <v>166423</v>
      </c>
      <c r="W13" s="158"/>
    </row>
    <row r="14" spans="1:32" x14ac:dyDescent="0.25">
      <c r="A14" s="30" t="s">
        <v>45</v>
      </c>
      <c r="B14" s="29">
        <f t="shared" si="2"/>
        <v>166423</v>
      </c>
      <c r="C14" s="136">
        <f>(V18*2204.62262)/B14</f>
        <v>0</v>
      </c>
      <c r="D14" s="8">
        <f t="shared" si="3"/>
        <v>0</v>
      </c>
      <c r="F14" s="76" t="s">
        <v>88</v>
      </c>
      <c r="G14" s="77">
        <v>70</v>
      </c>
      <c r="H14" s="76" t="s">
        <v>85</v>
      </c>
      <c r="I14" s="78">
        <v>505089</v>
      </c>
      <c r="W14" s="158"/>
    </row>
    <row r="15" spans="1:32" x14ac:dyDescent="0.25">
      <c r="A15" s="30" t="s">
        <v>46</v>
      </c>
      <c r="B15" s="29">
        <f t="shared" si="2"/>
        <v>505089</v>
      </c>
      <c r="C15" s="136">
        <f>(V19*2204.62262)/B15</f>
        <v>0</v>
      </c>
      <c r="D15" s="8">
        <f t="shared" si="3"/>
        <v>0</v>
      </c>
      <c r="F15" s="76" t="s">
        <v>89</v>
      </c>
      <c r="G15" s="77">
        <v>10</v>
      </c>
      <c r="H15" s="76" t="s">
        <v>85</v>
      </c>
      <c r="I15" s="78">
        <v>61161</v>
      </c>
    </row>
    <row r="16" spans="1:32" x14ac:dyDescent="0.25">
      <c r="A16" s="30" t="s">
        <v>47</v>
      </c>
      <c r="B16" s="29">
        <f t="shared" si="2"/>
        <v>61161</v>
      </c>
      <c r="C16" s="136">
        <f>(V20*2204.62262)/B16</f>
        <v>0</v>
      </c>
      <c r="D16" s="8">
        <f t="shared" si="3"/>
        <v>0</v>
      </c>
      <c r="F16" s="76" t="s">
        <v>90</v>
      </c>
      <c r="G16" s="77">
        <v>265</v>
      </c>
      <c r="H16" s="76" t="s">
        <v>85</v>
      </c>
      <c r="I16" s="78">
        <v>1159246</v>
      </c>
    </row>
    <row r="17" spans="1:21" x14ac:dyDescent="0.25">
      <c r="A17" s="30" t="s">
        <v>48</v>
      </c>
      <c r="B17" s="29">
        <f t="shared" si="2"/>
        <v>1159246</v>
      </c>
      <c r="C17" s="136">
        <f>(V21*2204.62262)/B17</f>
        <v>0</v>
      </c>
      <c r="D17" s="8">
        <f t="shared" si="3"/>
        <v>0</v>
      </c>
      <c r="F17" s="76" t="s">
        <v>91</v>
      </c>
      <c r="G17" s="77">
        <v>487.8</v>
      </c>
      <c r="H17" s="76" t="s">
        <v>85</v>
      </c>
      <c r="I17" s="78">
        <v>1840622</v>
      </c>
    </row>
    <row r="18" spans="1:21" x14ac:dyDescent="0.25">
      <c r="A18" s="30" t="s">
        <v>49</v>
      </c>
      <c r="B18" s="29">
        <f t="shared" si="2"/>
        <v>1840622</v>
      </c>
      <c r="C18" s="136">
        <f>(V22*2204.62262)/B18</f>
        <v>0</v>
      </c>
      <c r="D18" s="8">
        <f t="shared" si="3"/>
        <v>0</v>
      </c>
    </row>
    <row r="19" spans="1:21" x14ac:dyDescent="0.25">
      <c r="A19" s="30" t="s">
        <v>68</v>
      </c>
      <c r="B19" s="29">
        <f>R6</f>
        <v>1618239.11</v>
      </c>
      <c r="C19" s="136">
        <f>(D19*2000)/B19</f>
        <v>826.76698995366633</v>
      </c>
      <c r="D19" s="8">
        <f>S6</f>
        <v>668953.33900000004</v>
      </c>
    </row>
    <row r="20" spans="1:21" ht="15.75" x14ac:dyDescent="0.25">
      <c r="A20" s="30" t="s">
        <v>142</v>
      </c>
      <c r="B20" s="29"/>
      <c r="C20" s="29">
        <v>0</v>
      </c>
      <c r="D20" s="8">
        <f t="shared" si="3"/>
        <v>0</v>
      </c>
      <c r="F20" s="83">
        <v>2018</v>
      </c>
      <c r="G20" s="82"/>
      <c r="H20" s="84"/>
      <c r="I20" s="85" t="s">
        <v>93</v>
      </c>
      <c r="J20" s="85" t="s">
        <v>94</v>
      </c>
      <c r="K20" s="86" t="s">
        <v>95</v>
      </c>
      <c r="L20" s="87" t="s">
        <v>96</v>
      </c>
      <c r="M20" s="86" t="s">
        <v>97</v>
      </c>
      <c r="N20" s="86" t="s">
        <v>98</v>
      </c>
      <c r="O20" s="86" t="s">
        <v>99</v>
      </c>
      <c r="P20" s="87" t="s">
        <v>100</v>
      </c>
      <c r="Q20" s="87" t="s">
        <v>101</v>
      </c>
      <c r="R20" s="88" t="s">
        <v>102</v>
      </c>
      <c r="S20" s="88" t="s">
        <v>103</v>
      </c>
      <c r="T20" s="88" t="s">
        <v>104</v>
      </c>
      <c r="U20" s="89" t="s">
        <v>105</v>
      </c>
    </row>
    <row r="21" spans="1:21" ht="75" x14ac:dyDescent="0.25">
      <c r="A21" s="29" t="s">
        <v>230</v>
      </c>
      <c r="B21" s="29">
        <v>1614</v>
      </c>
      <c r="C21" s="29">
        <v>0</v>
      </c>
      <c r="D21" s="8">
        <f t="shared" si="3"/>
        <v>0</v>
      </c>
      <c r="F21" s="90"/>
      <c r="G21" s="91"/>
      <c r="H21" s="92"/>
      <c r="I21" s="93" t="s">
        <v>106</v>
      </c>
      <c r="J21" s="93" t="s">
        <v>107</v>
      </c>
      <c r="K21" s="93" t="s">
        <v>108</v>
      </c>
      <c r="L21" s="93" t="s">
        <v>109</v>
      </c>
      <c r="M21" s="93" t="s">
        <v>110</v>
      </c>
      <c r="N21" s="93" t="s">
        <v>111</v>
      </c>
      <c r="O21" s="93" t="s">
        <v>112</v>
      </c>
      <c r="P21" s="94" t="s">
        <v>113</v>
      </c>
      <c r="Q21" s="94" t="s">
        <v>114</v>
      </c>
      <c r="R21" s="94" t="s">
        <v>115</v>
      </c>
      <c r="S21" s="94" t="s">
        <v>116</v>
      </c>
      <c r="T21" s="94" t="s">
        <v>190</v>
      </c>
      <c r="U21" s="95" t="s">
        <v>191</v>
      </c>
    </row>
    <row r="22" spans="1:21" ht="30" x14ac:dyDescent="0.25">
      <c r="A22" s="29" t="s">
        <v>198</v>
      </c>
      <c r="B22" s="29">
        <v>469979</v>
      </c>
      <c r="C22" s="29">
        <v>0</v>
      </c>
      <c r="D22" s="8">
        <f t="shared" si="3"/>
        <v>0</v>
      </c>
      <c r="F22" s="81"/>
      <c r="G22" s="96"/>
      <c r="H22" s="84"/>
      <c r="I22" s="97"/>
      <c r="J22" s="97"/>
      <c r="K22" s="97"/>
      <c r="L22" s="97"/>
      <c r="M22" s="98" t="s">
        <v>117</v>
      </c>
      <c r="N22" s="98" t="s">
        <v>118</v>
      </c>
      <c r="O22" s="98"/>
      <c r="P22" s="99"/>
      <c r="Q22" s="99"/>
      <c r="R22" s="100"/>
      <c r="S22" s="100"/>
      <c r="T22" s="95" t="s">
        <v>119</v>
      </c>
      <c r="U22" s="101" t="s">
        <v>120</v>
      </c>
    </row>
    <row r="23" spans="1:21" ht="34.5" customHeight="1" x14ac:dyDescent="0.25">
      <c r="A23" s="29" t="s">
        <v>180</v>
      </c>
      <c r="B23" s="29">
        <v>4231</v>
      </c>
      <c r="C23" s="29">
        <v>0</v>
      </c>
      <c r="D23" s="8">
        <f t="shared" si="3"/>
        <v>0</v>
      </c>
      <c r="F23" s="102" t="s">
        <v>121</v>
      </c>
      <c r="G23" s="103" t="s">
        <v>77</v>
      </c>
      <c r="H23" s="104">
        <v>0.5</v>
      </c>
      <c r="I23" s="105">
        <v>1000</v>
      </c>
      <c r="J23" s="106" t="s">
        <v>122</v>
      </c>
      <c r="K23" s="107">
        <v>5.0999999999999997E-2</v>
      </c>
      <c r="L23" s="108" t="s">
        <v>123</v>
      </c>
      <c r="M23" s="106" t="s">
        <v>124</v>
      </c>
      <c r="N23" s="105">
        <v>51</v>
      </c>
      <c r="O23" s="109" t="s">
        <v>125</v>
      </c>
      <c r="P23" s="110">
        <v>14</v>
      </c>
      <c r="Q23" s="106" t="s">
        <v>126</v>
      </c>
      <c r="R23" s="138">
        <v>1</v>
      </c>
      <c r="S23" s="139">
        <v>1</v>
      </c>
      <c r="T23" s="111">
        <v>2618.0000000000023</v>
      </c>
      <c r="U23" s="112">
        <v>2.6180000000000021</v>
      </c>
    </row>
    <row r="24" spans="1:21" x14ac:dyDescent="0.25">
      <c r="A24" s="29" t="s">
        <v>199</v>
      </c>
      <c r="B24" s="29">
        <v>356915</v>
      </c>
      <c r="C24" s="29">
        <v>0</v>
      </c>
      <c r="D24" s="8">
        <f t="shared" si="3"/>
        <v>0</v>
      </c>
      <c r="F24" s="113" t="s">
        <v>127</v>
      </c>
      <c r="G24" s="114" t="s">
        <v>128</v>
      </c>
      <c r="H24" s="114" t="s">
        <v>129</v>
      </c>
      <c r="I24" s="115"/>
      <c r="J24" s="116"/>
      <c r="K24" s="116"/>
      <c r="L24" s="116"/>
      <c r="M24" s="116"/>
      <c r="N24" s="116"/>
      <c r="O24" s="116"/>
      <c r="P24" s="117"/>
      <c r="Q24" s="118"/>
      <c r="R24" s="119"/>
      <c r="S24" s="119"/>
      <c r="T24" s="119"/>
      <c r="U24" s="116"/>
    </row>
    <row r="25" spans="1:21" ht="30" x14ac:dyDescent="0.25">
      <c r="A25" s="29" t="s">
        <v>200</v>
      </c>
      <c r="B25" s="29">
        <v>10736</v>
      </c>
      <c r="C25" s="29">
        <v>0</v>
      </c>
      <c r="D25" s="8">
        <f t="shared" si="3"/>
        <v>0</v>
      </c>
      <c r="F25" s="120" t="s">
        <v>36</v>
      </c>
      <c r="G25" s="120" t="s">
        <v>75</v>
      </c>
      <c r="H25" s="140">
        <v>0.15</v>
      </c>
      <c r="I25" s="121">
        <v>887609</v>
      </c>
      <c r="J25" s="122" t="s">
        <v>130</v>
      </c>
      <c r="K25" s="123">
        <v>17.024999999999999</v>
      </c>
      <c r="L25" s="122" t="s">
        <v>131</v>
      </c>
      <c r="M25" s="122" t="s">
        <v>124</v>
      </c>
      <c r="N25" s="124">
        <v>15111543.225</v>
      </c>
      <c r="O25" s="125" t="s">
        <v>132</v>
      </c>
      <c r="P25" s="126">
        <v>93.4</v>
      </c>
      <c r="Q25" s="125" t="s">
        <v>133</v>
      </c>
      <c r="R25" s="127">
        <v>0.98</v>
      </c>
      <c r="S25" s="128">
        <v>1</v>
      </c>
      <c r="T25" s="129">
        <v>1383189774.4707</v>
      </c>
      <c r="U25" s="129">
        <v>1383189.7744707</v>
      </c>
    </row>
    <row r="26" spans="1:21" ht="25.5" x14ac:dyDescent="0.25">
      <c r="A26" s="29" t="s">
        <v>201</v>
      </c>
      <c r="B26" s="29">
        <v>1234</v>
      </c>
      <c r="C26" s="29">
        <v>0</v>
      </c>
      <c r="D26" s="8">
        <f t="shared" si="3"/>
        <v>0</v>
      </c>
      <c r="F26" s="120" t="s">
        <v>36</v>
      </c>
      <c r="G26" s="120" t="s">
        <v>134</v>
      </c>
      <c r="H26" s="130">
        <v>0.15</v>
      </c>
      <c r="I26" s="121">
        <v>2601</v>
      </c>
      <c r="J26" s="122" t="s">
        <v>135</v>
      </c>
      <c r="K26" s="126">
        <v>5.88</v>
      </c>
      <c r="L26" s="131" t="s">
        <v>136</v>
      </c>
      <c r="M26" s="122" t="s">
        <v>124</v>
      </c>
      <c r="N26" s="124">
        <v>15293.88</v>
      </c>
      <c r="O26" s="125" t="s">
        <v>132</v>
      </c>
      <c r="P26" s="126">
        <v>73.959999999999994</v>
      </c>
      <c r="Q26" s="125" t="s">
        <v>133</v>
      </c>
      <c r="R26" s="127">
        <v>0.99</v>
      </c>
      <c r="S26" s="128">
        <v>1</v>
      </c>
      <c r="T26" s="129">
        <v>1119824.0111519999</v>
      </c>
      <c r="U26" s="129">
        <v>1119.8240111519999</v>
      </c>
    </row>
    <row r="27" spans="1:21" x14ac:dyDescent="0.25">
      <c r="A27" s="29" t="s">
        <v>143</v>
      </c>
      <c r="B27" s="29">
        <v>327172</v>
      </c>
      <c r="C27" s="29">
        <v>0</v>
      </c>
      <c r="D27" s="8">
        <f t="shared" si="3"/>
        <v>0</v>
      </c>
      <c r="F27" s="120" t="s">
        <v>137</v>
      </c>
      <c r="G27" s="120" t="s">
        <v>77</v>
      </c>
      <c r="H27" s="130">
        <v>1</v>
      </c>
      <c r="I27" s="126">
        <v>1723.02</v>
      </c>
      <c r="J27" s="122" t="s">
        <v>138</v>
      </c>
      <c r="K27" s="132">
        <v>1026</v>
      </c>
      <c r="L27" s="122" t="s">
        <v>139</v>
      </c>
      <c r="M27" s="122" t="s">
        <v>124</v>
      </c>
      <c r="N27" s="124">
        <v>1767818.52</v>
      </c>
      <c r="O27" s="125" t="s">
        <v>132</v>
      </c>
      <c r="P27" s="126">
        <v>53.06</v>
      </c>
      <c r="Q27" s="125" t="s">
        <v>133</v>
      </c>
      <c r="R27" s="127">
        <v>0.995</v>
      </c>
      <c r="S27" s="128">
        <v>1</v>
      </c>
      <c r="T27" s="129">
        <v>93331448.417844012</v>
      </c>
      <c r="U27" s="129">
        <v>93331.448417844018</v>
      </c>
    </row>
    <row r="28" spans="1:21" x14ac:dyDescent="0.25">
      <c r="A28" s="29" t="s">
        <v>202</v>
      </c>
      <c r="B28" s="29">
        <v>56</v>
      </c>
      <c r="C28" s="29">
        <v>0</v>
      </c>
      <c r="D28" s="8">
        <f t="shared" si="3"/>
        <v>0</v>
      </c>
      <c r="F28" s="120" t="s">
        <v>140</v>
      </c>
      <c r="G28" s="120" t="s">
        <v>77</v>
      </c>
      <c r="H28" s="130">
        <v>1</v>
      </c>
      <c r="I28" s="126">
        <v>18.2</v>
      </c>
      <c r="J28" s="122" t="s">
        <v>138</v>
      </c>
      <c r="K28" s="132">
        <v>1026</v>
      </c>
      <c r="L28" s="122" t="s">
        <v>139</v>
      </c>
      <c r="M28" s="122" t="s">
        <v>124</v>
      </c>
      <c r="N28" s="124">
        <v>18673.2</v>
      </c>
      <c r="O28" s="125" t="s">
        <v>132</v>
      </c>
      <c r="P28" s="126">
        <v>53.06</v>
      </c>
      <c r="Q28" s="125" t="s">
        <v>133</v>
      </c>
      <c r="R28" s="127">
        <v>0.995</v>
      </c>
      <c r="S28" s="128">
        <v>1</v>
      </c>
      <c r="T28" s="129">
        <v>985845.99204000004</v>
      </c>
      <c r="U28" s="129">
        <v>985.84599204000006</v>
      </c>
    </row>
    <row r="29" spans="1:21" ht="29.25" customHeight="1" x14ac:dyDescent="0.25">
      <c r="A29" s="29" t="s">
        <v>205</v>
      </c>
      <c r="B29" s="29">
        <v>194662</v>
      </c>
      <c r="C29" s="29">
        <v>0</v>
      </c>
      <c r="D29" s="8">
        <f t="shared" si="3"/>
        <v>0</v>
      </c>
      <c r="F29" s="120" t="s">
        <v>39</v>
      </c>
      <c r="G29" s="120" t="s">
        <v>77</v>
      </c>
      <c r="H29" s="130">
        <v>1</v>
      </c>
      <c r="I29" s="126">
        <v>430.89</v>
      </c>
      <c r="J29" s="122" t="s">
        <v>138</v>
      </c>
      <c r="K29" s="132">
        <v>1026</v>
      </c>
      <c r="L29" s="122" t="s">
        <v>139</v>
      </c>
      <c r="M29" s="122" t="s">
        <v>124</v>
      </c>
      <c r="N29" s="124">
        <v>442093.14</v>
      </c>
      <c r="O29" s="125" t="s">
        <v>132</v>
      </c>
      <c r="P29" s="126">
        <v>53.06</v>
      </c>
      <c r="Q29" s="125" t="s">
        <v>133</v>
      </c>
      <c r="R29" s="127">
        <v>0.995</v>
      </c>
      <c r="S29" s="128">
        <v>1</v>
      </c>
      <c r="T29" s="129">
        <v>23340174.698357999</v>
      </c>
      <c r="U29" s="129">
        <v>23340.174698357998</v>
      </c>
    </row>
    <row r="30" spans="1:21" ht="27" customHeight="1" x14ac:dyDescent="0.25">
      <c r="A30" s="29" t="s">
        <v>206</v>
      </c>
      <c r="B30" s="29">
        <v>17297</v>
      </c>
      <c r="C30" s="29">
        <v>0</v>
      </c>
      <c r="D30" s="8">
        <f t="shared" si="3"/>
        <v>0</v>
      </c>
      <c r="F30" s="120" t="s">
        <v>40</v>
      </c>
      <c r="G30" s="120" t="s">
        <v>77</v>
      </c>
      <c r="H30" s="130">
        <v>1</v>
      </c>
      <c r="I30" s="126">
        <v>10007.459999999999</v>
      </c>
      <c r="J30" s="122" t="s">
        <v>138</v>
      </c>
      <c r="K30" s="132">
        <v>1026</v>
      </c>
      <c r="L30" s="122" t="s">
        <v>139</v>
      </c>
      <c r="M30" s="122" t="s">
        <v>124</v>
      </c>
      <c r="N30" s="124">
        <v>10267653.959999999</v>
      </c>
      <c r="O30" s="125" t="s">
        <v>132</v>
      </c>
      <c r="P30" s="126">
        <v>53.06</v>
      </c>
      <c r="Q30" s="125" t="s">
        <v>133</v>
      </c>
      <c r="R30" s="127">
        <v>0.995</v>
      </c>
      <c r="S30" s="128">
        <v>1</v>
      </c>
      <c r="T30" s="129">
        <v>542077710.522012</v>
      </c>
      <c r="U30" s="129">
        <v>542077.71052201197</v>
      </c>
    </row>
    <row r="31" spans="1:21" x14ac:dyDescent="0.25">
      <c r="A31" s="29" t="s">
        <v>207</v>
      </c>
      <c r="B31" s="29">
        <v>131826</v>
      </c>
      <c r="C31" s="29">
        <v>0</v>
      </c>
      <c r="D31" s="8">
        <f t="shared" si="3"/>
        <v>0</v>
      </c>
      <c r="F31" s="120" t="s">
        <v>41</v>
      </c>
      <c r="G31" s="120" t="s">
        <v>77</v>
      </c>
      <c r="H31" s="130">
        <v>1</v>
      </c>
      <c r="I31" s="126">
        <v>94.86</v>
      </c>
      <c r="J31" s="122" t="s">
        <v>138</v>
      </c>
      <c r="K31" s="132">
        <v>1026</v>
      </c>
      <c r="L31" s="122" t="s">
        <v>139</v>
      </c>
      <c r="M31" s="122" t="s">
        <v>124</v>
      </c>
      <c r="N31" s="124">
        <v>97326.36</v>
      </c>
      <c r="O31" s="125" t="s">
        <v>132</v>
      </c>
      <c r="P31" s="126">
        <v>53.06</v>
      </c>
      <c r="Q31" s="125" t="s">
        <v>133</v>
      </c>
      <c r="R31" s="127">
        <v>0.995</v>
      </c>
      <c r="S31" s="128">
        <v>1</v>
      </c>
      <c r="T31" s="129">
        <v>5138315.9782920005</v>
      </c>
      <c r="U31" s="129">
        <v>5138.3159782920002</v>
      </c>
    </row>
    <row r="32" spans="1:21" x14ac:dyDescent="0.25">
      <c r="A32" s="29" t="s">
        <v>203</v>
      </c>
      <c r="B32" s="29">
        <v>6419</v>
      </c>
      <c r="C32" s="29">
        <v>0</v>
      </c>
      <c r="D32" s="8">
        <f t="shared" si="3"/>
        <v>0</v>
      </c>
      <c r="F32" s="120" t="s">
        <v>192</v>
      </c>
      <c r="G32" s="133" t="s">
        <v>77</v>
      </c>
      <c r="H32" s="130">
        <v>1</v>
      </c>
      <c r="I32" s="126">
        <v>3.68</v>
      </c>
      <c r="J32" s="122" t="s">
        <v>138</v>
      </c>
      <c r="K32" s="132">
        <v>1026</v>
      </c>
      <c r="L32" s="122" t="s">
        <v>139</v>
      </c>
      <c r="M32" s="122" t="s">
        <v>124</v>
      </c>
      <c r="N32" s="124">
        <v>3775.6800000000003</v>
      </c>
      <c r="O32" s="125" t="s">
        <v>132</v>
      </c>
      <c r="P32" s="126">
        <v>53.06</v>
      </c>
      <c r="Q32" s="125" t="s">
        <v>133</v>
      </c>
      <c r="R32" s="127">
        <v>0.995</v>
      </c>
      <c r="S32" s="128">
        <v>1</v>
      </c>
      <c r="T32" s="129">
        <v>199335.89289600003</v>
      </c>
      <c r="U32" s="129">
        <v>199.33589289600005</v>
      </c>
    </row>
    <row r="33" spans="1:21" x14ac:dyDescent="0.25">
      <c r="A33" s="29" t="s">
        <v>204</v>
      </c>
      <c r="B33" s="29">
        <v>51563</v>
      </c>
      <c r="C33" s="29"/>
      <c r="D33" s="8">
        <f t="shared" si="3"/>
        <v>0</v>
      </c>
      <c r="F33" s="134"/>
      <c r="G33" s="135"/>
      <c r="H33" s="130">
        <v>1</v>
      </c>
      <c r="I33" s="126"/>
      <c r="J33" s="122"/>
      <c r="K33" s="132" t="s">
        <v>193</v>
      </c>
      <c r="L33" s="122" t="s">
        <v>193</v>
      </c>
      <c r="M33" s="122" t="s">
        <v>193</v>
      </c>
      <c r="N33" s="124" t="s">
        <v>193</v>
      </c>
      <c r="O33" s="125" t="s">
        <v>193</v>
      </c>
      <c r="P33" s="126" t="s">
        <v>193</v>
      </c>
      <c r="Q33" s="125" t="s">
        <v>193</v>
      </c>
      <c r="R33" s="127" t="s">
        <v>193</v>
      </c>
      <c r="S33" s="128" t="s">
        <v>193</v>
      </c>
      <c r="T33" s="129" t="s">
        <v>193</v>
      </c>
      <c r="U33" s="129" t="s">
        <v>193</v>
      </c>
    </row>
    <row r="34" spans="1:21" x14ac:dyDescent="0.25">
      <c r="A34" s="29" t="s">
        <v>236</v>
      </c>
      <c r="B34" s="29">
        <v>1250</v>
      </c>
      <c r="C34" s="29"/>
      <c r="D34" s="8">
        <f t="shared" si="3"/>
        <v>0</v>
      </c>
      <c r="F34" s="134" t="s">
        <v>141</v>
      </c>
      <c r="G34" s="135" t="s">
        <v>77</v>
      </c>
      <c r="H34" s="130">
        <v>1</v>
      </c>
      <c r="I34" s="126"/>
      <c r="J34" s="122" t="s">
        <v>138</v>
      </c>
      <c r="K34" s="132">
        <v>1026</v>
      </c>
      <c r="L34" s="122" t="s">
        <v>139</v>
      </c>
      <c r="M34" s="122" t="s">
        <v>124</v>
      </c>
      <c r="N34" s="124">
        <v>11256502</v>
      </c>
      <c r="O34" s="125" t="s">
        <v>132</v>
      </c>
      <c r="P34" s="126">
        <v>53.06</v>
      </c>
      <c r="Q34" s="125" t="s">
        <v>133</v>
      </c>
      <c r="R34" s="127">
        <v>0.995</v>
      </c>
      <c r="S34" s="128">
        <v>1</v>
      </c>
      <c r="T34" s="129">
        <v>594283646.13940001</v>
      </c>
      <c r="U34" s="129">
        <v>594283.64613939996</v>
      </c>
    </row>
    <row r="35" spans="1:21" x14ac:dyDescent="0.25">
      <c r="A35" s="29" t="s">
        <v>179</v>
      </c>
      <c r="B35" s="29">
        <v>33180</v>
      </c>
      <c r="C35" s="29"/>
      <c r="D35" s="8">
        <f t="shared" si="3"/>
        <v>0</v>
      </c>
    </row>
    <row r="36" spans="1:21" x14ac:dyDescent="0.25">
      <c r="A36" s="29" t="s">
        <v>208</v>
      </c>
      <c r="B36" s="29">
        <v>538</v>
      </c>
      <c r="C36" s="29"/>
      <c r="D36" s="8">
        <f t="shared" si="3"/>
        <v>0</v>
      </c>
    </row>
    <row r="37" spans="1:21" x14ac:dyDescent="0.25">
      <c r="A37" s="29" t="s">
        <v>209</v>
      </c>
      <c r="B37" s="29">
        <v>163</v>
      </c>
      <c r="C37" s="29"/>
      <c r="D37" s="8">
        <f t="shared" si="3"/>
        <v>0</v>
      </c>
      <c r="F37" s="73"/>
      <c r="G37" s="73"/>
      <c r="H37" s="74"/>
      <c r="I37" s="143"/>
      <c r="J37" s="143"/>
      <c r="K37" s="75"/>
      <c r="L37" s="142"/>
    </row>
    <row r="38" spans="1:21" x14ac:dyDescent="0.25">
      <c r="A38" s="30" t="s">
        <v>234</v>
      </c>
      <c r="B38" s="29">
        <v>151</v>
      </c>
      <c r="C38" s="29"/>
      <c r="D38" s="8">
        <f t="shared" si="3"/>
        <v>0</v>
      </c>
      <c r="F38" s="73"/>
      <c r="G38" s="73"/>
      <c r="H38" s="74"/>
      <c r="I38" s="143"/>
      <c r="J38" s="143"/>
      <c r="K38" s="75"/>
    </row>
    <row r="39" spans="1:21" x14ac:dyDescent="0.25">
      <c r="A39" s="30" t="s">
        <v>235</v>
      </c>
      <c r="B39" s="29">
        <v>1042</v>
      </c>
      <c r="C39" s="29"/>
      <c r="D39" s="8">
        <f t="shared" si="3"/>
        <v>0</v>
      </c>
      <c r="F39" s="73"/>
      <c r="G39" s="73"/>
      <c r="H39" s="74"/>
      <c r="I39" s="143"/>
      <c r="J39" s="143"/>
      <c r="K39" s="75"/>
    </row>
    <row r="40" spans="1:21" ht="15.75" thickBot="1" x14ac:dyDescent="0.3">
      <c r="A40" s="31"/>
      <c r="B40" s="32"/>
      <c r="C40" s="32"/>
      <c r="D40" s="11">
        <f t="shared" si="3"/>
        <v>0</v>
      </c>
      <c r="F40" s="73"/>
      <c r="G40" s="73"/>
      <c r="H40" s="74"/>
      <c r="I40" s="143"/>
      <c r="J40" s="143"/>
      <c r="K40" s="75"/>
    </row>
    <row r="41" spans="1:21" ht="16.5" thickTop="1" thickBot="1" x14ac:dyDescent="0.3">
      <c r="A41" s="3"/>
      <c r="B41" s="12">
        <f>SUM(B4:B40)</f>
        <v>10861932.1995</v>
      </c>
      <c r="C41" s="137">
        <f>(D41*2000)/B41</f>
        <v>549.75056785734353</v>
      </c>
      <c r="D41" s="12">
        <f>SUM(D4:D40)</f>
        <v>2985676.6973515446</v>
      </c>
    </row>
    <row r="44" spans="1:21" x14ac:dyDescent="0.25">
      <c r="A44" s="161"/>
      <c r="B44" s="162"/>
    </row>
    <row r="45" spans="1:21" x14ac:dyDescent="0.25">
      <c r="A45" s="161"/>
      <c r="B45" s="170"/>
      <c r="C45" s="74"/>
      <c r="D45" s="75"/>
    </row>
    <row r="46" spans="1:21" x14ac:dyDescent="0.25">
      <c r="A46" s="161"/>
      <c r="B46" s="170"/>
      <c r="C46" s="74"/>
      <c r="D46" s="75"/>
    </row>
    <row r="47" spans="1:21" x14ac:dyDescent="0.25">
      <c r="A47" s="161"/>
      <c r="B47" s="170"/>
    </row>
    <row r="48" spans="1:21" x14ac:dyDescent="0.25">
      <c r="A48" s="161"/>
      <c r="B48" s="170"/>
    </row>
    <row r="49" spans="1:2" x14ac:dyDescent="0.25">
      <c r="A49" s="161"/>
      <c r="B49" s="170"/>
    </row>
    <row r="50" spans="1:2" x14ac:dyDescent="0.25">
      <c r="A50" s="161"/>
      <c r="B50" s="170"/>
    </row>
    <row r="51" spans="1:2" x14ac:dyDescent="0.25">
      <c r="A51" s="161"/>
      <c r="B51" s="170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activeCell="F3" sqref="F3"/>
    </sheetView>
  </sheetViews>
  <sheetFormatPr defaultRowHeight="15" customHeight="1" x14ac:dyDescent="0.25"/>
  <cols>
    <col min="1" max="1" width="25.5703125" customWidth="1"/>
    <col min="2" max="2" width="10.7109375" bestFit="1" customWidth="1"/>
    <col min="4" max="4" width="22.28515625" customWidth="1"/>
    <col min="5" max="5" width="12.5703125" bestFit="1" customWidth="1"/>
    <col min="6" max="6" width="10.5703125" bestFit="1" customWidth="1"/>
    <col min="7" max="7" width="16" bestFit="1" customWidth="1"/>
  </cols>
  <sheetData>
    <row r="1" spans="1:10" s="152" customFormat="1" ht="15" customHeight="1" thickBot="1" x14ac:dyDescent="0.3">
      <c r="A1" s="147" t="s">
        <v>181</v>
      </c>
      <c r="B1" s="148">
        <v>2018</v>
      </c>
      <c r="G1" s="167"/>
      <c r="H1" s="167"/>
      <c r="I1" s="167"/>
      <c r="J1" s="167"/>
    </row>
    <row r="2" spans="1:10" s="152" customFormat="1" ht="15" customHeight="1" x14ac:dyDescent="0.35">
      <c r="A2" s="141"/>
      <c r="B2" s="168" t="s">
        <v>182</v>
      </c>
      <c r="C2" s="168"/>
      <c r="D2" s="168"/>
      <c r="E2" s="169"/>
      <c r="F2" s="35">
        <v>976</v>
      </c>
      <c r="G2" s="152" t="s">
        <v>183</v>
      </c>
      <c r="H2" s="149"/>
      <c r="I2" s="149"/>
      <c r="J2" s="149"/>
    </row>
    <row r="3" spans="1:10" s="152" customFormat="1" ht="15" customHeight="1" x14ac:dyDescent="0.35">
      <c r="E3" s="152" t="s">
        <v>184</v>
      </c>
      <c r="F3" s="144">
        <f>'Known Resources'!C41</f>
        <v>549.75056785734353</v>
      </c>
      <c r="G3" s="152" t="s">
        <v>183</v>
      </c>
    </row>
    <row r="4" spans="1:10" ht="49.5" customHeight="1" x14ac:dyDescent="0.25">
      <c r="A4" s="145" t="s">
        <v>164</v>
      </c>
      <c r="B4" s="145" t="s">
        <v>165</v>
      </c>
      <c r="D4" s="145" t="s">
        <v>164</v>
      </c>
      <c r="E4" s="145" t="s">
        <v>166</v>
      </c>
      <c r="F4" s="145" t="s">
        <v>185</v>
      </c>
      <c r="G4" s="146" t="s">
        <v>186</v>
      </c>
    </row>
    <row r="5" spans="1:10" ht="15" customHeight="1" x14ac:dyDescent="0.25">
      <c r="A5" s="161" t="s">
        <v>210</v>
      </c>
      <c r="B5" s="170">
        <v>115265</v>
      </c>
      <c r="C5" s="152"/>
      <c r="D5" s="153" t="s">
        <v>210</v>
      </c>
      <c r="E5" s="157">
        <v>490865</v>
      </c>
      <c r="F5" s="155">
        <f>B5-E5</f>
        <v>-375600</v>
      </c>
      <c r="G5" s="157">
        <f>IF(F8&gt;0,F5*$F$2,F5*$F$3)</f>
        <v>-206486313.28721824</v>
      </c>
    </row>
    <row r="6" spans="1:10" ht="15" customHeight="1" x14ac:dyDescent="0.25">
      <c r="A6" s="161" t="s">
        <v>50</v>
      </c>
      <c r="B6" s="170">
        <v>2600</v>
      </c>
      <c r="C6" s="152"/>
      <c r="D6" s="153" t="s">
        <v>50</v>
      </c>
      <c r="E6" s="154">
        <v>111</v>
      </c>
      <c r="F6" s="155">
        <f t="shared" ref="F6:F59" si="0">B6-E6</f>
        <v>2489</v>
      </c>
      <c r="G6" s="157">
        <f t="shared" ref="G6:G59" si="1">IF(F9&gt;0,F6*$F$2,F6*$F$3)</f>
        <v>1368329.163396928</v>
      </c>
    </row>
    <row r="7" spans="1:10" ht="15" customHeight="1" x14ac:dyDescent="0.25">
      <c r="A7" s="161" t="s">
        <v>167</v>
      </c>
      <c r="B7" s="158">
        <v>621242</v>
      </c>
      <c r="C7" s="152"/>
      <c r="D7" s="153" t="s">
        <v>167</v>
      </c>
      <c r="E7" s="154">
        <v>94935</v>
      </c>
      <c r="F7" s="155">
        <f t="shared" si="0"/>
        <v>526307</v>
      </c>
      <c r="G7" s="157">
        <f t="shared" si="1"/>
        <v>513675632</v>
      </c>
    </row>
    <row r="8" spans="1:10" ht="15" customHeight="1" x14ac:dyDescent="0.25">
      <c r="A8" s="153" t="s">
        <v>51</v>
      </c>
      <c r="B8" s="170">
        <v>0</v>
      </c>
      <c r="C8" s="155"/>
      <c r="D8" s="153" t="s">
        <v>51</v>
      </c>
      <c r="E8" s="154">
        <v>2704</v>
      </c>
      <c r="F8" s="155">
        <f t="shared" si="0"/>
        <v>-2704</v>
      </c>
      <c r="G8" s="157">
        <f t="shared" si="1"/>
        <v>-1486525.5354862569</v>
      </c>
    </row>
    <row r="9" spans="1:10" ht="15" customHeight="1" x14ac:dyDescent="0.25">
      <c r="A9" s="153" t="s">
        <v>194</v>
      </c>
      <c r="B9" s="158">
        <v>0</v>
      </c>
      <c r="C9" s="152"/>
      <c r="D9" s="153" t="s">
        <v>194</v>
      </c>
      <c r="E9" s="154">
        <v>34</v>
      </c>
      <c r="F9" s="155">
        <f t="shared" si="0"/>
        <v>-34</v>
      </c>
      <c r="G9" s="157">
        <f t="shared" si="1"/>
        <v>-18691.51930714968</v>
      </c>
    </row>
    <row r="10" spans="1:10" ht="15" customHeight="1" x14ac:dyDescent="0.25">
      <c r="A10" s="161" t="s">
        <v>168</v>
      </c>
      <c r="B10" s="170">
        <v>1166</v>
      </c>
      <c r="C10" s="155"/>
      <c r="D10" s="153" t="s">
        <v>168</v>
      </c>
      <c r="E10" s="154">
        <v>200</v>
      </c>
      <c r="F10" s="155">
        <f t="shared" si="0"/>
        <v>966</v>
      </c>
      <c r="G10" s="157">
        <f t="shared" si="1"/>
        <v>531059.0485501939</v>
      </c>
    </row>
    <row r="11" spans="1:10" ht="15" customHeight="1" x14ac:dyDescent="0.25">
      <c r="A11" s="161" t="s">
        <v>211</v>
      </c>
      <c r="B11" s="170">
        <v>11962</v>
      </c>
      <c r="C11" s="152"/>
      <c r="D11" s="153" t="s">
        <v>211</v>
      </c>
      <c r="E11" s="154">
        <v>257128</v>
      </c>
      <c r="F11" s="155">
        <f t="shared" si="0"/>
        <v>-245166</v>
      </c>
      <c r="G11" s="157">
        <f t="shared" si="1"/>
        <v>-134780147.71931347</v>
      </c>
    </row>
    <row r="12" spans="1:10" ht="15" customHeight="1" x14ac:dyDescent="0.25">
      <c r="A12" s="161" t="s">
        <v>187</v>
      </c>
      <c r="B12" s="170">
        <v>33230</v>
      </c>
      <c r="C12" s="152"/>
      <c r="D12" s="153" t="s">
        <v>187</v>
      </c>
      <c r="E12" s="154">
        <v>82455</v>
      </c>
      <c r="F12" s="155">
        <f t="shared" si="0"/>
        <v>-49225</v>
      </c>
      <c r="G12" s="157">
        <f t="shared" si="1"/>
        <v>-48043600</v>
      </c>
    </row>
    <row r="13" spans="1:10" ht="15" customHeight="1" x14ac:dyDescent="0.25">
      <c r="A13" s="161" t="s">
        <v>52</v>
      </c>
      <c r="B13" s="170">
        <v>3200</v>
      </c>
      <c r="C13" s="152"/>
      <c r="D13" s="153" t="s">
        <v>52</v>
      </c>
      <c r="E13" s="154">
        <v>29000</v>
      </c>
      <c r="F13" s="155">
        <f t="shared" si="0"/>
        <v>-25800</v>
      </c>
      <c r="G13" s="157">
        <f t="shared" si="1"/>
        <v>-25180800</v>
      </c>
    </row>
    <row r="14" spans="1:10" ht="15" customHeight="1" x14ac:dyDescent="0.25">
      <c r="A14" s="161" t="s">
        <v>212</v>
      </c>
      <c r="B14" s="170">
        <v>800</v>
      </c>
      <c r="C14" s="152"/>
      <c r="D14" s="153" t="s">
        <v>212</v>
      </c>
      <c r="E14" s="154">
        <v>2886</v>
      </c>
      <c r="F14" s="155">
        <f t="shared" si="0"/>
        <v>-2086</v>
      </c>
      <c r="G14" s="157">
        <f t="shared" si="1"/>
        <v>-1146779.6845504185</v>
      </c>
    </row>
    <row r="15" spans="1:10" ht="15" customHeight="1" x14ac:dyDescent="0.25">
      <c r="A15" s="161" t="s">
        <v>213</v>
      </c>
      <c r="B15" s="170">
        <v>120</v>
      </c>
      <c r="C15" s="152"/>
      <c r="D15" s="161" t="s">
        <v>213</v>
      </c>
      <c r="E15" s="154">
        <v>0</v>
      </c>
      <c r="F15" s="155">
        <f t="shared" si="0"/>
        <v>120</v>
      </c>
      <c r="G15" s="157">
        <f t="shared" si="1"/>
        <v>65970.068142881224</v>
      </c>
    </row>
    <row r="16" spans="1:10" ht="15" customHeight="1" x14ac:dyDescent="0.25">
      <c r="A16" s="161" t="s">
        <v>188</v>
      </c>
      <c r="B16" s="170">
        <v>1400</v>
      </c>
      <c r="C16" s="152"/>
      <c r="D16" s="161" t="s">
        <v>188</v>
      </c>
      <c r="E16" s="154">
        <v>0</v>
      </c>
      <c r="F16" s="155">
        <f t="shared" si="0"/>
        <v>1400</v>
      </c>
      <c r="G16" s="157">
        <f t="shared" si="1"/>
        <v>769650.79500028095</v>
      </c>
    </row>
    <row r="17" spans="1:7" ht="15" customHeight="1" x14ac:dyDescent="0.25">
      <c r="A17" s="153" t="s">
        <v>195</v>
      </c>
      <c r="B17" s="158">
        <v>0</v>
      </c>
      <c r="C17" s="152"/>
      <c r="D17" s="153" t="s">
        <v>195</v>
      </c>
      <c r="E17" s="154">
        <v>447026</v>
      </c>
      <c r="F17" s="155">
        <f t="shared" si="0"/>
        <v>-447026</v>
      </c>
      <c r="G17" s="157">
        <f t="shared" si="1"/>
        <v>-245752797.34699684</v>
      </c>
    </row>
    <row r="18" spans="1:7" ht="15" customHeight="1" x14ac:dyDescent="0.25">
      <c r="A18" s="161" t="s">
        <v>53</v>
      </c>
      <c r="B18" s="170">
        <v>5219</v>
      </c>
      <c r="C18" s="152"/>
      <c r="D18" s="153" t="s">
        <v>169</v>
      </c>
      <c r="E18" s="154">
        <v>79623</v>
      </c>
      <c r="F18" s="155">
        <f t="shared" si="0"/>
        <v>-74404</v>
      </c>
      <c r="G18" s="157">
        <f t="shared" si="1"/>
        <v>-40903641.250857785</v>
      </c>
    </row>
    <row r="19" spans="1:7" ht="15" customHeight="1" x14ac:dyDescent="0.25">
      <c r="A19" s="161" t="s">
        <v>214</v>
      </c>
      <c r="B19" s="170">
        <v>760</v>
      </c>
      <c r="C19" s="152"/>
      <c r="D19" s="153" t="s">
        <v>214</v>
      </c>
      <c r="E19" s="154">
        <v>14074</v>
      </c>
      <c r="F19" s="155">
        <f t="shared" si="0"/>
        <v>-13314</v>
      </c>
      <c r="G19" s="157">
        <f t="shared" si="1"/>
        <v>-12994464</v>
      </c>
    </row>
    <row r="20" spans="1:7" ht="15" customHeight="1" x14ac:dyDescent="0.25">
      <c r="A20" s="161" t="s">
        <v>54</v>
      </c>
      <c r="B20" s="170">
        <v>9356</v>
      </c>
      <c r="C20" s="152"/>
      <c r="D20" s="153" t="s">
        <v>54</v>
      </c>
      <c r="E20" s="154">
        <v>48642</v>
      </c>
      <c r="F20" s="155">
        <f t="shared" si="0"/>
        <v>-39286</v>
      </c>
      <c r="G20" s="157">
        <f t="shared" si="1"/>
        <v>-21597500.808843598</v>
      </c>
    </row>
    <row r="21" spans="1:7" ht="15" customHeight="1" x14ac:dyDescent="0.25">
      <c r="A21" s="161" t="s">
        <v>170</v>
      </c>
      <c r="B21" s="170">
        <v>2079</v>
      </c>
      <c r="C21" s="152"/>
      <c r="D21" s="153" t="s">
        <v>170</v>
      </c>
      <c r="E21" s="154">
        <v>31417</v>
      </c>
      <c r="F21" s="155">
        <f t="shared" si="0"/>
        <v>-29338</v>
      </c>
      <c r="G21" s="157">
        <f t="shared" si="1"/>
        <v>-16128582.159798745</v>
      </c>
    </row>
    <row r="22" spans="1:7" ht="15" customHeight="1" x14ac:dyDescent="0.25">
      <c r="A22" s="161" t="s">
        <v>55</v>
      </c>
      <c r="B22" s="170">
        <v>43380</v>
      </c>
      <c r="C22" s="152"/>
      <c r="D22" s="153" t="s">
        <v>55</v>
      </c>
      <c r="E22" s="154">
        <v>39972</v>
      </c>
      <c r="F22" s="155">
        <f t="shared" si="0"/>
        <v>3408</v>
      </c>
      <c r="G22" s="157">
        <f t="shared" si="1"/>
        <v>3326208</v>
      </c>
    </row>
    <row r="23" spans="1:7" ht="15" customHeight="1" x14ac:dyDescent="0.25">
      <c r="A23" s="161" t="s">
        <v>56</v>
      </c>
      <c r="B23" s="170">
        <v>6</v>
      </c>
      <c r="C23" s="152"/>
      <c r="D23" s="153" t="s">
        <v>56</v>
      </c>
      <c r="E23" s="154">
        <v>41</v>
      </c>
      <c r="F23" s="155">
        <f t="shared" si="0"/>
        <v>-35</v>
      </c>
      <c r="G23" s="157">
        <f t="shared" si="1"/>
        <v>-34160</v>
      </c>
    </row>
    <row r="24" spans="1:7" ht="15" customHeight="1" x14ac:dyDescent="0.25">
      <c r="A24" s="161" t="s">
        <v>215</v>
      </c>
      <c r="B24" s="170">
        <v>4</v>
      </c>
      <c r="C24" s="152"/>
      <c r="D24" s="153" t="s">
        <v>215</v>
      </c>
      <c r="E24" s="154">
        <v>438</v>
      </c>
      <c r="F24" s="155">
        <f t="shared" si="0"/>
        <v>-434</v>
      </c>
      <c r="G24" s="157">
        <f t="shared" si="1"/>
        <v>-238591.74645008708</v>
      </c>
    </row>
    <row r="25" spans="1:7" ht="15" customHeight="1" x14ac:dyDescent="0.25">
      <c r="A25" s="161" t="s">
        <v>216</v>
      </c>
      <c r="B25" s="170">
        <v>2893</v>
      </c>
      <c r="C25" s="152"/>
      <c r="D25" s="161" t="s">
        <v>216</v>
      </c>
      <c r="E25" s="154">
        <v>0</v>
      </c>
      <c r="F25" s="155">
        <f t="shared" si="0"/>
        <v>2893</v>
      </c>
      <c r="G25" s="157">
        <f t="shared" si="1"/>
        <v>2823568</v>
      </c>
    </row>
    <row r="26" spans="1:7" ht="15" customHeight="1" x14ac:dyDescent="0.25">
      <c r="A26" s="161" t="s">
        <v>57</v>
      </c>
      <c r="B26" s="158">
        <v>401673</v>
      </c>
      <c r="C26" s="152"/>
      <c r="D26" s="153" t="s">
        <v>57</v>
      </c>
      <c r="E26" s="154">
        <v>4474</v>
      </c>
      <c r="F26" s="155">
        <f t="shared" si="0"/>
        <v>397199</v>
      </c>
      <c r="G26" s="157">
        <f t="shared" si="1"/>
        <v>218360375.802369</v>
      </c>
    </row>
    <row r="27" spans="1:7" ht="15" customHeight="1" x14ac:dyDescent="0.25">
      <c r="A27" s="161" t="s">
        <v>217</v>
      </c>
      <c r="B27" s="170">
        <v>406</v>
      </c>
      <c r="C27" s="152"/>
      <c r="D27" s="153" t="s">
        <v>217</v>
      </c>
      <c r="E27" s="154">
        <v>46366</v>
      </c>
      <c r="F27" s="155">
        <f t="shared" si="0"/>
        <v>-45960</v>
      </c>
      <c r="G27" s="157">
        <f t="shared" si="1"/>
        <v>-25266536.098723508</v>
      </c>
    </row>
    <row r="28" spans="1:7" ht="15" customHeight="1" x14ac:dyDescent="0.25">
      <c r="A28" s="161" t="s">
        <v>171</v>
      </c>
      <c r="B28" s="170">
        <v>128</v>
      </c>
      <c r="C28" s="152"/>
      <c r="D28" s="161" t="s">
        <v>171</v>
      </c>
      <c r="E28" s="154">
        <v>0</v>
      </c>
      <c r="F28" s="155">
        <f t="shared" si="0"/>
        <v>128</v>
      </c>
      <c r="G28" s="157">
        <f t="shared" si="1"/>
        <v>70368.072685739971</v>
      </c>
    </row>
    <row r="29" spans="1:7" ht="15" customHeight="1" x14ac:dyDescent="0.25">
      <c r="A29" s="161" t="s">
        <v>58</v>
      </c>
      <c r="B29" s="170">
        <v>1655</v>
      </c>
      <c r="C29" s="152"/>
      <c r="D29" s="153" t="s">
        <v>58</v>
      </c>
      <c r="E29" s="154">
        <v>1673</v>
      </c>
      <c r="F29" s="155">
        <f t="shared" si="0"/>
        <v>-18</v>
      </c>
      <c r="G29" s="157">
        <f t="shared" si="1"/>
        <v>-9895.5102214321832</v>
      </c>
    </row>
    <row r="30" spans="1:7" ht="15" customHeight="1" x14ac:dyDescent="0.25">
      <c r="A30" s="161" t="s">
        <v>59</v>
      </c>
      <c r="B30" s="170">
        <v>21186</v>
      </c>
      <c r="C30" s="152"/>
      <c r="D30" s="153" t="s">
        <v>59</v>
      </c>
      <c r="E30" s="154">
        <v>192274</v>
      </c>
      <c r="F30" s="155">
        <f t="shared" si="0"/>
        <v>-171088</v>
      </c>
      <c r="G30" s="157">
        <f t="shared" si="1"/>
        <v>-94055725.153577194</v>
      </c>
    </row>
    <row r="31" spans="1:7" ht="15" customHeight="1" x14ac:dyDescent="0.25">
      <c r="A31" s="161" t="s">
        <v>60</v>
      </c>
      <c r="B31" s="170">
        <v>58801</v>
      </c>
      <c r="C31" s="152"/>
      <c r="D31" s="153" t="s">
        <v>60</v>
      </c>
      <c r="E31" s="154">
        <v>206450</v>
      </c>
      <c r="F31" s="155">
        <f t="shared" si="0"/>
        <v>-147649</v>
      </c>
      <c r="G31" s="157">
        <f t="shared" si="1"/>
        <v>-144105424</v>
      </c>
    </row>
    <row r="32" spans="1:7" ht="15" customHeight="1" x14ac:dyDescent="0.25">
      <c r="A32" s="153" t="s">
        <v>231</v>
      </c>
      <c r="B32" s="158">
        <v>0</v>
      </c>
      <c r="C32" s="152"/>
      <c r="D32" s="153" t="s">
        <v>231</v>
      </c>
      <c r="E32" s="154">
        <v>602</v>
      </c>
      <c r="F32" s="155">
        <f t="shared" si="0"/>
        <v>-602</v>
      </c>
      <c r="G32" s="157">
        <f t="shared" si="1"/>
        <v>-330949.84185012081</v>
      </c>
    </row>
    <row r="33" spans="1:7" ht="15" customHeight="1" x14ac:dyDescent="0.25">
      <c r="A33" s="161" t="s">
        <v>218</v>
      </c>
      <c r="B33" s="170">
        <v>20</v>
      </c>
      <c r="C33" s="152"/>
      <c r="D33" s="153" t="s">
        <v>218</v>
      </c>
      <c r="E33" s="154">
        <v>1120</v>
      </c>
      <c r="F33" s="155">
        <f t="shared" si="0"/>
        <v>-1100</v>
      </c>
      <c r="G33" s="157">
        <f t="shared" si="1"/>
        <v>-604725.62464307784</v>
      </c>
    </row>
    <row r="34" spans="1:7" ht="15" customHeight="1" x14ac:dyDescent="0.25">
      <c r="A34" s="161" t="s">
        <v>219</v>
      </c>
      <c r="B34" s="170">
        <v>3351</v>
      </c>
      <c r="C34" s="152"/>
      <c r="D34" s="161" t="s">
        <v>219</v>
      </c>
      <c r="E34" s="154">
        <v>0</v>
      </c>
      <c r="F34" s="155">
        <f t="shared" si="0"/>
        <v>3351</v>
      </c>
      <c r="G34" s="157">
        <f t="shared" si="1"/>
        <v>1842214.1528899581</v>
      </c>
    </row>
    <row r="35" spans="1:7" ht="15" customHeight="1" x14ac:dyDescent="0.25">
      <c r="A35" s="161" t="s">
        <v>172</v>
      </c>
      <c r="B35" s="170">
        <v>45127</v>
      </c>
      <c r="C35" s="152"/>
      <c r="D35" s="153" t="s">
        <v>172</v>
      </c>
      <c r="E35" s="154">
        <v>46514</v>
      </c>
      <c r="F35" s="155">
        <f t="shared" si="0"/>
        <v>-1387</v>
      </c>
      <c r="G35" s="157">
        <f t="shared" si="1"/>
        <v>-762504.03761813545</v>
      </c>
    </row>
    <row r="36" spans="1:7" ht="15" customHeight="1" x14ac:dyDescent="0.25">
      <c r="A36" s="161" t="s">
        <v>61</v>
      </c>
      <c r="B36" s="170">
        <v>72650</v>
      </c>
      <c r="C36" s="158"/>
      <c r="D36" s="153" t="s">
        <v>61</v>
      </c>
      <c r="E36" s="154">
        <v>205697</v>
      </c>
      <c r="F36" s="155">
        <f t="shared" si="0"/>
        <v>-133047</v>
      </c>
      <c r="G36" s="157">
        <f t="shared" si="1"/>
        <v>-73142663.801715985</v>
      </c>
    </row>
    <row r="37" spans="1:7" ht="15" customHeight="1" x14ac:dyDescent="0.25">
      <c r="A37" s="153" t="s">
        <v>232</v>
      </c>
      <c r="B37" s="158">
        <v>0</v>
      </c>
      <c r="C37" s="152"/>
      <c r="D37" s="153" t="s">
        <v>232</v>
      </c>
      <c r="E37" s="154">
        <v>16000</v>
      </c>
      <c r="F37" s="155">
        <f t="shared" si="0"/>
        <v>-16000</v>
      </c>
      <c r="G37" s="157">
        <f t="shared" si="1"/>
        <v>-15616000</v>
      </c>
    </row>
    <row r="38" spans="1:7" ht="15" customHeight="1" x14ac:dyDescent="0.25">
      <c r="A38" s="161" t="s">
        <v>173</v>
      </c>
      <c r="B38" s="158">
        <v>53436</v>
      </c>
      <c r="C38" s="152"/>
      <c r="D38" s="161" t="s">
        <v>173</v>
      </c>
      <c r="E38" s="154">
        <v>167523</v>
      </c>
      <c r="F38" s="155">
        <f t="shared" si="0"/>
        <v>-114087</v>
      </c>
      <c r="G38" s="157">
        <f t="shared" si="1"/>
        <v>-111348912</v>
      </c>
    </row>
    <row r="39" spans="1:7" ht="15" customHeight="1" x14ac:dyDescent="0.25">
      <c r="A39" s="161" t="s">
        <v>62</v>
      </c>
      <c r="B39" s="170">
        <v>140155</v>
      </c>
      <c r="C39" s="152"/>
      <c r="D39" s="153" t="s">
        <v>62</v>
      </c>
      <c r="E39" s="154">
        <v>263509</v>
      </c>
      <c r="F39" s="155">
        <f t="shared" si="0"/>
        <v>-123354</v>
      </c>
      <c r="G39" s="157">
        <f t="shared" si="1"/>
        <v>-120393504</v>
      </c>
    </row>
    <row r="40" spans="1:7" ht="15" customHeight="1" x14ac:dyDescent="0.25">
      <c r="A40" s="161" t="s">
        <v>174</v>
      </c>
      <c r="B40" s="170">
        <v>800</v>
      </c>
      <c r="C40" s="152"/>
      <c r="D40" s="161" t="s">
        <v>174</v>
      </c>
      <c r="E40" s="154">
        <v>0</v>
      </c>
      <c r="F40" s="155">
        <f t="shared" si="0"/>
        <v>800</v>
      </c>
      <c r="G40" s="157">
        <f t="shared" si="1"/>
        <v>439800.45428587485</v>
      </c>
    </row>
    <row r="41" spans="1:7" ht="15" customHeight="1" x14ac:dyDescent="0.25">
      <c r="A41" s="161" t="s">
        <v>63</v>
      </c>
      <c r="B41" s="170">
        <v>60168</v>
      </c>
      <c r="C41" s="152"/>
      <c r="D41" s="153" t="s">
        <v>63</v>
      </c>
      <c r="E41" s="154">
        <v>9974</v>
      </c>
      <c r="F41" s="155">
        <f t="shared" si="0"/>
        <v>50194</v>
      </c>
      <c r="G41" s="157">
        <f t="shared" si="1"/>
        <v>48989344</v>
      </c>
    </row>
    <row r="42" spans="1:7" ht="15" customHeight="1" x14ac:dyDescent="0.25">
      <c r="A42" s="161" t="s">
        <v>64</v>
      </c>
      <c r="B42" s="170">
        <v>17380</v>
      </c>
      <c r="C42" s="152"/>
      <c r="D42" s="153" t="s">
        <v>64</v>
      </c>
      <c r="E42" s="154">
        <v>7888</v>
      </c>
      <c r="F42" s="155">
        <f t="shared" si="0"/>
        <v>9492</v>
      </c>
      <c r="G42" s="157">
        <f t="shared" si="1"/>
        <v>5218232.390101905</v>
      </c>
    </row>
    <row r="43" spans="1:7" ht="15" customHeight="1" x14ac:dyDescent="0.25">
      <c r="A43" s="153" t="s">
        <v>65</v>
      </c>
      <c r="B43" s="158">
        <v>0</v>
      </c>
      <c r="C43" s="152"/>
      <c r="D43" s="153" t="s">
        <v>65</v>
      </c>
      <c r="E43" s="154">
        <v>141864</v>
      </c>
      <c r="F43" s="155">
        <f t="shared" si="0"/>
        <v>-141864</v>
      </c>
      <c r="G43" s="157">
        <f t="shared" si="1"/>
        <v>-77989814.558514178</v>
      </c>
    </row>
    <row r="44" spans="1:7" ht="15" customHeight="1" x14ac:dyDescent="0.25">
      <c r="A44" s="161" t="s">
        <v>66</v>
      </c>
      <c r="B44" s="170">
        <v>50486</v>
      </c>
      <c r="C44" s="152"/>
      <c r="D44" s="153" t="s">
        <v>66</v>
      </c>
      <c r="E44" s="154">
        <v>27085</v>
      </c>
      <c r="F44" s="155">
        <f t="shared" si="0"/>
        <v>23401</v>
      </c>
      <c r="G44" s="157">
        <f t="shared" si="1"/>
        <v>22839376</v>
      </c>
    </row>
    <row r="45" spans="1:7" ht="15" customHeight="1" x14ac:dyDescent="0.25">
      <c r="A45" s="161" t="s">
        <v>220</v>
      </c>
      <c r="B45" s="158">
        <v>-5484</v>
      </c>
      <c r="C45" s="152"/>
      <c r="D45" s="153" t="s">
        <v>220</v>
      </c>
      <c r="E45" s="154">
        <v>10</v>
      </c>
      <c r="F45" s="155">
        <f t="shared" si="0"/>
        <v>-5494</v>
      </c>
      <c r="G45" s="157">
        <f t="shared" si="1"/>
        <v>-3020329.6198082455</v>
      </c>
    </row>
    <row r="46" spans="1:7" ht="15" customHeight="1" x14ac:dyDescent="0.25">
      <c r="A46" s="161" t="s">
        <v>175</v>
      </c>
      <c r="B46" s="170">
        <v>87271</v>
      </c>
      <c r="C46" s="152"/>
      <c r="D46" s="153" t="s">
        <v>175</v>
      </c>
      <c r="E46" s="154">
        <v>171308</v>
      </c>
      <c r="F46" s="155">
        <f t="shared" si="0"/>
        <v>-84037</v>
      </c>
      <c r="G46" s="157">
        <f t="shared" si="1"/>
        <v>-46199388.471027575</v>
      </c>
    </row>
    <row r="47" spans="1:7" ht="15" customHeight="1" x14ac:dyDescent="0.25">
      <c r="A47" s="161" t="s">
        <v>189</v>
      </c>
      <c r="B47" s="170">
        <v>6212</v>
      </c>
      <c r="C47" s="152"/>
      <c r="D47" s="153" t="s">
        <v>67</v>
      </c>
      <c r="E47" s="154">
        <v>3216</v>
      </c>
      <c r="F47" s="155">
        <f t="shared" si="0"/>
        <v>2996</v>
      </c>
      <c r="G47" s="157">
        <f t="shared" si="1"/>
        <v>1647052.7013006012</v>
      </c>
    </row>
    <row r="48" spans="1:7" ht="15" customHeight="1" x14ac:dyDescent="0.25">
      <c r="A48" s="161" t="s">
        <v>69</v>
      </c>
      <c r="B48" s="170">
        <v>20310</v>
      </c>
      <c r="C48" s="152"/>
      <c r="D48" s="153" t="s">
        <v>69</v>
      </c>
      <c r="E48" s="154">
        <v>35202</v>
      </c>
      <c r="F48" s="155">
        <f t="shared" si="0"/>
        <v>-14892</v>
      </c>
      <c r="G48" s="157">
        <f t="shared" si="1"/>
        <v>-14534592</v>
      </c>
    </row>
    <row r="49" spans="1:7" ht="15" customHeight="1" x14ac:dyDescent="0.25">
      <c r="A49" s="161" t="s">
        <v>221</v>
      </c>
      <c r="B49" s="170">
        <v>145586</v>
      </c>
      <c r="C49" s="152"/>
      <c r="D49" s="153" t="s">
        <v>221</v>
      </c>
      <c r="E49" s="154">
        <v>228887</v>
      </c>
      <c r="F49" s="155">
        <f t="shared" si="0"/>
        <v>-83301</v>
      </c>
      <c r="G49" s="157">
        <f t="shared" si="1"/>
        <v>-45794772.053084575</v>
      </c>
    </row>
    <row r="50" spans="1:7" ht="15" customHeight="1" x14ac:dyDescent="0.25">
      <c r="A50" s="153" t="s">
        <v>176</v>
      </c>
      <c r="B50" s="158">
        <v>0</v>
      </c>
      <c r="C50" s="158"/>
      <c r="D50" s="153" t="s">
        <v>176</v>
      </c>
      <c r="E50" s="154">
        <v>7</v>
      </c>
      <c r="F50" s="155">
        <f t="shared" si="0"/>
        <v>-7</v>
      </c>
      <c r="G50" s="157">
        <f t="shared" si="1"/>
        <v>-6832</v>
      </c>
    </row>
    <row r="51" spans="1:7" ht="15" customHeight="1" x14ac:dyDescent="0.25">
      <c r="A51" s="161" t="s">
        <v>70</v>
      </c>
      <c r="B51" s="170">
        <v>75</v>
      </c>
      <c r="C51" s="152"/>
      <c r="D51" s="153" t="s">
        <v>70</v>
      </c>
      <c r="E51" s="154">
        <v>66</v>
      </c>
      <c r="F51" s="155">
        <f t="shared" si="0"/>
        <v>9</v>
      </c>
      <c r="G51" s="157">
        <f t="shared" si="1"/>
        <v>4947.7551107160916</v>
      </c>
    </row>
    <row r="52" spans="1:7" ht="15" customHeight="1" x14ac:dyDescent="0.25">
      <c r="A52" s="161" t="s">
        <v>71</v>
      </c>
      <c r="B52" s="170">
        <v>8235</v>
      </c>
      <c r="C52" s="152"/>
      <c r="D52" s="153" t="s">
        <v>71</v>
      </c>
      <c r="E52" s="154">
        <v>12077</v>
      </c>
      <c r="F52" s="155">
        <f t="shared" si="0"/>
        <v>-3842</v>
      </c>
      <c r="G52" s="157">
        <f t="shared" si="1"/>
        <v>-2112141.681707914</v>
      </c>
    </row>
    <row r="53" spans="1:7" ht="15" customHeight="1" x14ac:dyDescent="0.25">
      <c r="A53" s="161" t="s">
        <v>222</v>
      </c>
      <c r="B53" s="170">
        <v>123284</v>
      </c>
      <c r="C53" s="152"/>
      <c r="D53" s="161" t="s">
        <v>222</v>
      </c>
      <c r="E53" s="154">
        <v>0</v>
      </c>
      <c r="F53" s="155">
        <f t="shared" si="0"/>
        <v>123284</v>
      </c>
      <c r="G53" s="157">
        <f t="shared" si="1"/>
        <v>67775449.007724732</v>
      </c>
    </row>
    <row r="54" spans="1:7" ht="15" customHeight="1" x14ac:dyDescent="0.25">
      <c r="A54" s="161" t="s">
        <v>72</v>
      </c>
      <c r="B54" s="170">
        <v>11356</v>
      </c>
      <c r="C54" s="152"/>
      <c r="D54" s="153" t="s">
        <v>72</v>
      </c>
      <c r="E54" s="154">
        <v>12101</v>
      </c>
      <c r="F54" s="155">
        <f t="shared" si="0"/>
        <v>-745</v>
      </c>
      <c r="G54" s="157">
        <f t="shared" si="1"/>
        <v>-409564.17305372091</v>
      </c>
    </row>
    <row r="55" spans="1:7" ht="15" customHeight="1" x14ac:dyDescent="0.25">
      <c r="A55" s="161" t="s">
        <v>73</v>
      </c>
      <c r="B55" s="170">
        <v>80</v>
      </c>
      <c r="C55" s="152"/>
      <c r="D55" s="153" t="s">
        <v>233</v>
      </c>
      <c r="E55" s="154">
        <v>16808</v>
      </c>
      <c r="F55" s="155">
        <f t="shared" si="0"/>
        <v>-16728</v>
      </c>
      <c r="G55" s="157">
        <f t="shared" si="1"/>
        <v>-16326528</v>
      </c>
    </row>
    <row r="56" spans="1:7" ht="15" customHeight="1" x14ac:dyDescent="0.25">
      <c r="A56" s="153" t="s">
        <v>196</v>
      </c>
      <c r="B56" s="170">
        <v>0</v>
      </c>
      <c r="C56" s="152"/>
      <c r="D56" s="153" t="s">
        <v>196</v>
      </c>
      <c r="E56" s="154">
        <v>558</v>
      </c>
      <c r="F56" s="155">
        <f t="shared" si="0"/>
        <v>-558</v>
      </c>
      <c r="G56" s="157">
        <f t="shared" si="1"/>
        <v>-306760.81686439767</v>
      </c>
    </row>
    <row r="57" spans="1:7" ht="15" customHeight="1" x14ac:dyDescent="0.25">
      <c r="A57" s="161" t="s">
        <v>223</v>
      </c>
      <c r="B57" s="170">
        <v>110697</v>
      </c>
      <c r="C57" s="152"/>
      <c r="D57" s="153" t="s">
        <v>223</v>
      </c>
      <c r="E57" s="154">
        <v>289629</v>
      </c>
      <c r="F57" s="155">
        <f t="shared" si="0"/>
        <v>-178932</v>
      </c>
      <c r="G57" s="157">
        <f t="shared" si="1"/>
        <v>-98367968.607850194</v>
      </c>
    </row>
    <row r="58" spans="1:7" ht="15" customHeight="1" x14ac:dyDescent="0.25">
      <c r="A58" s="161" t="s">
        <v>177</v>
      </c>
      <c r="B58" s="170">
        <v>50</v>
      </c>
      <c r="C58" s="152"/>
      <c r="D58" s="153" t="s">
        <v>177</v>
      </c>
      <c r="E58" s="154">
        <v>3</v>
      </c>
      <c r="F58" s="155">
        <f t="shared" si="0"/>
        <v>47</v>
      </c>
      <c r="G58" s="157">
        <f t="shared" si="1"/>
        <v>25838.276689295144</v>
      </c>
    </row>
    <row r="59" spans="1:7" ht="15" customHeight="1" x14ac:dyDescent="0.25">
      <c r="A59" s="161" t="s">
        <v>224</v>
      </c>
      <c r="B59" s="170">
        <v>4400</v>
      </c>
      <c r="C59" s="152"/>
      <c r="D59" s="153" t="s">
        <v>224</v>
      </c>
      <c r="E59" s="154">
        <v>34400</v>
      </c>
      <c r="F59" s="155">
        <f t="shared" si="0"/>
        <v>-30000</v>
      </c>
      <c r="G59" s="157">
        <f t="shared" si="1"/>
        <v>-16492517.035720306</v>
      </c>
    </row>
    <row r="60" spans="1:7" ht="15" customHeight="1" x14ac:dyDescent="0.25">
      <c r="A60" s="150"/>
      <c r="B60" s="151"/>
      <c r="D60" s="153"/>
      <c r="E60" s="154"/>
      <c r="F60" s="155"/>
      <c r="G60" s="157"/>
    </row>
    <row r="61" spans="1:7" ht="15" customHeight="1" x14ac:dyDescent="0.25">
      <c r="A61" s="150"/>
      <c r="B61" s="151"/>
      <c r="D61" s="153"/>
      <c r="E61" s="154"/>
      <c r="F61" s="155"/>
      <c r="G61" s="157"/>
    </row>
    <row r="63" spans="1:7" ht="15" customHeight="1" x14ac:dyDescent="0.25">
      <c r="A63" s="150"/>
      <c r="B63" s="151"/>
      <c r="D63" s="153"/>
      <c r="E63" s="154"/>
      <c r="F63" s="155">
        <f>SUM(F5:F61)</f>
        <v>-1470660</v>
      </c>
      <c r="G63" s="144">
        <f>SUM(G5:G61)/2000</f>
        <v>-386108.61422827747</v>
      </c>
    </row>
    <row r="64" spans="1:7" ht="15" customHeight="1" x14ac:dyDescent="0.25">
      <c r="A64" s="150"/>
      <c r="B64" s="151"/>
    </row>
    <row r="67" spans="1:7" ht="15" customHeight="1" x14ac:dyDescent="0.25">
      <c r="G67" s="155"/>
    </row>
    <row r="69" spans="1:7" ht="15" customHeight="1" x14ac:dyDescent="0.25">
      <c r="A69" s="150"/>
      <c r="B69" s="151"/>
      <c r="D69" s="153"/>
      <c r="E69" s="154"/>
    </row>
    <row r="70" spans="1:7" ht="15" customHeight="1" x14ac:dyDescent="0.25">
      <c r="G70" s="155"/>
    </row>
    <row r="71" spans="1:7" ht="15" customHeight="1" x14ac:dyDescent="0.25">
      <c r="A71" s="149"/>
      <c r="B71" s="149"/>
    </row>
    <row r="74" spans="1:7" ht="15" customHeight="1" x14ac:dyDescent="0.25">
      <c r="A74" s="150"/>
      <c r="B74" s="151"/>
      <c r="D74" s="153"/>
      <c r="E74" s="154"/>
    </row>
    <row r="75" spans="1:7" ht="15" customHeight="1" x14ac:dyDescent="0.25">
      <c r="G75" s="155"/>
    </row>
    <row r="76" spans="1:7" ht="15" customHeight="1" x14ac:dyDescent="0.25">
      <c r="A76" s="150"/>
      <c r="B76" s="151"/>
      <c r="D76" s="153"/>
      <c r="E76" s="154"/>
    </row>
    <row r="85" spans="1:7" ht="15" customHeight="1" x14ac:dyDescent="0.25">
      <c r="A85" s="150"/>
      <c r="B85" s="151"/>
      <c r="D85" s="153"/>
      <c r="E85" s="154"/>
    </row>
    <row r="86" spans="1:7" ht="15" customHeight="1" x14ac:dyDescent="0.25">
      <c r="A86" s="150"/>
      <c r="B86" s="151"/>
      <c r="D86" s="153"/>
      <c r="E86" s="154"/>
    </row>
    <row r="87" spans="1:7" ht="15" customHeight="1" x14ac:dyDescent="0.25">
      <c r="G87" s="155"/>
    </row>
    <row r="92" spans="1:7" ht="15" customHeight="1" x14ac:dyDescent="0.25">
      <c r="F92" s="155"/>
    </row>
    <row r="95" spans="1:7" ht="15" customHeight="1" x14ac:dyDescent="0.25">
      <c r="D95" s="153"/>
      <c r="E95" s="154"/>
    </row>
  </sheetData>
  <mergeCells count="2">
    <mergeCell ref="G1:J1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A81EEAD079C40939B8EFA91C8A612" ma:contentTypeVersion="56" ma:contentTypeDescription="" ma:contentTypeScope="" ma:versionID="ca287d0bfc38e83da8041744df99af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2019-05-30T07:00:00+00:00</OpenedDate>
    <Date1 xmlns="dc463f71-b30c-4ab2-9473-d307f9d35888">2019-05-30T07:00:00+00:00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190444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9407853-57B8-4415-BAD3-7B68AC7BC358}"/>
</file>

<file path=customXml/itemProps2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D93D92-0551-43A2-A4EA-89DB52140874}"/>
</file>

<file path=customXml/itemProps4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jyl3501</cp:lastModifiedBy>
  <cp:lastPrinted>2016-12-29T16:53:17Z</cp:lastPrinted>
  <dcterms:created xsi:type="dcterms:W3CDTF">2016-02-08T23:38:12Z</dcterms:created>
  <dcterms:modified xsi:type="dcterms:W3CDTF">2019-05-28T22:25:16Z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0x0101006E56B4D1795A2E4DB2F0B01679ED314A006FAA81EEAD079C40939B8EFA91C8A612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