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30" windowWidth="14250" windowHeight="12795"/>
  </bookViews>
  <sheets>
    <sheet name="Sched 141Y Rates" sheetId="1" r:id="rId1"/>
    <sheet name="Revenue Requirement" sheetId="29" r:id="rId2"/>
    <sheet name="Forecasted Volume" sheetId="18" r:id="rId3"/>
    <sheet name="Rate Impacts--&gt;" sheetId="19" r:id="rId4"/>
    <sheet name="Rate Impacts" sheetId="33" r:id="rId5"/>
    <sheet name="Typical Res Bill" sheetId="34" r:id="rId6"/>
    <sheet name="Schedule 141Y Revenue" sheetId="3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123Graph_ABUDG6_DSCRPR">[5]Quant!$D$71:$O$71</definedName>
    <definedName name="__123Graph_ABUDG6_ESCRPR1">[5]Quant!$D$100:$O$100</definedName>
    <definedName name="__123Graph_BBUDG6_DSCRPR">[5]Quant!$D$72:$O$72</definedName>
    <definedName name="__123Graph_BBUDG6_ESCRPR1">[5]Quant!$D$88:$O$88</definedName>
    <definedName name="__123Graph_X">[5]Quant!$D$5:$O$5</definedName>
    <definedName name="__123Graph_XBUDG6_DSCRPR">[5]Quant!$D$5:$O$5</definedName>
    <definedName name="__123Graph_XBUDG6_ESCRPR1">[5]Quant!$D$5:$O$5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1__123Graph_ABUDG6_D_ESCRPR">[5]Quant!$D$71:$O$71</definedName>
    <definedName name="_3__123Graph_BBUDG6_D_ESCRPR">[5]Quant!$D$72:$O$72</definedName>
    <definedName name="_4__123Graph_BBUDG6_Dtons_inv">[5]Quant!$D$9:$O$9</definedName>
    <definedName name="_5__123Graph_CBUDG6_D_ESCRPR">[5]Quant!$D$100:$O$100</definedName>
    <definedName name="_6__123Graph_DBUDG6_D_ESCRPR">[5]Quant!$D$88:$O$88</definedName>
    <definedName name="_7__123Graph_XBUDG6_D_ESCRPR">[5]Quant!$D$5:$O$5</definedName>
    <definedName name="_8__123Graph_XBUDG6_Dtons_inv">[5]Quant!$D$5:$O$5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'[6]MJS-7'!$N$21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 localSheetId="2">0</definedName>
    <definedName name="_Order1" localSheetId="5">0</definedName>
    <definedName name="_Order1">255</definedName>
    <definedName name="_Order2" localSheetId="2">0</definedName>
    <definedName name="_Order2" localSheetId="5">0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'[7]Func Study'!$H$2190</definedName>
    <definedName name="Acct2283SO">'[7]Func Study'!$H$2198</definedName>
    <definedName name="Acct228SO">'[7]Func Study'!$H$2194</definedName>
    <definedName name="Acct350">'[7]Func Study'!$H$1628</definedName>
    <definedName name="Acct352">'[7]Func Study'!$H$1635</definedName>
    <definedName name="Acct353">'[7]Func Study'!$H$1641</definedName>
    <definedName name="Acct354">'[7]Func Study'!$H$1647</definedName>
    <definedName name="Acct355">'[7]Func Study'!$H$1654</definedName>
    <definedName name="Acct356">'[7]Func Study'!$H$1660</definedName>
    <definedName name="Acct357">'[7]Func Study'!$H$1666</definedName>
    <definedName name="Acct358">'[7]Func Study'!$H$1672</definedName>
    <definedName name="Acct359">'[7]Func Study'!$H$1678</definedName>
    <definedName name="Acct360">'[7]Func Study'!$H$1698</definedName>
    <definedName name="Acct361">'[7]Func Study'!$H$1704</definedName>
    <definedName name="Acct362">'[7]Func Study'!$H$1710</definedName>
    <definedName name="Acct364">'[7]Func Study'!$H$1717</definedName>
    <definedName name="Acct365">'[7]Func Study'!$H$1724</definedName>
    <definedName name="Acct366">'[7]Func Study'!$H$1731</definedName>
    <definedName name="Acct367">'[7]Func Study'!$H$1738</definedName>
    <definedName name="Acct368">'[7]Func Study'!$H$1744</definedName>
    <definedName name="Acct369">'[7]Func Study'!$H$1751</definedName>
    <definedName name="Acct370">'[7]Func Study'!$H$1762</definedName>
    <definedName name="Acct371">'[7]Func Study'!$H$1769</definedName>
    <definedName name="Acct372">'[7]Func Study'!$H$1776</definedName>
    <definedName name="Acct372A">'[7]Func Study'!$H$1775</definedName>
    <definedName name="Acct372DP">'[7]Func Study'!$H$1773</definedName>
    <definedName name="Acct372DS">'[7]Func Study'!$H$1774</definedName>
    <definedName name="Acct373">'[7]Func Study'!$H$1782</definedName>
    <definedName name="Acct448S">'[7]Func Study'!$H$274</definedName>
    <definedName name="Acct450S">'[7]Func Study'!$H$302</definedName>
    <definedName name="Acct451S">'[7]Func Study'!$H$307</definedName>
    <definedName name="Acct454S">'[7]Func Study'!$H$318</definedName>
    <definedName name="Acct456S">'[7]Func Study'!$H$325</definedName>
    <definedName name="ACCT557CAGE">'[7]Func Study'!$H$683</definedName>
    <definedName name="Acct557CT">'[7]Func Study'!$H$681</definedName>
    <definedName name="Acct580">'[7]Func Study'!$H$791</definedName>
    <definedName name="Acct581">'[7]Func Study'!$H$796</definedName>
    <definedName name="Acct582">'[7]Func Study'!$H$801</definedName>
    <definedName name="Acct583">'[7]Func Study'!$H$806</definedName>
    <definedName name="Acct584">'[7]Func Study'!$H$811</definedName>
    <definedName name="Acct585">'[7]Func Study'!$H$816</definedName>
    <definedName name="Acct586">'[7]Func Study'!$H$821</definedName>
    <definedName name="Acct587">'[7]Func Study'!$H$826</definedName>
    <definedName name="Acct588">'[7]Func Study'!$H$831</definedName>
    <definedName name="Acct589">'[7]Func Study'!$H$836</definedName>
    <definedName name="Acct590">'[7]Func Study'!$H$841</definedName>
    <definedName name="Acct591">'[7]Func Study'!$H$846</definedName>
    <definedName name="Acct592">'[7]Func Study'!$H$851</definedName>
    <definedName name="Acct593">'[7]Func Study'!$H$856</definedName>
    <definedName name="Acct594">'[7]Func Study'!$H$861</definedName>
    <definedName name="Acct595">'[7]Func Study'!$H$866</definedName>
    <definedName name="Acct596">'[7]Func Study'!$H$876</definedName>
    <definedName name="Acct597">'[7]Func Study'!$H$881</definedName>
    <definedName name="Acct598">'[7]Func Study'!$H$886</definedName>
    <definedName name="AcctAGA">'[7]Func Study'!$H$296</definedName>
    <definedName name="AcctTable">[8]Variables!$AK$42:$AK$396</definedName>
    <definedName name="AcctTS0">'[7]Func Study'!$H$1686</definedName>
    <definedName name="Acq1Plant">'[9]Acquisition Inputs'!$C$8</definedName>
    <definedName name="Acq2Plant">'[9]Acquisition Inputs'!$C$70</definedName>
    <definedName name="ActualROR">'[10]G+T+D+R+M'!$H$61</definedName>
    <definedName name="ADJPTDCE.T">[4]INTERNAL!$A$31:$IV$33</definedName>
    <definedName name="Adjs2avg">[11]Inputs!$L$255:'[11]Inputs'!$T$505</definedName>
    <definedName name="After_Tax_Cash_Discount">'[12]Assumptions (Input)'!$D$37</definedName>
    <definedName name="afudc_flag">'[12]Assumptions (Input)'!$B$13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'[13]Cabot Gas Replacement'!$B$8:$F$16</definedName>
    <definedName name="AS2DocOpenMode">"AS2DocumentEdit"</definedName>
    <definedName name="Assessment_Rate">'[12]Assumptions (Input)'!$B$7</definedName>
    <definedName name="Asset_Class_Switch">[14]Assumptions!$D$5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[8]Factors!$B$3:$P$99</definedName>
    <definedName name="Beg_Unb_KWHs">[15]LeadSht!$L$10</definedName>
    <definedName name="BOOK_LIFE">'[16]Lvl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[17]Readings!$B$2</definedName>
    <definedName name="Capital_Inflation">'[12]Assumptions (Input)'!$B$11</definedName>
    <definedName name="CASE" localSheetId="2">[18]INPUTS!$C$8</definedName>
    <definedName name="CASE">[19]INPUTS!$C$11</definedName>
    <definedName name="Case_Name">'[20]KJB-6,13 Cmn Adj'!$B$8</definedName>
    <definedName name="CaseDescription">'[9]Dispatch Cases'!$C$11</definedName>
    <definedName name="CBWorkbookPriority">-2060790043</definedName>
    <definedName name="CCGT_HeatRate">[9]Assumptions!$H$23</definedName>
    <definedName name="CCGTPrice">[9]Assumptions!$H$22</definedName>
    <definedName name="CL_RT2">'[21]Transp Data'!$A$6:$C$81</definedName>
    <definedName name="Close_Date">'[12]Capital Projects(Input)'!$D$7:$D$53</definedName>
    <definedName name="Construction_OH">'[22]Virtual 49 Back-Up'!$E$54</definedName>
    <definedName name="ConversionFactor">[9]Assumptions!$I$65</definedName>
    <definedName name="COSFacVal">[7]Inputs!$R$5</definedName>
    <definedName name="CurrQtr">'[23]Inc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'[24]Mix Variance'!$B$1:$N$31</definedName>
    <definedName name="Data.Avg">'[23]Avg Amts'!$A$5:$BP$34</definedName>
    <definedName name="Data.Qtrs.Avg">'[23]Avg Amts'!$A$5:$IV$5</definedName>
    <definedName name="data1">'[25]Mix Variance'!$O$5:$T$25</definedName>
    <definedName name="DebtPerc">[9]Assumptions!$I$58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[26]Inputs!$D$11</definedName>
    <definedName name="DES1.T">[4]INTERNAL!$A$40:$IV$42</definedName>
    <definedName name="DES2.T">[4]INTERNAL!$A$43:$IV$45</definedName>
    <definedName name="DF_HeatRate">[9]Assumptions!$L$23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'[7]Func Study'!$AB$250</definedName>
    <definedName name="Discount_for_Revenue_Reqmt">'[27]Assumptions of Purchase'!$B$45</definedName>
    <definedName name="DisFac">'[7]Func Dist Factor Table'!$A$11:$G$25</definedName>
    <definedName name="DocketNumber">'[28]JHS-4'!$AP$2</definedName>
    <definedName name="DP.T">[4]INTERNAL!$A$46:$IV$48</definedName>
    <definedName name="EBFIT.T">[4]INTERNAL!$A$88:$IV$90</definedName>
    <definedName name="EffTax" localSheetId="2">[4]INPUTS!$F$31</definedName>
    <definedName name="EffTax">[19]INPUTS!$F$36</definedName>
    <definedName name="Electric_Prices">'[29]Monthly Price Summary'!$B$4:$E$27</definedName>
    <definedName name="ElRBLine">[1]BS!$AQ$7:$AQ$3303</definedName>
    <definedName name="EndDate">[9]Assumptions!$C$11</definedName>
    <definedName name="ENERGY_1">[4]EXTERNAL!$A$4:$IV$6</definedName>
    <definedName name="ENERGY_2">[4]EXTERNAL!$A$145:$IV$147</definedName>
    <definedName name="Engy">[10]Inputs!$D$9</definedName>
    <definedName name="Engy2">[26]Inputs!$D$12</definedName>
    <definedName name="EPIS.T">[4]INTERNAL!$A$49:$IV$51</definedName>
    <definedName name="Escalator">1.025</definedName>
    <definedName name="Exhibit_No.______MJS_4">'[6]MJS-4'!$O$3</definedName>
    <definedName name="Exhibit_No.______MJS_5">'[6]MJS-5'!$E$3</definedName>
    <definedName name="Exhibit_No.______MJS_6">'[6]MJS-6'!$F$3</definedName>
    <definedName name="Factorck">'[7]COS Factor Table'!$O$15:$O$113</definedName>
    <definedName name="FactorType">[8]Variables!$AK$2:$AL$12</definedName>
    <definedName name="FactSum">'[7]COS Factor Table'!$A$14:$O$113</definedName>
    <definedName name="FCR">'[22]Virtual 49 Back-Up'!$B$20</definedName>
    <definedName name="Feb04AMA">[1]BS!$AE$7:$AE$3582</definedName>
    <definedName name="Feb09AMA">[2]BS!$AL$7:$AL$1725</definedName>
    <definedName name="Feb10AMA">[2]BS!$AX$7:$AX$1726</definedName>
    <definedName name="Fed_Cap_Tax">[30]Inputs!$E$112</definedName>
    <definedName name="FedTaxRate">[9]Assumptions!$C$33</definedName>
    <definedName name="FERC_Lookup">'[31]Map Table'!$E$2:$F$58</definedName>
    <definedName name="FIT">'[32]ROR &amp; CONV FACTOR'!$J$20</definedName>
    <definedName name="FIT_Tax_Rate">'[12]Assumptions (Input)'!$B$5</definedName>
    <definedName name="FranchiseTax">[11]Variables!$D$26</definedName>
    <definedName name="FTAX" localSheetId="2">[4]INPUTS!$F$30</definedName>
    <definedName name="FTAX">[19]INPUTS!$F$35</definedName>
    <definedName name="Func">'[7]Func Factor Table'!$A$10:$H$77</definedName>
    <definedName name="Function">'[7]Func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 localSheetId="2">{"'Sheet1'!$A$1:$J$121"}</definedName>
    <definedName name="HTML_Control" localSheetId="4">{"'Sheet1'!$A$1:$J$121"}</definedName>
    <definedName name="HTML_Control" localSheetId="5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'[12]Assumptions (Input)'!$B$9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[33]Inputs!$N$18</definedName>
    <definedName name="JP_Bal">[34]ACCOUNTS!$AG$31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[8]Variables!$AK$15</definedName>
    <definedName name="JurisNumber">[8]Variables!$AL$15</definedName>
    <definedName name="k_Docket_Number">'[20]KJB-12 Sum'!$AS$2</definedName>
    <definedName name="k_FITrate">'[20]KJB-3,11 Def'!$L$20</definedName>
    <definedName name="keep_Docket_Number">'[35]KJB-3 Sum'!$AQ$2</definedName>
    <definedName name="keep_FIT">'[35]KJB-7 Def'!$L$20</definedName>
    <definedName name="keep_KJB_3_Rate_Increase">'[35]KJB-7 Def'!$C$3</definedName>
    <definedName name="keep_KJB_4_Electric_Summary">'[35]KJB-3 Sum'!$AQ$3</definedName>
    <definedName name="keep_KJB_8_Common_Adjs">'[35]KJB-5 Cmn Adj'!$L$3</definedName>
    <definedName name="keep_KJB_9_Electric_Only">'[35]KJB-5 El Adj'!$E$3</definedName>
    <definedName name="keep_PSE">'[36]Gas Summary'!$I$5</definedName>
    <definedName name="keep_TESTYEAR">'[36]Gas Detail Pages'!$A$8</definedName>
    <definedName name="kp_DOCKET">'[36]Gas Detail Pages'!$A$9</definedName>
    <definedName name="Last_Row" localSheetId="2">IF('Forecasted Volume'!Values_Entered,Header_Row+'Forecasted Volume'!Number_of_Payments,Header_Row)</definedName>
    <definedName name="Last_Row" localSheetId="4">IF('Rate Impacts'!Values_Entered,Header_Row+'Rate Impacts'!Number_of_Payments,Header_Row)</definedName>
    <definedName name="Last_Row" localSheetId="6">IF('Schedule 141Y Revenue'!Values_Entered,Header_Row+'Schedule 141Y Revenue'!Number_of_Payments,Header_Row)</definedName>
    <definedName name="Last_Row" localSheetId="5">IF('Typical Res Bill'!Values_Entered,Header_Row+'Typical Res Bill'!Number_of_Payments,Header_Row)</definedName>
    <definedName name="Last_Row">IF([0]!Values_Entered,Header_Row+[0]!Number_of_Payments,Header_Row)</definedName>
    <definedName name="Levy_Rate">'[12]Assumptions (Input)'!$B$6</definedName>
    <definedName name="limcount">1</definedName>
    <definedName name="LINE.T">[4]INTERNAL!$A$55:$IV$57</definedName>
    <definedName name="LinkCos">'[7]JAM Download'!$K$4</definedName>
    <definedName name="Load_Factor">[34]ACCOUNTS!$AG$167</definedName>
    <definedName name="LoadArray">'[37]Load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[38]M9100F4!$A$1:$V$99</definedName>
    <definedName name="MACRS">'[12]MACRS RATES'!$A$3:$AT$10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 localSheetId="4">[39]!menu1_Button5_Click</definedName>
    <definedName name="menu1_Button5_Click" localSheetId="6">[39]!menu1_Button5_Click</definedName>
    <definedName name="menu1_Button5_Click">[39]!menu1_Button5_Click</definedName>
    <definedName name="menu1_Button6_Click" localSheetId="4">[39]!menu1_Button6_Click</definedName>
    <definedName name="menu1_Button6_Click" localSheetId="6">[39]!menu1_Button6_Click</definedName>
    <definedName name="menu1_Button6_Click">[39]!menu1_Button6_Click</definedName>
    <definedName name="MERGER_COST">[40]Sheet1!$AF$3:$AJ$28</definedName>
    <definedName name="METER">[4]EXTERNAL!$A$34:$IV$36</definedName>
    <definedName name="Method">[10]Inputs!$C$6</definedName>
    <definedName name="monthlist">[41]Table!$R$2:$S$13</definedName>
    <definedName name="monthtotals">'[41]WA SBC'!$D$40:$O$40</definedName>
    <definedName name="MTD_Format">[42]Mthly!$B$11:$D$11,[42]Mthly!$B$32:$D$32</definedName>
    <definedName name="MTR_YR3">[43]Variables!$E$14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[7]Inputs!$G$8</definedName>
    <definedName name="NetToGross">[11]Variables!$D$23</definedName>
    <definedName name="Nov03AMA">[3]BS!$AI$7:$AI$3582</definedName>
    <definedName name="Nov04AMA">[1]BS!$AN$7:$AN$3582</definedName>
    <definedName name="Nov09AMA">[2]BS!$AU$7:$AU$1726</definedName>
    <definedName name="NPC">[44]Inputs!$N$18</definedName>
    <definedName name="NRG">[4]CLASSIFIERS!$A$5:$IV$5</definedName>
    <definedName name="Number_of_Payments" localSheetId="2">MATCH(0.01,End_Bal,-1)+1</definedName>
    <definedName name="Number_of_Payments" localSheetId="4">MATCH(0.01,End_Bal,-1)+1</definedName>
    <definedName name="Number_of_Payments" localSheetId="6">MATCH(0.01,End_Bal,-1)+1</definedName>
    <definedName name="Number_of_Payments" localSheetId="5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'[12]MiscItems(Input)'!$B$5:$AO$8,'[12]MiscItems(Input)'!$B$13:$AO$13,'[12]MiscItems(Input)'!$B$15:$B$17,'[12]MiscItems(Input)'!$B$17:$AO$17,'[12]MiscItems(Input)'!$B$15:$AO$15</definedName>
    <definedName name="O_M_Rate">'[22]Virtual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'[45]Dist Misc'!$F$120</definedName>
    <definedName name="OthRCF">[18]INPUTS!$F$41</definedName>
    <definedName name="OthUnc">[4]INPUTS!$F$36</definedName>
    <definedName name="outlookdata">'[46]pivoted data'!$D$3:$Q$90</definedName>
    <definedName name="peak_new_table">'[47]2008 Extreme Peaks - 080403'!$E$5:$AD$8</definedName>
    <definedName name="peak_table">'[47]Peaks-F01'!$C$5:$E$243</definedName>
    <definedName name="PeakMethod">[10]Inputs!$T$5</definedName>
    <definedName name="Percent_debt">[30]Inputs!$E$129</definedName>
    <definedName name="Plant_Input">'[12]Plant(Input)'!$B$7:$AP$9,'[12]Plant(Input)'!$B$11,'[12]Plant(Input)'!$B$15:$AP$15,'[12]Plant(Input)'!$B$18,'[12]Plant(Input)'!$B$20:$AP$20</definedName>
    <definedName name="POWER.T">[4]INTERNAL!$A$58:$IV$60</definedName>
    <definedName name="PP.T">[4]INTERNAL!$A$61:$IV$63</definedName>
    <definedName name="PreTaxDebtCost">[9]Assumptions!$I$56</definedName>
    <definedName name="PreTaxWACC">[9]Assumptions!$I$62</definedName>
    <definedName name="Prices_Aurora">'[29]Monthly Price Summary'!$C$4:$H$63</definedName>
    <definedName name="_xlnm.Print_Area" localSheetId="2">'Forecasted Volume'!$A$1:$N$30</definedName>
    <definedName name="_xlnm.Print_Area" localSheetId="4">'Rate Impacts'!$B$1:$U$44</definedName>
    <definedName name="_xlnm.Print_Area" localSheetId="1">'Revenue Requirement'!$A$1:$N$35</definedName>
    <definedName name="_xlnm.Print_Area" localSheetId="0">'Sched 141Y Rates'!$A$1:$J$28</definedName>
    <definedName name="_xlnm.Print_Area" localSheetId="6">'Schedule 141Y Revenue'!$A$1:$H$24</definedName>
    <definedName name="_xlnm.Print_Area" localSheetId="5">'Typical Res Bill'!$B$1:$H$42</definedName>
    <definedName name="Prior_Month">[48]Sch_120!$I$21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[49]Sheet1!$A$1147:$B$1887</definedName>
    <definedName name="Prov_Cap_Tax">[30]Inputs!$E$111</definedName>
    <definedName name="PSE">'[50]4.04'!$A$6</definedName>
    <definedName name="PSE_Pre_Tax_Equity_Rate">'[27]Assumptions of Purchase'!$B$42</definedName>
    <definedName name="PTDGP.T">[4]INTERNAL!$A$64:$IV$66</definedName>
    <definedName name="PTDP.T">[4]INTERNAL!$A$67:$IV$69</definedName>
    <definedName name="QTD_Format">[51]QTD!$B$11:$D$11,[51]QTD!$B$35:$D$35</definedName>
    <definedName name="RATE2">'[21]Transp Data'!$A$8:$I$112</definedName>
    <definedName name="Rates">[52]Codes!$A$1:$C$500</definedName>
    <definedName name="RB.T">[4]INTERNAL!$A$70:$IV$72</definedName>
    <definedName name="RCF">[34]INPUTS!$F$48</definedName>
    <definedName name="Requlated_scenario">'[12]Assumptions (Input)'!$B$12</definedName>
    <definedName name="ResExchCrRate">[48]Sch_194!$M$31</definedName>
    <definedName name="RESID">[4]EXTERNAL!$A$88:$IV$90</definedName>
    <definedName name="resource_lookup">'[53]#REF'!$B$3:$C$112</definedName>
    <definedName name="ResourceSupplier">[11]Variables!$D$28</definedName>
    <definedName name="ResRCF" localSheetId="2">[18]INPUTS!$F$39</definedName>
    <definedName name="ResRCF">[19]INPUTS!$F$44</definedName>
    <definedName name="ResUnc" localSheetId="2">[4]INPUTS!$F$34</definedName>
    <definedName name="ResUnc">[19]INPUTS!$F$39</definedName>
    <definedName name="RevClass">[52]Codes!$F$2:$G$10</definedName>
    <definedName name="revenue_flag">'[12]Assumptions (Input)'!$C$12</definedName>
    <definedName name="Revenue_Taxes">'[12]Assumptions (Input)'!$B$8</definedName>
    <definedName name="REVFAC1.T">[4]INTERNAL!$A$73:$IV$75</definedName>
    <definedName name="ROD" localSheetId="2">[54]INPUTS!$F$25</definedName>
    <definedName name="ROD">[19]INPUTS!$F$30</definedName>
    <definedName name="ROR">[19]INPUTS!$F$29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[18]INPUTS!$F$40</definedName>
    <definedName name="SbUnc">[4]INPUTS!$F$35</definedName>
    <definedName name="Sch194Rlfwd">'[55]Sch94 Rlfwd'!$B$11</definedName>
    <definedName name="Schedule">[44]Inputs!$N$14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[9]Assumptions!$C$9</definedName>
    <definedName name="STATE_UTILITY_TAX">'[6]MJS-7'!$N$16</definedName>
    <definedName name="STAX" localSheetId="2">[4]INPUTS!$F$29</definedName>
    <definedName name="STAX">[19]INPUTS!$F$34</definedName>
    <definedName name="SW.T">[4]INTERNAL!$A$76:$IV$78</definedName>
    <definedName name="SWPTD.T">[4]INTERNAL!$A$79:$IV$81</definedName>
    <definedName name="TableName">"Dummy"</definedName>
    <definedName name="TargetROR">[10]Inputs!$G$29</definedName>
    <definedName name="TDP.T">[4]INTERNAL!$A$82:$IV$84</definedName>
    <definedName name="TestPeriod">[7]Inputs!$C$5</definedName>
    <definedName name="TESTYEAR">'[28]JHS-6'!$A$7</definedName>
    <definedName name="TFR">[4]CLASSIFIERS!$A$11:$IV$11</definedName>
    <definedName name="ThermalBookLife">[9]Assumptions!$C$25</definedName>
    <definedName name="Title">[9]Assumptions!$A$1</definedName>
    <definedName name="Total_Payment" localSheetId="4">Scheduled_Payment+Extra_Payment</definedName>
    <definedName name="Total_Payment" localSheetId="6">Scheduled_Payment+Extra_Payment</definedName>
    <definedName name="Total_Payment" localSheetId="5">Scheduled_Payment+Extra_Payment</definedName>
    <definedName name="Total_Payment">Scheduled_Payment+Extra_Payment</definedName>
    <definedName name="TotalRateBase">'[7]G+T+D+R+M'!$H$58</definedName>
    <definedName name="TP.T">[4]INTERNAL!$A$91:$IV$93</definedName>
    <definedName name="transdb">'[56]Transp Unbilled'!$A$8:$E$174</definedName>
    <definedName name="TRANSM_2">[57]Transm2!$A$1:$M$461:'[57]10 Yr FC'!$M$47</definedName>
    <definedName name="UAcct103">'[7]Func Study'!$AB$1613</definedName>
    <definedName name="UAcct105Dnpg">'[7]Func Study'!$AB$2010</definedName>
    <definedName name="UAcct105S">'[7]Func Study'!$AB$2005</definedName>
    <definedName name="UAcct105Seu">'[7]Func Study'!$AB$2009</definedName>
    <definedName name="UAcct105Snppo">'[7]Func Study'!$AB$2008</definedName>
    <definedName name="UAcct105Snpps">'[7]Func Study'!$AB$2006</definedName>
    <definedName name="UAcct105Snpt">'[7]Func Study'!$AB$2007</definedName>
    <definedName name="UAcct1081390">'[7]Func Study'!$AB$2451</definedName>
    <definedName name="UAcct1081390Rcl">'[7]Func Study'!$AB$2450</definedName>
    <definedName name="UAcct1081399">'[7]Func Study'!$AB$2459</definedName>
    <definedName name="UAcct1081399Rcl">'[7]Func Study'!$AB$2458</definedName>
    <definedName name="UAcct108360">'[7]Func Study'!$AB$2355</definedName>
    <definedName name="UAcct108361">'[7]Func Study'!$AB$2359</definedName>
    <definedName name="UAcct108362">'[7]Func Study'!$AB$2363</definedName>
    <definedName name="UAcct108364">'[7]Func Study'!$AB$2367</definedName>
    <definedName name="UAcct108365">'[7]Func Study'!$AB$2371</definedName>
    <definedName name="UAcct108366">'[7]Func Study'!$AB$2375</definedName>
    <definedName name="UAcct108367">'[7]Func Study'!$AB$2379</definedName>
    <definedName name="UAcct108368">'[7]Func Study'!$AB$2383</definedName>
    <definedName name="UAcct108369">'[7]Func Study'!$AB$2387</definedName>
    <definedName name="UAcct108370">'[7]Func Study'!$AB$2391</definedName>
    <definedName name="UAcct108371">'[7]Func Study'!$AB$2395</definedName>
    <definedName name="UAcct108372">'[7]Func Study'!$AB$2399</definedName>
    <definedName name="UAcct108373">'[7]Func Study'!$AB$2403</definedName>
    <definedName name="UAcct108D">'[7]Func Study'!$AB$2415</definedName>
    <definedName name="UAcct108D00">'[7]Func Study'!$AB$2407</definedName>
    <definedName name="UAcct108Ds">'[7]Func Study'!$AB$2411</definedName>
    <definedName name="UAcct108Ep">'[7]Func Study'!$AB$2327</definedName>
    <definedName name="UAcct108Gpcn">'[7]Func Study'!$AB$2429</definedName>
    <definedName name="UAcct108Gps">'[7]Func Study'!$AB$2425</definedName>
    <definedName name="UAcct108Gpse">'[7]Func Study'!$AB$2431</definedName>
    <definedName name="UAcct108Gpsg">'[7]Func Study'!$AB$2428</definedName>
    <definedName name="UAcct108Gpsgp">'[7]Func Study'!$AB$2426</definedName>
    <definedName name="UAcct108Gpsgu">'[7]Func Study'!$AB$2427</definedName>
    <definedName name="UAcct108Gpso">'[7]Func Study'!$AB$2430</definedName>
    <definedName name="UACCT108GPSSGCH">'[7]Func Study'!$AB$2434</definedName>
    <definedName name="UACCT108GPSSGCT">'[7]Func Study'!$AB$2433</definedName>
    <definedName name="UAcct108Hp">'[7]Func Study'!$AB$2313</definedName>
    <definedName name="UAcct108Mp">'[7]Func Study'!$AB$2444</definedName>
    <definedName name="UAcct108Np">'[7]Func Study'!$AB$2305</definedName>
    <definedName name="UAcct108Op">'[7]Func Study'!$AB$2322</definedName>
    <definedName name="UACCT108OPSSCCT">'[7]Func Study'!$AB$2321</definedName>
    <definedName name="UAcct108Sp">'[7]Func Study'!$AB$2299</definedName>
    <definedName name="UACCT108SPSSGCH">'[7]Func Study'!$AB$2298</definedName>
    <definedName name="UAcct108Tp">'[7]Func Study'!$AB$2346</definedName>
    <definedName name="UAcct111Clg">'[7]Func Study'!$AB$2487</definedName>
    <definedName name="UAcct111Clgsou">'[7]Func Study'!$AB$2485</definedName>
    <definedName name="UAcct111Clh">'[7]Func Study'!$AB$2493</definedName>
    <definedName name="UAcct111Cls">'[7]Func Study'!$AB$2478</definedName>
    <definedName name="UAcct111Ipcn">'[7]Func Study'!$AB$2502</definedName>
    <definedName name="UAcct111Ips">'[7]Func Study'!$AB$2497</definedName>
    <definedName name="UAcct111Ipse">'[7]Func Study'!$AB$2500</definedName>
    <definedName name="UAcct111Ipsg">'[7]Func Study'!$AB$2501</definedName>
    <definedName name="UAcct111Ipsgp">'[7]Func Study'!$AB$2498</definedName>
    <definedName name="UAcct111Ipsgu">'[7]Func Study'!$AB$2499</definedName>
    <definedName name="UAcct111Ipso">'[7]Func Study'!$AB$2506</definedName>
    <definedName name="UACCT111IPSSGCH">'[7]Func Study'!$AB$2505</definedName>
    <definedName name="UACCT111IPSSGCT">'[7]Func Study'!$AB$2504</definedName>
    <definedName name="UAcct114">'[7]Func Study'!$AB$2017</definedName>
    <definedName name="UAcct120">'[7]Func Study'!$AB$2021</definedName>
    <definedName name="UAcct124">'[7]Func Study'!$AB$2026</definedName>
    <definedName name="UAcct141">'[7]Func Study'!$AB$2173</definedName>
    <definedName name="UAcct151">'[7]Func Study'!$AB$2049</definedName>
    <definedName name="Uacct151SSECT">'[7]Func Study'!$AB$2047</definedName>
    <definedName name="UAcct154">'[7]Func Study'!$AB$2083</definedName>
    <definedName name="Uacct154SSGCT">'[7]Func Study'!$AB$2080</definedName>
    <definedName name="UAcct163">'[7]Func Study'!$AB$2093</definedName>
    <definedName name="UAcct165">'[7]Func Study'!$AB$2108</definedName>
    <definedName name="UAcct165Gps">'[7]Func Study'!$AB$2104</definedName>
    <definedName name="UAcct182">'[7]Func Study'!$AB$2033</definedName>
    <definedName name="UAcct18222">'[7]Func Study'!$AB$2163</definedName>
    <definedName name="UAcct182M">'[7]Func Study'!$AB$2118</definedName>
    <definedName name="UAcct182MSSGCH">'[7]Func Study'!$AB$2113</definedName>
    <definedName name="UAcct186">'[7]Func Study'!$AB$2041</definedName>
    <definedName name="UAcct1869">'[7]Func Study'!$AB$2168</definedName>
    <definedName name="UAcct186M">'[7]Func Study'!$AB$2129</definedName>
    <definedName name="UAcct190">'[7]Func Study'!$AB$2243</definedName>
    <definedName name="UAcct190Baddebt">'[7]Func Study'!$AB$2237</definedName>
    <definedName name="UAcct190Dop">'[7]Func Study'!$AB$2235</definedName>
    <definedName name="UAcct2281">'[7]Func Study'!$AB$2191</definedName>
    <definedName name="UAcct2282">'[7]Func Study'!$AB$2195</definedName>
    <definedName name="UAcct2283">'[7]Func Study'!$AB$2200</definedName>
    <definedName name="UACCT22841SG">'[7]Func Study'!$AB$2205</definedName>
    <definedName name="UAcct22842">'[7]Func Study'!$AB$2211</definedName>
    <definedName name="UAcct235">'[7]Func Study'!$AB$2187</definedName>
    <definedName name="UACCT235CN">'[7]Func Study'!$AB$2186</definedName>
    <definedName name="UAcct252">'[7]Func Study'!$AB$2219</definedName>
    <definedName name="UAcct25316">'[7]Func Study'!$AB$2057</definedName>
    <definedName name="UAcct25317">'[7]Func Study'!$AB$2061</definedName>
    <definedName name="UAcct25318">'[7]Func Study'!$AB$2098</definedName>
    <definedName name="UAcct25319">'[7]Func Study'!$AB$2065</definedName>
    <definedName name="uacct25398">'[7]Func Study'!$AB$2222</definedName>
    <definedName name="UAcct25399">'[7]Func Study'!$AB$2230</definedName>
    <definedName name="UACCT254SO">'[7]Func Study'!$AB$2202</definedName>
    <definedName name="UAcct255">'[7]Func Study'!$AB$2284</definedName>
    <definedName name="UAcct281">'[7]Func Study'!$AB$2249</definedName>
    <definedName name="UAcct282">'[7]Func Study'!$AB$2259</definedName>
    <definedName name="UAcct282Cn">'[7]Func Study'!$AB$2256</definedName>
    <definedName name="UAcct282So">'[7]Func Study'!$AB$2255</definedName>
    <definedName name="UAcct283">'[7]Func Study'!$AB$2271</definedName>
    <definedName name="UAcct283So">'[7]Func Study'!$AB$2265</definedName>
    <definedName name="UAcct301S">'[7]Func Study'!$AB$1964</definedName>
    <definedName name="UAcct301Sg">'[7]Func Study'!$AB$1966</definedName>
    <definedName name="UAcct301So">'[7]Func Study'!$AB$1965</definedName>
    <definedName name="UAcct302S">'[7]Func Study'!$AB$1969</definedName>
    <definedName name="UAcct302Sg">'[7]Func Study'!$AB$1970</definedName>
    <definedName name="UAcct302Sgp">'[7]Func Study'!$AB$1971</definedName>
    <definedName name="UAcct302Sgu">'[7]Func Study'!$AB$1972</definedName>
    <definedName name="UAcct303Cn">'[7]Func Study'!$AB$1980</definedName>
    <definedName name="UAcct303S">'[7]Func Study'!$AB$1976</definedName>
    <definedName name="UAcct303Se">'[7]Func Study'!$AB$1979</definedName>
    <definedName name="UAcct303Sg">'[7]Func Study'!$AB$1977</definedName>
    <definedName name="UAcct303Sgu">'[7]Func Study'!$AB$1981</definedName>
    <definedName name="UAcct303So">'[7]Func Study'!$AB$1978</definedName>
    <definedName name="UACCT303SSGCH">'[7]Func Study'!$AB$1983</definedName>
    <definedName name="UAcct310">'[7]Func Study'!$AB$1414</definedName>
    <definedName name="UAcct310JBG">'[7]Func Study'!$AB$1413</definedName>
    <definedName name="UAcct311">'[7]Func Study'!$AB$1421</definedName>
    <definedName name="UAcct311JBG">'[7]Func Study'!$AB$1420</definedName>
    <definedName name="UAcct312">'[7]Func Study'!$AB$1428</definedName>
    <definedName name="UAcct312JBG">'[7]Func Study'!$AB$1427</definedName>
    <definedName name="UAcct314">'[7]Func Study'!$AB$1435</definedName>
    <definedName name="UAcct314JBG">'[7]Func Study'!$AB$1434</definedName>
    <definedName name="UAcct315">'[7]Func Study'!$AB$1442</definedName>
    <definedName name="UAcct315JBG">'[7]Func Study'!$AB$1441</definedName>
    <definedName name="UAcct316">'[7]Func Study'!$AB$1450</definedName>
    <definedName name="UAcct316JBG">'[7]Func Study'!$AB$1449</definedName>
    <definedName name="UAcct320">'[7]Func Study'!$AB$1466</definedName>
    <definedName name="UAcct321">'[7]Func Study'!$AB$1471</definedName>
    <definedName name="UAcct322">'[7]Func Study'!$AB$1476</definedName>
    <definedName name="UAcct323">'[7]Func Study'!$AB$1481</definedName>
    <definedName name="UAcct324">'[7]Func Study'!$AB$1486</definedName>
    <definedName name="UAcct325">'[7]Func Study'!$AB$1491</definedName>
    <definedName name="UAcct33">'[7]Func Study'!$AB$295</definedName>
    <definedName name="UAcct330">'[7]Func Study'!$AB$1508</definedName>
    <definedName name="UAcct331">'[7]Func Study'!$AB$1513</definedName>
    <definedName name="UAcct332">'[7]Func Study'!$AB$1518</definedName>
    <definedName name="UAcct333">'[7]Func Study'!$AB$1523</definedName>
    <definedName name="UAcct334">'[7]Func Study'!$AB$1528</definedName>
    <definedName name="UAcct335">'[7]Func Study'!$AB$1533</definedName>
    <definedName name="UAcct336">'[7]Func Study'!$AB$1539</definedName>
    <definedName name="UAcct340Dgu">'[7]Func Study'!$AB$1564</definedName>
    <definedName name="UAcct340Sgu">'[7]Func Study'!$AB$1565</definedName>
    <definedName name="UAcct341Dgu">'[7]Func Study'!$AB$1569</definedName>
    <definedName name="UAcct341Sgu">'[7]Func Study'!$AB$1570</definedName>
    <definedName name="UAcct342Dgu">'[7]Func Study'!$AB$1574</definedName>
    <definedName name="UAcct342Sgu">'[7]Func Study'!$AB$1575</definedName>
    <definedName name="UAcct343">'[7]Func Study'!$AB$1584</definedName>
    <definedName name="UAcct344S">'[7]Func Study'!$AB$1587</definedName>
    <definedName name="UAcct344Sgp">'[7]Func Study'!$AB$1588</definedName>
    <definedName name="UAcct345Dgu">'[7]Func Study'!$AB$1594</definedName>
    <definedName name="UAcct345Sgu">'[7]Func Study'!$AB$1595</definedName>
    <definedName name="UAcct346">'[7]Func Study'!$AB$1601</definedName>
    <definedName name="UAcct350">'[7]Func Study'!$AB$1628</definedName>
    <definedName name="UAcct352">'[7]Func Study'!$AB$1635</definedName>
    <definedName name="UAcct353">'[7]Func Study'!$AB$1641</definedName>
    <definedName name="UAcct354">'[7]Func Study'!$AB$1647</definedName>
    <definedName name="UAcct355">'[7]Func Study'!$AB$1654</definedName>
    <definedName name="UAcct356">'[7]Func Study'!$AB$1660</definedName>
    <definedName name="UAcct357">'[7]Func Study'!$AB$1666</definedName>
    <definedName name="UAcct358">'[7]Func Study'!$AB$1672</definedName>
    <definedName name="UAcct359">'[7]Func Study'!$AB$1678</definedName>
    <definedName name="UAcct360">'[7]Func Study'!$AB$1698</definedName>
    <definedName name="UAcct361">'[7]Func Study'!$AB$1704</definedName>
    <definedName name="UAcct362">'[7]Func Study'!$AB$1710</definedName>
    <definedName name="UAcct368">'[7]Func Study'!$AB$1744</definedName>
    <definedName name="UAcct369">'[7]Func Study'!$AB$1751</definedName>
    <definedName name="UAcct370">'[7]Func Study'!$AB$1762</definedName>
    <definedName name="UAcct372A">'[7]Func Study'!$AB$1775</definedName>
    <definedName name="UAcct372Dp">'[7]Func Study'!$AB$1773</definedName>
    <definedName name="UAcct372Ds">'[7]Func Study'!$AB$1774</definedName>
    <definedName name="UAcct373">'[7]Func Study'!$AB$1782</definedName>
    <definedName name="UAcct389Cn">'[7]Func Study'!$AB$1800</definedName>
    <definedName name="UAcct389S">'[7]Func Study'!$AB$1799</definedName>
    <definedName name="UAcct389Sg">'[7]Func Study'!$AB$1802</definedName>
    <definedName name="UAcct389Sgu">'[7]Func Study'!$AB$1801</definedName>
    <definedName name="UAcct389So">'[7]Func Study'!$AB$1803</definedName>
    <definedName name="UAcct390Cn">'[7]Func Study'!$AB$1810</definedName>
    <definedName name="UAcct390JBG">'[7]Func Study'!$AB$1812</definedName>
    <definedName name="UAcct390L">'[7]Func Study'!$AB$1927</definedName>
    <definedName name="UACCT390LRCL">'[7]Func Study'!$AB$1929</definedName>
    <definedName name="UAcct390S">'[7]Func Study'!$AB$1807</definedName>
    <definedName name="UAcct390Sgp">'[7]Func Study'!$AB$1808</definedName>
    <definedName name="UAcct390Sgu">'[7]Func Study'!$AB$1809</definedName>
    <definedName name="UAcct390Sop">'[7]Func Study'!$AB$1811</definedName>
    <definedName name="UAcct390Sou">'[7]Func Study'!$AB$1813</definedName>
    <definedName name="UAcct391Cn">'[7]Func Study'!$AB$1820</definedName>
    <definedName name="UACCT391JBE">'[7]Func Study'!$AB$1825</definedName>
    <definedName name="UAcct391S">'[7]Func Study'!$AB$1817</definedName>
    <definedName name="UAcct391Sg">'[7]Func Study'!$AB$1821</definedName>
    <definedName name="UAcct391Sgp">'[7]Func Study'!$AB$1818</definedName>
    <definedName name="UAcct391Sgu">'[7]Func Study'!$AB$1819</definedName>
    <definedName name="UAcct391So">'[7]Func Study'!$AB$1823</definedName>
    <definedName name="UACCT391SSGCH">'[7]Func Study'!$AB$1824</definedName>
    <definedName name="UAcct392Cn">'[7]Func Study'!$AB$1832</definedName>
    <definedName name="UAcct392L">'[7]Func Study'!$AB$1935</definedName>
    <definedName name="UAcct392Lrcl">'[7]Func Study'!$AB$1937</definedName>
    <definedName name="UAcct392S">'[7]Func Study'!$AB$1829</definedName>
    <definedName name="UAcct392Se">'[7]Func Study'!$AB$1834</definedName>
    <definedName name="UAcct392Sg">'[7]Func Study'!$AB$1831</definedName>
    <definedName name="UAcct392Sgp">'[7]Func Study'!$AB$1835</definedName>
    <definedName name="UAcct392Sgu">'[7]Func Study'!$AB$1833</definedName>
    <definedName name="UAcct392So">'[7]Func Study'!$AB$1830</definedName>
    <definedName name="UACCT392SSGCH">'[7]Func Study'!$AB$1836</definedName>
    <definedName name="UAcct393S">'[7]Func Study'!$AB$1841</definedName>
    <definedName name="UAcct393Sg">'[7]Func Study'!$AB$1845</definedName>
    <definedName name="UAcct393Sgp">'[7]Func Study'!$AB$1842</definedName>
    <definedName name="UAcct393Sgu">'[7]Func Study'!$AB$1843</definedName>
    <definedName name="UAcct393So">'[7]Func Study'!$AB$1844</definedName>
    <definedName name="UACCT393SSGCT">'[7]Func Study'!$AB$1846</definedName>
    <definedName name="UAcct394S">'[7]Func Study'!$AB$1850</definedName>
    <definedName name="UAcct394Se">'[7]Func Study'!$AB$1854</definedName>
    <definedName name="UAcct394Sg">'[7]Func Study'!$AB$1855</definedName>
    <definedName name="UAcct394Sgp">'[7]Func Study'!$AB$1851</definedName>
    <definedName name="UAcct394Sgu">'[7]Func Study'!$AB$1852</definedName>
    <definedName name="UAcct394So">'[7]Func Study'!$AB$1853</definedName>
    <definedName name="UACCT394SSGCH">'[7]Func Study'!$AB$1856</definedName>
    <definedName name="UAcct395S">'[7]Func Study'!$AB$1861</definedName>
    <definedName name="UAcct395Se">'[7]Func Study'!$AB$1865</definedName>
    <definedName name="UAcct395Sg">'[7]Func Study'!$AB$1866</definedName>
    <definedName name="UAcct395Sgp">'[7]Func Study'!$AB$1862</definedName>
    <definedName name="UAcct395Sgu">'[7]Func Study'!$AB$1863</definedName>
    <definedName name="UAcct395So">'[7]Func Study'!$AB$1864</definedName>
    <definedName name="UACCT395SSGCH">'[7]Func Study'!$AB$1867</definedName>
    <definedName name="UAcct396S">'[7]Func Study'!$AB$1872</definedName>
    <definedName name="UAcct396Se">'[7]Func Study'!$AB$1877</definedName>
    <definedName name="UAcct396Sg">'[7]Func Study'!$AB$1874</definedName>
    <definedName name="UAcct396Sgp">'[7]Func Study'!$AB$1873</definedName>
    <definedName name="UAcct396Sgu">'[7]Func Study'!$AB$1876</definedName>
    <definedName name="UAcct396So">'[7]Func Study'!$AB$1875</definedName>
    <definedName name="UACCT396SSGCH">'[7]Func Study'!$AB$1879</definedName>
    <definedName name="UACCT396SSGCT">'[7]Func Study'!$AB$1878</definedName>
    <definedName name="UAcct397Cn">'[7]Func Study'!$AB$1890</definedName>
    <definedName name="UAcct397JBG">'[7]Func Study'!$AB$1893</definedName>
    <definedName name="UAcct397S">'[7]Func Study'!$AB$1886</definedName>
    <definedName name="UAcct397Se">'[7]Func Study'!$AB$1892</definedName>
    <definedName name="UAcct397Sg">'[7]Func Study'!$AB$1891</definedName>
    <definedName name="UAcct397Sgp">'[7]Func Study'!$AB$1887</definedName>
    <definedName name="UAcct397Sgu">'[7]Func Study'!$AB$1888</definedName>
    <definedName name="UAcct397So">'[7]Func Study'!$AB$1889</definedName>
    <definedName name="UAcct398Cn">'[7]Func Study'!$AB$1902</definedName>
    <definedName name="UAcct398S">'[7]Func Study'!$AB$1899</definedName>
    <definedName name="UAcct398Se">'[7]Func Study'!$AB$1904</definedName>
    <definedName name="UAcct398Sg">'[7]Func Study'!$AB$1905</definedName>
    <definedName name="UAcct398Sgp">'[7]Func Study'!$AB$1900</definedName>
    <definedName name="UAcct398Sgu">'[7]Func Study'!$AB$1901</definedName>
    <definedName name="UAcct398So">'[7]Func Study'!$AB$1903</definedName>
    <definedName name="UACCT398SSGCT">'[7]Func Study'!$AB$1906</definedName>
    <definedName name="UAcct399">'[7]Func Study'!$AB$1913</definedName>
    <definedName name="UAcct399G">'[7]Func Study'!$AB$1955</definedName>
    <definedName name="UAcct399L">'[7]Func Study'!$AB$1917</definedName>
    <definedName name="UAcct399Lrcl">'[7]Func Study'!$AB$1919</definedName>
    <definedName name="UAcct403360">'[7]Func Study'!$AB$1090</definedName>
    <definedName name="UAcct403361">'[7]Func Study'!$AB$1091</definedName>
    <definedName name="UAcct403362">'[7]Func Study'!$AB$1092</definedName>
    <definedName name="UAcct403364">'[7]Func Study'!$AB$1094</definedName>
    <definedName name="UAcct403365">'[7]Func Study'!$AB$1095</definedName>
    <definedName name="UAcct403366">'[7]Func Study'!$AB$1096</definedName>
    <definedName name="UAcct403367">'[7]Func Study'!$AB$1097</definedName>
    <definedName name="UAcct403368">'[7]Func Study'!$AB$1098</definedName>
    <definedName name="UAcct403369">'[7]Func Study'!$AB$1099</definedName>
    <definedName name="UAcct403370">'[7]Func Study'!$AB$1100</definedName>
    <definedName name="UAcct403371">'[7]Func Study'!$AB$1101</definedName>
    <definedName name="UAcct403372">'[7]Func Study'!$AB$1102</definedName>
    <definedName name="UAcct403373">'[7]Func Study'!$AB$1103</definedName>
    <definedName name="UAcct403Ep">'[7]Func Study'!$AB$1130</definedName>
    <definedName name="UAcct403Gpcn">'[7]Func Study'!$AB$1111</definedName>
    <definedName name="UAcct403GPDGP">'[7]Func Study'!$AB$1108</definedName>
    <definedName name="UAcct403GPDGU">'[7]Func Study'!$AB$1109</definedName>
    <definedName name="UAcct403GPJBG">'[7]Func Study'!$AB$1115</definedName>
    <definedName name="UAcct403Gps">'[7]Func Study'!$AB$1107</definedName>
    <definedName name="UAcct403Gpsg">'[7]Func Study'!$AB$1112</definedName>
    <definedName name="UAcct403Gpso">'[7]Func Study'!$AB$1113</definedName>
    <definedName name="UAcct403Gv0">'[7]Func Study'!$AB$1121</definedName>
    <definedName name="UAcct403Hp">'[7]Func Study'!$AB$1072</definedName>
    <definedName name="UACCT403JBE">'[7]Func Study'!$AB$1116</definedName>
    <definedName name="UAcct403Mp">'[7]Func Study'!$AB$1125</definedName>
    <definedName name="UAcct403Np">'[7]Func Study'!$AB$1065</definedName>
    <definedName name="UAcct403Op">'[7]Func Study'!$AB$1080</definedName>
    <definedName name="UAcct403OPCAGE">'[7]Func Study'!$AB$1078</definedName>
    <definedName name="UAcct403Sp">'[7]Func Study'!$AB$1061</definedName>
    <definedName name="UAcct403SPJBG">'[7]Func Study'!$AB$1058</definedName>
    <definedName name="UAcct403Tp">'[7]Func Study'!$AB$1087</definedName>
    <definedName name="UAcct404330">'[7]Func Study'!$AB$1177</definedName>
    <definedName name="UACCT404GP">'[7]Func Study'!$AB$1146</definedName>
    <definedName name="UACCT404GPCN">'[7]Func Study'!$AB$1143</definedName>
    <definedName name="UACCT404GPSO">'[7]Func Study'!$AB$1141</definedName>
    <definedName name="UAcct404Ipcn">'[7]Func Study'!$AB$1158</definedName>
    <definedName name="UAcct404IPJBG">'[7]Func Study'!$AB$1163</definedName>
    <definedName name="UAcct404Ips">'[7]Func Study'!$AB$1154</definedName>
    <definedName name="UAcct404Ipse">'[7]Func Study'!$AB$1155</definedName>
    <definedName name="UAcct404Ipsg">'[7]Func Study'!$AB$1156</definedName>
    <definedName name="UAcct404Ipsg1">'[7]Func Study'!$AB$1159</definedName>
    <definedName name="UAcct404Ipsg2">'[7]Func Study'!$AB$1160</definedName>
    <definedName name="UAcct404Ipso">'[7]Func Study'!$AB$1157</definedName>
    <definedName name="UAcct404M">'[7]Func Study'!$AB$1168</definedName>
    <definedName name="UACCT404OP">'[7]Func Study'!$AB$1172</definedName>
    <definedName name="UACCT404SP">'[7]Func Study'!$AB$1151</definedName>
    <definedName name="UAcct405">'[7]Func Study'!$AB$1185</definedName>
    <definedName name="UAcct406">'[7]Func Study'!$AB$1193</definedName>
    <definedName name="UAcct407">'[7]Func Study'!$AB$1202</definedName>
    <definedName name="UAcct408">'[7]Func Study'!$AB$1221</definedName>
    <definedName name="UAcct408S">'[7]Func Study'!$AB$1213</definedName>
    <definedName name="UAcct41010">'[7]Func Study'!$AB$1294</definedName>
    <definedName name="UAcct41011">'[7]Func Study'!$AB$1309</definedName>
    <definedName name="UAcct41110">'[7]Func Study'!$AB$1325</definedName>
    <definedName name="UAcct41140">'[7]Func Study'!$AB$1232</definedName>
    <definedName name="UAcct41141">'[7]Func Study'!$AB$1237</definedName>
    <definedName name="UAcct41160">'[7]Func Study'!$AB$369</definedName>
    <definedName name="UAcct41170">'[7]Func Study'!$AB$374</definedName>
    <definedName name="UAcct4118">'[7]Func Study'!$AB$378</definedName>
    <definedName name="UAcct41181">'[7]Func Study'!$AB$381</definedName>
    <definedName name="UAcct4194">'[7]Func Study'!$AB$385</definedName>
    <definedName name="UAcct421">'[7]Func Study'!$AB$394</definedName>
    <definedName name="UAcct4311">'[7]Func Study'!$AB$401</definedName>
    <definedName name="UAcct442Se">'[7]Func Study'!$AB$259</definedName>
    <definedName name="UAcct442Sg">'[7]Func Study'!$AB$260</definedName>
    <definedName name="UAcct447">'[7]Func Study'!$AB$281</definedName>
    <definedName name="UACCT447NPC">'[7]Func Study'!$AB$289</definedName>
    <definedName name="UACCT447NPCCAEW">'[7]Func Study'!$AB$286</definedName>
    <definedName name="UACCT447NPCCAGW">'[7]Func Study'!$AB$287</definedName>
    <definedName name="UACCT447NPCDGP">'[7]Func Study'!$AB$288</definedName>
    <definedName name="UAcct447S">'[7]Func Study'!$AB$280</definedName>
    <definedName name="UAcct448S">'[7]Func Study'!$AB$274</definedName>
    <definedName name="UAcct448So">'[7]Func Study'!$AB$275</definedName>
    <definedName name="UAcct449">'[7]Func Study'!$AB$294</definedName>
    <definedName name="UAcct450">'[7]Func Study'!$AB$304</definedName>
    <definedName name="UAcct450S">'[7]Func Study'!$AB$302</definedName>
    <definedName name="UAcct450So">'[7]Func Study'!$AB$303</definedName>
    <definedName name="UAcct451S">'[7]Func Study'!$AB$307</definedName>
    <definedName name="UAcct451Sg">'[7]Func Study'!$AB$308</definedName>
    <definedName name="UAcct451So">'[7]Func Study'!$AB$309</definedName>
    <definedName name="UAcct453">'[7]Func Study'!$AB$315</definedName>
    <definedName name="UAcct454">'[7]Func Study'!$AB$322</definedName>
    <definedName name="UAcct454JBG">'[7]Func Study'!$AB$319</definedName>
    <definedName name="UAcct454S">'[7]Func Study'!$AB$318</definedName>
    <definedName name="UAcct454Sg">'[7]Func Study'!$AB$320</definedName>
    <definedName name="UAcct454So">'[7]Func Study'!$AB$321</definedName>
    <definedName name="UAcct456">'[7]Func Study'!$AB$332</definedName>
    <definedName name="UAcct456CAEW">'[7]Func Study'!$AB$331</definedName>
    <definedName name="UAcct456S">'[7]Func Study'!$AB$325</definedName>
    <definedName name="UAcct456So">'[7]Func Study'!$AB$329</definedName>
    <definedName name="UAcct500">'[7]Func Study'!$AB$416</definedName>
    <definedName name="UAcct500JBG">'[7]Func Study'!$AB$414</definedName>
    <definedName name="UAcct501">'[7]Func Study'!$AB$423</definedName>
    <definedName name="UAcct501CAEW">'[7]Func Study'!$AB$420</definedName>
    <definedName name="UAcct501JBE">'[7]Func Study'!$AB$421</definedName>
    <definedName name="UACCT501NPCCAEW">'[7]Func Study'!$AB$426</definedName>
    <definedName name="UAcct502">'[7]Func Study'!$AB$433</definedName>
    <definedName name="UAcct502CAGE">'[7]Func Study'!$AB$431</definedName>
    <definedName name="UAcct503">'[7]Func Study'!$AB$437</definedName>
    <definedName name="UACCT503NPC">'[7]Func Study'!$AB$443</definedName>
    <definedName name="UAcct505">'[7]Func Study'!$AB$449</definedName>
    <definedName name="UAcct505CAGE">'[7]Func Study'!$AB$447</definedName>
    <definedName name="UAcct506">'[7]Func Study'!$AB$455</definedName>
    <definedName name="UAcct506CAGE">'[7]Func Study'!$AB$452</definedName>
    <definedName name="UAcct507">'[7]Func Study'!$AB$464</definedName>
    <definedName name="UAcct507CAGE">'[7]Func Study'!$AB$462</definedName>
    <definedName name="UAcct510">'[7]Func Study'!$AB$469</definedName>
    <definedName name="UAcct510CAGE">'[7]Func Study'!$AB$467</definedName>
    <definedName name="UAcct511">'[7]Func Study'!$AB$474</definedName>
    <definedName name="UAcct511CAGE">'[7]Func Study'!$AB$472</definedName>
    <definedName name="UAcct512">'[7]Func Study'!$AB$479</definedName>
    <definedName name="UAcct512CAGE">'[7]Func Study'!$AB$477</definedName>
    <definedName name="UAcct513">'[7]Func Study'!$AB$484</definedName>
    <definedName name="UAcct513CAGE">'[7]Func Study'!$AB$482</definedName>
    <definedName name="UAcct514">'[7]Func Study'!$AB$489</definedName>
    <definedName name="UAcct514CAGE">'[7]Func Study'!$AB$487</definedName>
    <definedName name="UAcct517">'[7]Func Study'!$AB$498</definedName>
    <definedName name="UAcct518">'[7]Func Study'!$AB$502</definedName>
    <definedName name="UAcct519">'[7]Func Study'!$AB$507</definedName>
    <definedName name="UAcct520">'[7]Func Study'!$AB$511</definedName>
    <definedName name="UAcct523">'[7]Func Study'!$AB$515</definedName>
    <definedName name="UAcct524">'[7]Func Study'!$AB$519</definedName>
    <definedName name="UAcct528">'[7]Func Study'!$AB$523</definedName>
    <definedName name="UAcct529">'[7]Func Study'!$AB$527</definedName>
    <definedName name="UAcct530">'[7]Func Study'!$AB$531</definedName>
    <definedName name="UAcct531">'[7]Func Study'!$AB$535</definedName>
    <definedName name="UAcct532">'[7]Func Study'!$AB$539</definedName>
    <definedName name="UAcct535">'[7]Func Study'!$AB$551</definedName>
    <definedName name="UAcct536">'[7]Func Study'!$AB$555</definedName>
    <definedName name="UAcct537">'[7]Func Study'!$AB$559</definedName>
    <definedName name="UAcct538">'[7]Func Study'!$AB$563</definedName>
    <definedName name="UAcct539">'[7]Func Study'!$AB$568</definedName>
    <definedName name="UAcct540">'[7]Func Study'!$AB$572</definedName>
    <definedName name="UAcct541">'[7]Func Study'!$AB$576</definedName>
    <definedName name="UAcct542">'[7]Func Study'!$AB$580</definedName>
    <definedName name="UAcct543">'[7]Func Study'!$AB$584</definedName>
    <definedName name="UAcct544">'[7]Func Study'!$AB$588</definedName>
    <definedName name="UAcct545">'[7]Func Study'!$AB$592</definedName>
    <definedName name="UAcct546">'[7]Func Study'!$AB$606</definedName>
    <definedName name="UAcct546CAGE">'[7]Func Study'!$AB$605</definedName>
    <definedName name="UAcct547CAEW">'[7]Func Study'!$AB$610</definedName>
    <definedName name="UACCT547NPCCAEW">'[7]Func Study'!$AB$613</definedName>
    <definedName name="UAcct547Se">'[7]Func Study'!$AB$609</definedName>
    <definedName name="UAcct548">'[7]Func Study'!$AB$621</definedName>
    <definedName name="UACCT548CAGE">'[7]Func Study'!$AB$620</definedName>
    <definedName name="UAcct549">'[7]Func Study'!$AB$626</definedName>
    <definedName name="Uacct549CAGE">'[7]Func Study'!$AB$625</definedName>
    <definedName name="UAcct551CAGE">'[7]Func Study'!$AB$634</definedName>
    <definedName name="UACCT551SG">'[7]Func Study'!$AB$635</definedName>
    <definedName name="UACCT552CAGE">'[7]Func Study'!$AB$640</definedName>
    <definedName name="UAcct552SG">'[7]Func Study'!$AB$639</definedName>
    <definedName name="UACCT553CAGE">'[7]Func Study'!$AB$646</definedName>
    <definedName name="UAcct553SG">'[7]Func Study'!$AB$645</definedName>
    <definedName name="UACCT554CAGE">'[7]Func Study'!$AB$651</definedName>
    <definedName name="UAcct554SG">'[7]Func Study'!$AB$650</definedName>
    <definedName name="UAcct555CAEW">'[7]Func Study'!$AB$665</definedName>
    <definedName name="UAcct555CAGW">'[7]Func Study'!$AB$664</definedName>
    <definedName name="UACCT555DGP">'[7]Func Study'!$AB$670</definedName>
    <definedName name="UACCT555NPCCAEW">'[7]Func Study'!$AB$669</definedName>
    <definedName name="UACCT555NPCCAGW">'[7]Func Study'!$AB$668</definedName>
    <definedName name="UAcct555S">'[7]Func Study'!$AB$663</definedName>
    <definedName name="UAcct555Se">'[7]Func Study'!$AB$665</definedName>
    <definedName name="UACCT555SG">'[7]Func Study'!$AB$664</definedName>
    <definedName name="UAcct556">'[7]Func Study'!$AB$676</definedName>
    <definedName name="UAcct557">'[7]Func Study'!$AB$685</definedName>
    <definedName name="UAcct560">'[7]Func Study'!$AB$715</definedName>
    <definedName name="UAcct561">'[7]Func Study'!$AB$720</definedName>
    <definedName name="UAcct562">'[7]Func Study'!$AB$726</definedName>
    <definedName name="UAcct563">'[7]Func Study'!$AB$731</definedName>
    <definedName name="UAcct564">'[7]Func Study'!$AB$735</definedName>
    <definedName name="UAcct565">'[7]Func Study'!$AB$739</definedName>
    <definedName name="UACCT565NPC">'[7]Func Study'!$AB$744</definedName>
    <definedName name="UACCT565NPCCAGW">'[7]Func Study'!$AB$742</definedName>
    <definedName name="UAcct566">'[7]Func Study'!$AB$748</definedName>
    <definedName name="UAcct567">'[7]Func Study'!$AB$752</definedName>
    <definedName name="UAcct568">'[7]Func Study'!$AB$756</definedName>
    <definedName name="UAcct569">'[7]Func Study'!$AB$760</definedName>
    <definedName name="UAcct570">'[7]Func Study'!$AB$765</definedName>
    <definedName name="UAcct571">'[7]Func Study'!$AB$770</definedName>
    <definedName name="UAcct572">'[7]Func Study'!$AB$774</definedName>
    <definedName name="UAcct573">'[7]Func Study'!$AB$778</definedName>
    <definedName name="UAcct580">'[7]Func Study'!$AB$791</definedName>
    <definedName name="UAcct581">'[7]Func Study'!$AB$796</definedName>
    <definedName name="UAcct582">'[7]Func Study'!$AB$801</definedName>
    <definedName name="UAcct583">'[7]Func Study'!$AB$806</definedName>
    <definedName name="UAcct584">'[7]Func Study'!$AB$811</definedName>
    <definedName name="UAcct585">'[7]Func Study'!$AB$816</definedName>
    <definedName name="UAcct586">'[7]Func Study'!$AB$821</definedName>
    <definedName name="UAcct587">'[7]Func Study'!$AB$826</definedName>
    <definedName name="UAcct588">'[7]Func Study'!$AB$831</definedName>
    <definedName name="UAcct589">'[7]Func Study'!$AB$836</definedName>
    <definedName name="UAcct590">'[7]Func Study'!$AB$841</definedName>
    <definedName name="UAcct591">'[7]Func Study'!$AB$846</definedName>
    <definedName name="UAcct592">'[7]Func Study'!$AB$851</definedName>
    <definedName name="UAcct593">'[7]Func Study'!$AB$856</definedName>
    <definedName name="UAcct594">'[7]Func Study'!$AB$861</definedName>
    <definedName name="UAcct595">'[7]Func Study'!$AB$866</definedName>
    <definedName name="UAcct596">'[7]Func Study'!$AB$876</definedName>
    <definedName name="UAcct597">'[7]Func Study'!$AB$881</definedName>
    <definedName name="UAcct598">'[7]Func Study'!$AB$886</definedName>
    <definedName name="UAcct901">'[7]Func Study'!$AB$898</definedName>
    <definedName name="UAcct902">'[7]Func Study'!$AB$903</definedName>
    <definedName name="UAcct903">'[7]Func Study'!$AB$908</definedName>
    <definedName name="UAcct904">'[7]Func Study'!$AB$914</definedName>
    <definedName name="UAcct905">'[7]Func Study'!$AB$919</definedName>
    <definedName name="UAcct907">'[7]Func Study'!$AB$933</definedName>
    <definedName name="UAcct908">'[7]Func Study'!$AB$938</definedName>
    <definedName name="UAcct909">'[7]Func Study'!$AB$943</definedName>
    <definedName name="UAcct910">'[7]Func Study'!$AB$948</definedName>
    <definedName name="UAcct911">'[7]Func Study'!$AB$959</definedName>
    <definedName name="UAcct912">'[7]Func Study'!$AB$964</definedName>
    <definedName name="UAcct913">'[7]Func Study'!$AB$969</definedName>
    <definedName name="UAcct916">'[7]Func Study'!$AB$974</definedName>
    <definedName name="UAcct920">'[7]Func Study'!$AB$985</definedName>
    <definedName name="UAcct920Cn">'[7]Func Study'!$AB$983</definedName>
    <definedName name="UAcct921">'[7]Func Study'!$AB$991</definedName>
    <definedName name="UAcct921Cn">'[7]Func Study'!$AB$989</definedName>
    <definedName name="UAcct923">'[7]Func Study'!$AB$997</definedName>
    <definedName name="UAcct923CAGW">'[7]Func Study'!$AB$995</definedName>
    <definedName name="UAcct924">'[7]Func Study'!$AB$1001</definedName>
    <definedName name="UAcct925">'[7]Func Study'!$AB$1005</definedName>
    <definedName name="UAcct926">'[7]Func Study'!$AB$1011</definedName>
    <definedName name="UAcct927">'[7]Func Study'!$AB$1016</definedName>
    <definedName name="UAcct928">'[7]Func Study'!$AB$1023</definedName>
    <definedName name="UAcct929">'[7]Func Study'!$AB$1028</definedName>
    <definedName name="UAcct930">'[7]Func Study'!$AB$1034</definedName>
    <definedName name="UAcct931">'[7]Func Study'!$AB$1039</definedName>
    <definedName name="UAcct935">'[7]Func Study'!$AB$1045</definedName>
    <definedName name="UAcctAGA">'[7]Func Study'!$AB$296</definedName>
    <definedName name="UAcctcwc">'[7]Func Study'!$AB$2136</definedName>
    <definedName name="UAcctd00">'[7]Func Study'!$AB$1786</definedName>
    <definedName name="UAcctds0">'[7]Func Study'!$AB$1790</definedName>
    <definedName name="UACCTECDDGP">'[7]Func Study'!$AB$687</definedName>
    <definedName name="UACCTECDMC">'[7]Func Study'!$AB$689</definedName>
    <definedName name="UACCTECDS">'[7]Func Study'!$AB$691</definedName>
    <definedName name="UACCTECDSG1">'[7]Func Study'!$AB$688</definedName>
    <definedName name="UACCTECDSG2">'[7]Func Study'!$AB$690</definedName>
    <definedName name="UACCTECDSG3">'[7]Func Study'!$AB$692</definedName>
    <definedName name="UAcctfit">'[7]Func Study'!$AB$1395</definedName>
    <definedName name="UAcctg00">'[7]Func Study'!$AB$1947</definedName>
    <definedName name="UAccth00">'[7]Func Study'!$AB$1545</definedName>
    <definedName name="UAccti00">'[7]Func Study'!$AB$1993</definedName>
    <definedName name="UAcctn00">'[7]Func Study'!$AB$1496</definedName>
    <definedName name="UAccto00">'[7]Func Study'!$AB$1606</definedName>
    <definedName name="UAcctowc">'[7]Func Study'!$AB$2149</definedName>
    <definedName name="UACCTOWCSSECH">'[7]Func Study'!$AB$2148</definedName>
    <definedName name="UAccts00">'[7]Func Study'!$AB$1455</definedName>
    <definedName name="UAcctsttax">'[7]Func Study'!$AB$1377</definedName>
    <definedName name="UAcctt00">'[7]Func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[11]Variables!$D$25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[11]Variables!$D$29</definedName>
    <definedName name="ValidAccount">[8]Variables!$AK$43:$AK$369</definedName>
    <definedName name="Values_Entered" localSheetId="2">IF(Loan_Amount*Interest_Rate*Loan_Years*Loan_Start&gt;0,1,0)</definedName>
    <definedName name="Values_Entered" localSheetId="4">IF(Loan_Amount*Interest_Rate*Loan_Years*Loan_Start&gt;0,1,0)</definedName>
    <definedName name="Values_Entered" localSheetId="6">IF(Loan_Amount*Interest_Rate*Loan_Years*Loan_Start&gt;0,1,0)</definedName>
    <definedName name="Values_Entered" localSheetId="5">IF(Loan_Amount*Interest_Rate*Loan_Years*Loan_Start&gt;0,1,0)</definedName>
    <definedName name="Values_Entered">IF(Loan_Amount*Interest_Rate*Loan_Years*Loan_Start&gt;0,1,0)</definedName>
    <definedName name="VOMEsc">[9]Assumptions!$C$21</definedName>
    <definedName name="WACC">[9]Assumptions!$I$61</definedName>
    <definedName name="WaRevenueTax">[11]Variables!$D$27</definedName>
    <definedName name="Winter">'[58]Input Tab'!$B$11</definedName>
    <definedName name="WinterPeak">'[59]Load Data'!$D$9:$H$12,'[59]Load Data'!$D$20:$H$22</definedName>
    <definedName name="WUTC_Docket_No._UG_11____">'[6]MJS-6'!$F$2</definedName>
    <definedName name="WUTC_FILING_FEE">'[6]MJS-7'!$O$15</definedName>
    <definedName name="Years_evaluated">'[60]Revison Inputs'!$B$6</definedName>
    <definedName name="YEFactors">[8]Factors!$S$3:$AG$99</definedName>
    <definedName name="YTD_Format">[51]YTD!$B$13:$D$13,[51]YTD!$B$36:$D$36</definedName>
  </definedNames>
  <calcPr calcId="145621" iterate="1" calcOnSave="0"/>
</workbook>
</file>

<file path=xl/calcChain.xml><?xml version="1.0" encoding="utf-8"?>
<calcChain xmlns="http://schemas.openxmlformats.org/spreadsheetml/2006/main">
  <c r="E23" i="35" l="1"/>
  <c r="E20" i="35"/>
  <c r="E19" i="35"/>
  <c r="G19" i="35" s="1"/>
  <c r="T21" i="33" s="1"/>
  <c r="E18" i="35"/>
  <c r="E17" i="35"/>
  <c r="G17" i="35" s="1"/>
  <c r="T19" i="33" s="1"/>
  <c r="E16" i="35"/>
  <c r="E15" i="35"/>
  <c r="G15" i="35" s="1"/>
  <c r="T17" i="33" s="1"/>
  <c r="E11" i="35"/>
  <c r="E12" i="35"/>
  <c r="G12" i="35" s="1"/>
  <c r="T14" i="33" s="1"/>
  <c r="E13" i="35"/>
  <c r="E14" i="35"/>
  <c r="G14" i="35" s="1"/>
  <c r="T16" i="33" s="1"/>
  <c r="E10" i="35"/>
  <c r="E9" i="35"/>
  <c r="E8" i="35"/>
  <c r="G23" i="35"/>
  <c r="T25" i="33" s="1"/>
  <c r="T39" i="33" s="1"/>
  <c r="F23" i="35"/>
  <c r="C21" i="35"/>
  <c r="G20" i="35"/>
  <c r="T22" i="33" s="1"/>
  <c r="T36" i="33" s="1"/>
  <c r="F20" i="35"/>
  <c r="P22" i="33" s="1"/>
  <c r="F19" i="35"/>
  <c r="G18" i="35"/>
  <c r="T20" i="33" s="1"/>
  <c r="F18" i="35"/>
  <c r="F17" i="35"/>
  <c r="G16" i="35"/>
  <c r="T18" i="33" s="1"/>
  <c r="F16" i="35"/>
  <c r="P18" i="33" s="1"/>
  <c r="F15" i="35"/>
  <c r="F14" i="35"/>
  <c r="G13" i="35"/>
  <c r="T15" i="33" s="1"/>
  <c r="F13" i="35"/>
  <c r="F12" i="35"/>
  <c r="G11" i="35"/>
  <c r="T13" i="33" s="1"/>
  <c r="F11" i="35"/>
  <c r="G10" i="35"/>
  <c r="T12" i="33" s="1"/>
  <c r="F10" i="35"/>
  <c r="G9" i="35"/>
  <c r="T11" i="33" s="1"/>
  <c r="F9" i="35"/>
  <c r="G8" i="35"/>
  <c r="T10" i="33" s="1"/>
  <c r="F8" i="35"/>
  <c r="D33" i="34"/>
  <c r="E33" i="34" s="1"/>
  <c r="G32" i="34"/>
  <c r="G31" i="34"/>
  <c r="G29" i="34"/>
  <c r="H29" i="34" s="1"/>
  <c r="E29" i="34"/>
  <c r="G27" i="34"/>
  <c r="H27" i="34" s="1"/>
  <c r="E27" i="34"/>
  <c r="D25" i="34"/>
  <c r="D40" i="34" s="1"/>
  <c r="G24" i="34"/>
  <c r="G23" i="34"/>
  <c r="G22" i="34"/>
  <c r="G21" i="34"/>
  <c r="G20" i="34"/>
  <c r="G19" i="34"/>
  <c r="G18" i="34"/>
  <c r="G17" i="34"/>
  <c r="D14" i="34"/>
  <c r="H13" i="34"/>
  <c r="G13" i="34"/>
  <c r="E13" i="34"/>
  <c r="G12" i="34"/>
  <c r="H12" i="34" s="1"/>
  <c r="E12" i="34"/>
  <c r="G11" i="34"/>
  <c r="H11" i="34" s="1"/>
  <c r="E11" i="34"/>
  <c r="E39" i="33"/>
  <c r="E36" i="33"/>
  <c r="D36" i="33"/>
  <c r="E35" i="33"/>
  <c r="D34" i="33"/>
  <c r="E32" i="33"/>
  <c r="D32" i="33"/>
  <c r="D31" i="33"/>
  <c r="T30" i="33"/>
  <c r="D30" i="33"/>
  <c r="P25" i="33"/>
  <c r="H25" i="33"/>
  <c r="F25" i="33"/>
  <c r="K23" i="33"/>
  <c r="K26" i="33" s="1"/>
  <c r="J23" i="33"/>
  <c r="J26" i="33" s="1"/>
  <c r="F22" i="33"/>
  <c r="H22" i="33" s="1"/>
  <c r="P21" i="33"/>
  <c r="F21" i="33"/>
  <c r="H21" i="33" s="1"/>
  <c r="P20" i="33"/>
  <c r="P19" i="33"/>
  <c r="F19" i="33"/>
  <c r="H19" i="33" s="1"/>
  <c r="S19" i="33" s="1"/>
  <c r="D33" i="33"/>
  <c r="F18" i="33"/>
  <c r="H18" i="33" s="1"/>
  <c r="P17" i="33"/>
  <c r="H17" i="33"/>
  <c r="S17" i="33" s="1"/>
  <c r="F17" i="33"/>
  <c r="P16" i="33"/>
  <c r="F16" i="33"/>
  <c r="H16" i="33" s="1"/>
  <c r="S16" i="33" s="1"/>
  <c r="D35" i="33"/>
  <c r="S15" i="33"/>
  <c r="P15" i="33"/>
  <c r="H15" i="33"/>
  <c r="F15" i="33"/>
  <c r="R23" i="33"/>
  <c r="R26" i="33" s="1"/>
  <c r="P14" i="33"/>
  <c r="P13" i="33"/>
  <c r="F13" i="33"/>
  <c r="P12" i="33"/>
  <c r="P11" i="33"/>
  <c r="N23" i="33"/>
  <c r="N26" i="33" s="1"/>
  <c r="F11" i="33"/>
  <c r="H11" i="33" s="1"/>
  <c r="S11" i="33" s="1"/>
  <c r="Q23" i="33"/>
  <c r="Q26" i="33" s="1"/>
  <c r="O23" i="33"/>
  <c r="O26" i="33" s="1"/>
  <c r="L23" i="33"/>
  <c r="L26" i="33" s="1"/>
  <c r="G23" i="33"/>
  <c r="F10" i="33"/>
  <c r="D23" i="33"/>
  <c r="T32" i="33" l="1"/>
  <c r="G21" i="35"/>
  <c r="G24" i="35" s="1"/>
  <c r="G25" i="34"/>
  <c r="G34" i="34" s="1"/>
  <c r="E25" i="34"/>
  <c r="E34" i="34" s="1"/>
  <c r="G33" i="34"/>
  <c r="H33" i="34" s="1"/>
  <c r="D34" i="34"/>
  <c r="E14" i="34"/>
  <c r="U36" i="33"/>
  <c r="S22" i="33"/>
  <c r="S36" i="33" s="1"/>
  <c r="H36" i="33"/>
  <c r="S18" i="33"/>
  <c r="E30" i="33"/>
  <c r="I23" i="33"/>
  <c r="I26" i="33" s="1"/>
  <c r="E31" i="33"/>
  <c r="F12" i="33"/>
  <c r="H12" i="33" s="1"/>
  <c r="U15" i="33"/>
  <c r="T31" i="33"/>
  <c r="U17" i="33"/>
  <c r="S21" i="33"/>
  <c r="U21" i="33" s="1"/>
  <c r="G40" i="34"/>
  <c r="H25" i="34"/>
  <c r="H34" i="34" s="1"/>
  <c r="F21" i="35"/>
  <c r="F24" i="35" s="1"/>
  <c r="P10" i="33"/>
  <c r="P23" i="33" s="1"/>
  <c r="P26" i="33" s="1"/>
  <c r="U11" i="33"/>
  <c r="U19" i="33"/>
  <c r="E23" i="33"/>
  <c r="H13" i="33"/>
  <c r="U18" i="33"/>
  <c r="T34" i="33"/>
  <c r="H14" i="34"/>
  <c r="T23" i="33"/>
  <c r="T33" i="33"/>
  <c r="U16" i="33"/>
  <c r="H35" i="33"/>
  <c r="M23" i="33"/>
  <c r="M26" i="33" s="1"/>
  <c r="E33" i="33"/>
  <c r="F14" i="33"/>
  <c r="H14" i="33" s="1"/>
  <c r="H39" i="33"/>
  <c r="S25" i="33"/>
  <c r="H10" i="33"/>
  <c r="F20" i="33"/>
  <c r="H20" i="33" s="1"/>
  <c r="S20" i="33" s="1"/>
  <c r="S34" i="33" s="1"/>
  <c r="E34" i="33"/>
  <c r="D37" i="33"/>
  <c r="D40" i="33" s="1"/>
  <c r="T35" i="33"/>
  <c r="G14" i="34"/>
  <c r="H21" i="35" l="1"/>
  <c r="E36" i="34"/>
  <c r="S14" i="33"/>
  <c r="H33" i="33"/>
  <c r="H36" i="34"/>
  <c r="H37" i="34" s="1"/>
  <c r="H38" i="34" s="1"/>
  <c r="U20" i="33"/>
  <c r="H34" i="33"/>
  <c r="E37" i="33"/>
  <c r="E40" i="33" s="1"/>
  <c r="U22" i="33"/>
  <c r="T26" i="33"/>
  <c r="S12" i="33"/>
  <c r="H31" i="33"/>
  <c r="H24" i="35"/>
  <c r="S35" i="33"/>
  <c r="H30" i="33"/>
  <c r="H23" i="33"/>
  <c r="H26" i="33" s="1"/>
  <c r="S10" i="33"/>
  <c r="U34" i="33"/>
  <c r="H32" i="33"/>
  <c r="S13" i="33"/>
  <c r="U35" i="33"/>
  <c r="S39" i="33"/>
  <c r="U25" i="33"/>
  <c r="E26" i="33"/>
  <c r="F23" i="33"/>
  <c r="T37" i="33"/>
  <c r="S32" i="33" l="1"/>
  <c r="U32" i="33" s="1"/>
  <c r="U13" i="33"/>
  <c r="T40" i="33"/>
  <c r="U39" i="33"/>
  <c r="H37" i="33"/>
  <c r="H40" i="33" s="1"/>
  <c r="S31" i="33"/>
  <c r="U31" i="33" s="1"/>
  <c r="U12" i="33"/>
  <c r="S33" i="33"/>
  <c r="U33" i="33" s="1"/>
  <c r="U14" i="33"/>
  <c r="S30" i="33"/>
  <c r="S23" i="33"/>
  <c r="U10" i="33"/>
  <c r="S26" i="33" l="1"/>
  <c r="U26" i="33" s="1"/>
  <c r="U23" i="33"/>
  <c r="S37" i="33"/>
  <c r="U30" i="33"/>
  <c r="U37" i="33" l="1"/>
  <c r="S40" i="33"/>
  <c r="U40" i="33" s="1"/>
  <c r="J20" i="1" l="1"/>
  <c r="G23" i="1" l="1"/>
  <c r="K25" i="29"/>
  <c r="G25" i="29"/>
  <c r="C25" i="29"/>
  <c r="M19" i="29"/>
  <c r="M25" i="29" s="1"/>
  <c r="K19" i="29"/>
  <c r="J19" i="29"/>
  <c r="J25" i="29" s="1"/>
  <c r="I19" i="29"/>
  <c r="I25" i="29" s="1"/>
  <c r="G19" i="29"/>
  <c r="F19" i="29"/>
  <c r="F25" i="29" s="1"/>
  <c r="E19" i="29"/>
  <c r="E25" i="29" s="1"/>
  <c r="C19" i="29"/>
  <c r="B19" i="29"/>
  <c r="B25" i="29" s="1"/>
  <c r="K18" i="29"/>
  <c r="J18" i="29"/>
  <c r="J24" i="29" s="1"/>
  <c r="J26" i="29" s="1"/>
  <c r="G18" i="29"/>
  <c r="F18" i="29"/>
  <c r="F24" i="29" s="1"/>
  <c r="C18" i="29"/>
  <c r="B18" i="29"/>
  <c r="N16" i="29"/>
  <c r="L19" i="29" s="1"/>
  <c r="L25" i="29" s="1"/>
  <c r="N15" i="29"/>
  <c r="M18" i="29" s="1"/>
  <c r="M24" i="29" s="1"/>
  <c r="M26" i="29" s="1"/>
  <c r="C9" i="29"/>
  <c r="B9" i="29"/>
  <c r="K24" i="29" s="1"/>
  <c r="K26" i="29" s="1"/>
  <c r="D8" i="29"/>
  <c r="D7" i="29"/>
  <c r="D9" i="29" s="1"/>
  <c r="F26" i="29" l="1"/>
  <c r="C32" i="29"/>
  <c r="B32" i="29"/>
  <c r="D18" i="29"/>
  <c r="D24" i="29" s="1"/>
  <c r="H18" i="29"/>
  <c r="H24" i="29" s="1"/>
  <c r="H26" i="29" s="1"/>
  <c r="L18" i="29"/>
  <c r="L24" i="29" s="1"/>
  <c r="L26" i="29" s="1"/>
  <c r="B24" i="29"/>
  <c r="E18" i="29"/>
  <c r="E24" i="29" s="1"/>
  <c r="E26" i="29" s="1"/>
  <c r="I18" i="29"/>
  <c r="I24" i="29" s="1"/>
  <c r="I26" i="29" s="1"/>
  <c r="D19" i="29"/>
  <c r="D25" i="29" s="1"/>
  <c r="N25" i="29" s="1"/>
  <c r="H19" i="29"/>
  <c r="H25" i="29" s="1"/>
  <c r="C24" i="29"/>
  <c r="C26" i="29" s="1"/>
  <c r="G24" i="29"/>
  <c r="G26" i="29" s="1"/>
  <c r="D32" i="29" l="1"/>
  <c r="E32" i="29" s="1"/>
  <c r="F32" i="29" s="1"/>
  <c r="G32" i="29" s="1"/>
  <c r="H32" i="29" s="1"/>
  <c r="I32" i="29" s="1"/>
  <c r="J32" i="29" s="1"/>
  <c r="K32" i="29" s="1"/>
  <c r="L32" i="29" s="1"/>
  <c r="M32" i="29" s="1"/>
  <c r="D26" i="29"/>
  <c r="B26" i="29"/>
  <c r="C31" i="29"/>
  <c r="N24" i="29"/>
  <c r="N26" i="29" s="1"/>
  <c r="B31" i="29"/>
  <c r="B33" i="29" s="1"/>
  <c r="N19" i="29"/>
  <c r="N18" i="29"/>
  <c r="D31" i="29" l="1"/>
  <c r="C33" i="29"/>
  <c r="E31" i="29" l="1"/>
  <c r="D33" i="29"/>
  <c r="E33" i="29" l="1"/>
  <c r="F31" i="29"/>
  <c r="G31" i="29" l="1"/>
  <c r="F33" i="29"/>
  <c r="H31" i="29" l="1"/>
  <c r="G33" i="29"/>
  <c r="I31" i="29" l="1"/>
  <c r="H33" i="29"/>
  <c r="I33" i="29" l="1"/>
  <c r="J31" i="29"/>
  <c r="K31" i="29" l="1"/>
  <c r="J33" i="29"/>
  <c r="L31" i="29" l="1"/>
  <c r="K33" i="29"/>
  <c r="M31" i="29" l="1"/>
  <c r="M33" i="29" s="1"/>
  <c r="L33" i="29"/>
  <c r="G20" i="1" l="1"/>
  <c r="G11" i="1" l="1"/>
  <c r="M26" i="18" l="1"/>
  <c r="L26" i="18"/>
  <c r="K26" i="18"/>
  <c r="J26" i="18"/>
  <c r="I26" i="18"/>
  <c r="H26" i="18"/>
  <c r="G26" i="18"/>
  <c r="F26" i="18"/>
  <c r="E26" i="18"/>
  <c r="D26" i="18"/>
  <c r="C26" i="18"/>
  <c r="B26" i="18"/>
  <c r="N26" i="18" s="1"/>
  <c r="M25" i="18"/>
  <c r="L25" i="18"/>
  <c r="K25" i="18"/>
  <c r="J25" i="18"/>
  <c r="I25" i="18"/>
  <c r="H25" i="18"/>
  <c r="G25" i="18"/>
  <c r="F25" i="18"/>
  <c r="E25" i="18"/>
  <c r="D25" i="18"/>
  <c r="C25" i="18"/>
  <c r="B25" i="18"/>
  <c r="N25" i="18" s="1"/>
  <c r="M24" i="18"/>
  <c r="M27" i="18" s="1"/>
  <c r="L24" i="18"/>
  <c r="L27" i="18" s="1"/>
  <c r="K24" i="18"/>
  <c r="K27" i="18" s="1"/>
  <c r="J24" i="18"/>
  <c r="J27" i="18" s="1"/>
  <c r="I24" i="18"/>
  <c r="I27" i="18" s="1"/>
  <c r="H24" i="18"/>
  <c r="H27" i="18" s="1"/>
  <c r="G24" i="18"/>
  <c r="G27" i="18" s="1"/>
  <c r="F24" i="18"/>
  <c r="F27" i="18" s="1"/>
  <c r="E24" i="18"/>
  <c r="E27" i="18" s="1"/>
  <c r="D24" i="18"/>
  <c r="D27" i="18" s="1"/>
  <c r="C24" i="18"/>
  <c r="C27" i="18" s="1"/>
  <c r="B24" i="18"/>
  <c r="N24" i="18" s="1"/>
  <c r="M22" i="18"/>
  <c r="L22" i="18"/>
  <c r="L28" i="18" s="1"/>
  <c r="K22" i="18"/>
  <c r="K28" i="18" s="1"/>
  <c r="J22" i="18"/>
  <c r="I22" i="18"/>
  <c r="H22" i="18"/>
  <c r="H28" i="18" s="1"/>
  <c r="G22" i="18"/>
  <c r="G28" i="18" s="1"/>
  <c r="F22" i="18"/>
  <c r="E22" i="18"/>
  <c r="D22" i="18"/>
  <c r="D28" i="18" s="1"/>
  <c r="C22" i="18"/>
  <c r="C28" i="18" s="1"/>
  <c r="B22" i="18"/>
  <c r="N21" i="18"/>
  <c r="N20" i="18"/>
  <c r="N19" i="18"/>
  <c r="N18" i="18"/>
  <c r="E14" i="1" s="1"/>
  <c r="N17" i="18"/>
  <c r="N16" i="18"/>
  <c r="N15" i="18"/>
  <c r="N14" i="18"/>
  <c r="N13" i="18"/>
  <c r="N12" i="18"/>
  <c r="N11" i="18"/>
  <c r="N10" i="18"/>
  <c r="N22" i="18" s="1"/>
  <c r="N9" i="18"/>
  <c r="N8" i="18"/>
  <c r="C7" i="18"/>
  <c r="D7" i="18" s="1"/>
  <c r="E7" i="18" s="1"/>
  <c r="F7" i="18" s="1"/>
  <c r="G7" i="18" s="1"/>
  <c r="H7" i="18" s="1"/>
  <c r="I7" i="18" s="1"/>
  <c r="J7" i="18" s="1"/>
  <c r="K7" i="18" s="1"/>
  <c r="L7" i="18" s="1"/>
  <c r="M7" i="18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J28" i="18" l="1"/>
  <c r="E28" i="18"/>
  <c r="I28" i="18"/>
  <c r="M28" i="18"/>
  <c r="E11" i="1"/>
  <c r="E15" i="1"/>
  <c r="F28" i="18"/>
  <c r="B27" i="18"/>
  <c r="B28" i="18" s="1"/>
  <c r="E12" i="1"/>
  <c r="E16" i="1"/>
  <c r="E13" i="1"/>
  <c r="E17" i="1"/>
  <c r="N27" i="18"/>
  <c r="N28" i="18" s="1"/>
  <c r="E18" i="1" l="1"/>
  <c r="G17" i="1" l="1"/>
  <c r="G16" i="1"/>
  <c r="G15" i="1"/>
  <c r="G14" i="1"/>
  <c r="G13" i="1"/>
  <c r="G12" i="1"/>
  <c r="G18" i="1" l="1"/>
  <c r="G21" i="1" s="1"/>
  <c r="H15" i="1" l="1"/>
  <c r="H16" i="1"/>
  <c r="H17" i="1" l="1"/>
  <c r="H12" i="1"/>
  <c r="H13" i="1"/>
  <c r="H11" i="1"/>
  <c r="H14" i="1"/>
  <c r="I11" i="1" l="1"/>
  <c r="D18" i="1" l="1"/>
  <c r="D21" i="1" s="1"/>
</calcChain>
</file>

<file path=xl/sharedStrings.xml><?xml version="1.0" encoding="utf-8"?>
<sst xmlns="http://schemas.openxmlformats.org/spreadsheetml/2006/main" count="301" uniqueCount="200">
  <si>
    <t>Puget Sound Energy</t>
  </si>
  <si>
    <t>Proposed</t>
  </si>
  <si>
    <t>Monthly</t>
  </si>
  <si>
    <t>Rental</t>
  </si>
  <si>
    <t>Rate per</t>
  </si>
  <si>
    <t>Rate Class</t>
  </si>
  <si>
    <t>Schedules</t>
  </si>
  <si>
    <t>Mantle</t>
  </si>
  <si>
    <t>Residential</t>
  </si>
  <si>
    <t>16, 23, 53</t>
  </si>
  <si>
    <t>Commercial &amp; Industrial</t>
  </si>
  <si>
    <t>31, 31T</t>
  </si>
  <si>
    <t>Large Volume</t>
  </si>
  <si>
    <t>41, 41T</t>
  </si>
  <si>
    <t>Interruptible</t>
  </si>
  <si>
    <t>85, 85T</t>
  </si>
  <si>
    <t>Limited Interruptible</t>
  </si>
  <si>
    <t>86, 86T</t>
  </si>
  <si>
    <t>Non-exclusive Interruptible</t>
  </si>
  <si>
    <t>87, 87T</t>
  </si>
  <si>
    <t>Contracts</t>
  </si>
  <si>
    <t>Subtotal</t>
  </si>
  <si>
    <t>Rentals</t>
  </si>
  <si>
    <t>71, 72, 74</t>
  </si>
  <si>
    <t>Total</t>
  </si>
  <si>
    <t>Projected</t>
  </si>
  <si>
    <t>Volume (Therms)</t>
  </si>
  <si>
    <t>Allocation (1)</t>
  </si>
  <si>
    <t>Schedule</t>
  </si>
  <si>
    <t>41T</t>
  </si>
  <si>
    <t>85T</t>
  </si>
  <si>
    <t>87T</t>
  </si>
  <si>
    <t xml:space="preserve">Therm </t>
  </si>
  <si>
    <t>31T</t>
  </si>
  <si>
    <t>86T</t>
  </si>
  <si>
    <t>(a)</t>
  </si>
  <si>
    <t>(b)</t>
  </si>
  <si>
    <t>(c)</t>
  </si>
  <si>
    <t>(d)</t>
  </si>
  <si>
    <t>(e)</t>
  </si>
  <si>
    <t>(g)</t>
  </si>
  <si>
    <t>(f)</t>
  </si>
  <si>
    <t>(h)</t>
  </si>
  <si>
    <t>(i)</t>
  </si>
  <si>
    <t>Line</t>
  </si>
  <si>
    <t>No.</t>
  </si>
  <si>
    <t>Forecasted Therm Volumes</t>
  </si>
  <si>
    <t>Total Firm</t>
  </si>
  <si>
    <t>Total Interruptible</t>
  </si>
  <si>
    <t>Total Transportation</t>
  </si>
  <si>
    <t>Total Delivered</t>
  </si>
  <si>
    <t>Check</t>
  </si>
  <si>
    <t>UG-170034</t>
  </si>
  <si>
    <t>Proposed Effective May 1, 2019</t>
  </si>
  <si>
    <t>(2) Forecasted rate year normalized volume from F2018 Load Forecast.</t>
  </si>
  <si>
    <t>(3) Forecased rate year rental count calculated using actual December 2018 count.</t>
  </si>
  <si>
    <t>May 2019 - April 2020</t>
  </si>
  <si>
    <t xml:space="preserve">Source: 2018 Load Forecast Calendar Month Therms (7-5-18)  </t>
  </si>
  <si>
    <t>Rate Base</t>
  </si>
  <si>
    <t>(1) Allocation of rate base from cost of service study in UG-170034 based on approved revenue requirement.</t>
  </si>
  <si>
    <t>Allocation</t>
  </si>
  <si>
    <t>Counts (3)</t>
  </si>
  <si>
    <t>PSE</t>
  </si>
  <si>
    <t>Overcollection of Income Taxes: January - April 2018</t>
  </si>
  <si>
    <t>electric</t>
  </si>
  <si>
    <t>gas</t>
  </si>
  <si>
    <t>total</t>
  </si>
  <si>
    <t>GRC Settlement Impact</t>
  </si>
  <si>
    <t>Sch.95A impact</t>
  </si>
  <si>
    <t>Total Revenue Decrease</t>
  </si>
  <si>
    <t>Determine Shaping for 2018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</si>
  <si>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</si>
  <si>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</si>
  <si>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</si>
  <si>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</si>
  <si>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</si>
  <si>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</si>
  <si>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</si>
  <si>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</si>
  <si>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</si>
  <si>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</si>
  <si>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</si>
  <si>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</si>
  <si>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Year 2018</t>
  </si>
  <si>
    <t>2018 Revenue</t>
  </si>
  <si>
    <t>D:[Electric Revenue]</t>
  </si>
  <si>
    <t>E:[Gas Revenue]</t>
  </si>
  <si>
    <t>Electric Revenue by %</t>
  </si>
  <si>
    <t>Gas Revenue by %</t>
  </si>
  <si>
    <t>Monthly Impact</t>
  </si>
  <si>
    <t>Not used</t>
  </si>
  <si>
    <t>Electric Tracker</t>
  </si>
  <si>
    <t>Gas Tracker</t>
  </si>
  <si>
    <t>Final</t>
  </si>
  <si>
    <t>YTD Impact - cummulative</t>
  </si>
  <si>
    <t>Balance</t>
  </si>
  <si>
    <t>YTD Impact</t>
  </si>
  <si>
    <t>Over-Collected Income Tax (1/1/2018-4/30/2018)</t>
  </si>
  <si>
    <t>Income Tax</t>
  </si>
  <si>
    <t>Over-Collected</t>
  </si>
  <si>
    <t>Rate Change Impacts by Rate Schedule</t>
  </si>
  <si>
    <t>Proposed Rates Effective May 1, 2019</t>
  </si>
  <si>
    <t>UG-180283</t>
  </si>
  <si>
    <t>Forecasted</t>
  </si>
  <si>
    <t>12ME Apr 2020</t>
  </si>
  <si>
    <t>Rate</t>
  </si>
  <si>
    <t>Volume</t>
  </si>
  <si>
    <t>Margin</t>
  </si>
  <si>
    <t>Margin Rate</t>
  </si>
  <si>
    <t>Sched 101</t>
  </si>
  <si>
    <t>Sched 106</t>
  </si>
  <si>
    <t>Sched 120</t>
  </si>
  <si>
    <t>Sched 129</t>
  </si>
  <si>
    <t>Sched 140</t>
  </si>
  <si>
    <t>Sched 141</t>
  </si>
  <si>
    <t>Sched 141X</t>
  </si>
  <si>
    <t>Sched 142</t>
  </si>
  <si>
    <t>Sched 149</t>
  </si>
  <si>
    <t>Total Forecasted</t>
  </si>
  <si>
    <t>Revenue</t>
  </si>
  <si>
    <t>Percent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</si>
  <si>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</si>
  <si>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</si>
  <si>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</si>
  <si>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May 19 - Apr 20</t>
  </si>
  <si>
    <t>Margin Revenue</t>
  </si>
  <si>
    <t>Change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</si>
  <si>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</si>
  <si>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</si>
  <si>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</si>
  <si>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</si>
  <si>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</si>
  <si>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</si>
  <si>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</si>
  <si>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</si>
  <si>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</si>
  <si>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</si>
  <si>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</si>
  <si>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</si>
  <si>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</si>
  <si>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</si>
  <si>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</si>
  <si>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</si>
  <si>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</si>
  <si>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 xml:space="preserve">R </t>
  </si>
  <si>
    <t xml:space="preserve">S </t>
  </si>
  <si>
    <t>T= S/R</t>
  </si>
  <si>
    <t>23,53</t>
  </si>
  <si>
    <t>Residential Gas Lights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</si>
  <si>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</si>
  <si>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</si>
  <si>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</si>
  <si>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</si>
  <si>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</si>
  <si>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r>
      <t>Rentals</t>
    </r>
    <r>
      <rPr>
        <vertAlign val="superscript"/>
        <sz val="11"/>
        <rFont val="Calibri"/>
        <family val="2"/>
      </rPr>
      <t>(2)</t>
    </r>
  </si>
  <si>
    <t>By Customer Class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</si>
  <si>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</si>
  <si>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</si>
  <si>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</si>
  <si>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</si>
  <si>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</si>
  <si>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</si>
  <si>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margin for 12 months ending September 2016, at approved rates from UG-180283 Tax Reform compliance filing. The rates do not include schedules 140, 141 and 142.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</si>
  <si>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rental counts calculated using actual December 2018 count.</t>
    </r>
  </si>
  <si>
    <t>Typical Residential Bill Impacts</t>
  </si>
  <si>
    <t>Current Rates</t>
  </si>
  <si>
    <r>
      <t>Rates</t>
    </r>
    <r>
      <rPr>
        <vertAlign val="superscript"/>
        <sz val="11"/>
        <rFont val="Calibri"/>
        <family val="2"/>
      </rPr>
      <t xml:space="preserve"> (1)</t>
    </r>
  </si>
  <si>
    <t>Charges</t>
  </si>
  <si>
    <t>Rates</t>
  </si>
  <si>
    <t>Volume (therms)</t>
  </si>
  <si>
    <t>Customer charge ($/month)</t>
  </si>
  <si>
    <t>Basic charge</t>
  </si>
  <si>
    <r>
      <t>ERF</t>
    </r>
    <r>
      <rPr>
        <sz val="11"/>
        <rFont val="Calibri"/>
        <family val="2"/>
        <scheme val="minor"/>
      </rPr>
      <t xml:space="preserve"> adjusting charge (Schedule 141)</t>
    </r>
  </si>
  <si>
    <t>EDIT adjusting charge (Schedule 141X)</t>
  </si>
  <si>
    <t>Volumetric charges ($/therm)</t>
  </si>
  <si>
    <t>Delivery charge (Schedule 23)</t>
  </si>
  <si>
    <t>Low income charge (Schedule 129)</t>
  </si>
  <si>
    <t>Property tax charge (Schedule 140)</t>
  </si>
  <si>
    <t>Decoupling charge (Schedule 142)</t>
  </si>
  <si>
    <t>CRM Charge (Schedule 149)</t>
  </si>
  <si>
    <t>Conservation charge (Schedule 120)</t>
  </si>
  <si>
    <t>Merger rate credit (Schedule 132)</t>
  </si>
  <si>
    <t>Cost of gas (Schedule 101)</t>
  </si>
  <si>
    <t>Deferral amortization (Schedule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</si>
  <si>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</si>
  <si>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</si>
  <si>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</si>
  <si>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</si>
  <si>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</si>
  <si>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r>
      <rPr>
        <vertAlign val="superscript"/>
        <sz val="11"/>
        <rFont val="Calibri"/>
        <family val="2"/>
      </rPr>
      <t xml:space="preserve">(1) </t>
    </r>
    <r>
      <rPr>
        <sz val="11"/>
        <rFont val="Calibri"/>
        <family val="2"/>
        <scheme val="minor"/>
      </rPr>
      <t>Rates for Schedule 23 customers in effect March 1, 2019</t>
    </r>
  </si>
  <si>
    <t>Current</t>
  </si>
  <si>
    <t>Calculation of Schedule 141Y Rates</t>
  </si>
  <si>
    <t>(5/2019 - 4/2020) (2)</t>
  </si>
  <si>
    <t>Sched 141Y</t>
  </si>
  <si>
    <t>Revenue (3)</t>
  </si>
  <si>
    <r>
      <rPr>
        <vertAlign val="superscript"/>
        <sz val="11"/>
        <color theme="1"/>
        <rFont val="Calibri"/>
        <family val="2"/>
      </rPr>
      <t xml:space="preserve">(3) </t>
    </r>
    <r>
      <rPr>
        <sz val="11"/>
        <color theme="1"/>
        <rFont val="Calibri"/>
        <family val="2"/>
        <scheme val="minor"/>
      </rPr>
      <t>Forecasted revenues at current rates effective March 1, 2019</t>
    </r>
  </si>
  <si>
    <t>Schedule 141Y Rate Change</t>
  </si>
  <si>
    <t>Tax Reform Credit (Schedule 141Y)</t>
  </si>
  <si>
    <t>2019 Gas Schedule 141Y Federal Tax Reform Credit Filing</t>
  </si>
  <si>
    <t>Federal Tax Reform Credit Revenue (Schedule 141Y)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</si>
</sst>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_-* #,##0.00\ _€_-;\-* #,##0.00\ _€_-;_-* &quot;-&quot;??\ _€_-;_-@_-"/>
    <numFmt numFmtId="168" formatCode="_-* #,##0.00\ &quot;€&quot;_-;\-* #,##0.00\ &quot;€&quot;_-;_-* &quot;-&quot;??\ &quot;€&quot;_-;_-@_-"/>
    <numFmt numFmtId="169" formatCode="General_)"/>
    <numFmt numFmtId="170" formatCode="#,##0_);[Red]\(#,##0\);&quot; &quot;"/>
    <numFmt numFmtId="171" formatCode="_(&quot;$&quot;* #,##0.00000_);_(&quot;$&quot;* \(#,##0.00000\);_(&quot;$&quot;* &quot;-&quot;?????_);_(@_)"/>
    <numFmt numFmtId="172" formatCode="_(&quot;$&quot;* #,##0.00_);_(&quot;$&quot;* \(#,##0.00\);_(&quot;$&quot;* &quot;-&quot;?????_);_(@_)"/>
    <numFmt numFmtId="173" formatCode="_(&quot;$&quot;* #,##0_);_(&quot;$&quot;* \(#,##0\);_(&quot;$&quot;* &quot;-&quot;?????_);_(@_)"/>
    <numFmt numFmtId="174" formatCode="_(&quot;$&quot;* #,##0_);_(&quot;$&quot;* \(#,##0\);_(&quot;$&quot;* &quot;-&quot;??_);_(@_)"/>
    <numFmt numFmtId="175" formatCode="_(&quot;$&quot;* #,##0.00_);_(&quot;$&quot;* \(#,##0.00\);_(&quot;$&quot;* &quot;-&quot;_);_(@_)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808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1"/>
      <name val="Calibri"/>
      <family val="2"/>
    </font>
    <font>
      <sz val="11"/>
      <color indexed="21"/>
      <name val="Calibri"/>
      <family val="2"/>
    </font>
    <font>
      <vertAlign val="superscript"/>
      <sz val="11"/>
      <name val="Calibri"/>
      <family val="2"/>
    </font>
    <font>
      <sz val="11"/>
      <color rgb="FF008080"/>
      <name val="Calibri"/>
      <family val="2"/>
    </font>
    <font>
      <b/>
      <sz val="11"/>
      <name val="Calibri"/>
      <family val="2"/>
    </font>
    <font>
      <sz val="11"/>
      <color indexed="12"/>
      <name val="Calibri"/>
      <family val="2"/>
      <scheme val="minor"/>
    </font>
    <font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rgb="FF0000FF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4" applyNumberFormat="0" applyAlignment="0" applyProtection="0"/>
    <xf numFmtId="0" fontId="13" fillId="21" borderId="5" applyNumberFormat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4" applyNumberFormat="0" applyAlignment="0" applyProtection="0"/>
    <xf numFmtId="0" fontId="20" fillId="0" borderId="9" applyNumberFormat="0" applyFill="0" applyAlignment="0" applyProtection="0"/>
    <xf numFmtId="0" fontId="21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23" borderId="10" applyNumberFormat="0" applyFont="0" applyAlignment="0" applyProtection="0"/>
    <xf numFmtId="0" fontId="9" fillId="23" borderId="10" applyNumberFormat="0" applyFont="0" applyAlignment="0" applyProtection="0"/>
    <xf numFmtId="0" fontId="22" fillId="20" borderId="11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0"/>
    <xf numFmtId="9" fontId="8" fillId="0" borderId="0" applyFont="0" applyFill="0" applyBorder="0" applyAlignment="0" applyProtection="0"/>
  </cellStyleXfs>
  <cellXfs count="173">
    <xf numFmtId="0" fontId="0" fillId="0" borderId="0" xfId="0"/>
    <xf numFmtId="0" fontId="0" fillId="0" borderId="1" xfId="0" applyBorder="1" applyAlignment="1">
      <alignment horizontal="center"/>
    </xf>
    <xf numFmtId="3" fontId="2" fillId="0" borderId="0" xfId="0" applyNumberFormat="1" applyFont="1"/>
    <xf numFmtId="164" fontId="2" fillId="0" borderId="0" xfId="0" applyNumberFormat="1" applyFont="1" applyFill="1"/>
    <xf numFmtId="164" fontId="0" fillId="0" borderId="2" xfId="0" applyNumberFormat="1" applyFont="1" applyFill="1" applyBorder="1"/>
    <xf numFmtId="164" fontId="0" fillId="0" borderId="0" xfId="0" applyNumberFormat="1" applyFont="1"/>
    <xf numFmtId="164" fontId="2" fillId="0" borderId="0" xfId="0" applyNumberFormat="1" applyFont="1"/>
    <xf numFmtId="164" fontId="0" fillId="0" borderId="2" xfId="0" applyNumberFormat="1" applyFont="1" applyBorder="1"/>
    <xf numFmtId="9" fontId="0" fillId="0" borderId="0" xfId="0" applyNumberFormat="1" applyFont="1"/>
    <xf numFmtId="42" fontId="3" fillId="0" borderId="0" xfId="0" applyNumberFormat="1" applyFont="1" applyFill="1"/>
    <xf numFmtId="0" fontId="0" fillId="0" borderId="0" xfId="0" applyFont="1"/>
    <xf numFmtId="0" fontId="0" fillId="0" borderId="0" xfId="0" applyAlignment="1">
      <alignment horizontal="center"/>
    </xf>
    <xf numFmtId="42" fontId="4" fillId="0" borderId="0" xfId="0" applyNumberFormat="1" applyFont="1" applyFill="1"/>
    <xf numFmtId="0" fontId="0" fillId="0" borderId="0" xfId="0" applyFont="1" applyAlignment="1">
      <alignment horizontal="centerContinuous"/>
    </xf>
    <xf numFmtId="0" fontId="0" fillId="0" borderId="0" xfId="0" applyFont="1" applyFill="1"/>
    <xf numFmtId="0" fontId="0" fillId="0" borderId="0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2" fontId="0" fillId="0" borderId="0" xfId="0" applyNumberFormat="1" applyFont="1"/>
    <xf numFmtId="165" fontId="0" fillId="0" borderId="0" xfId="0" applyNumberFormat="1" applyFont="1" applyFill="1"/>
    <xf numFmtId="44" fontId="0" fillId="0" borderId="0" xfId="0" applyNumberFormat="1" applyFont="1" applyFill="1"/>
    <xf numFmtId="3" fontId="0" fillId="0" borderId="2" xfId="0" applyNumberFormat="1" applyFont="1" applyBorder="1"/>
    <xf numFmtId="42" fontId="0" fillId="0" borderId="2" xfId="0" applyNumberFormat="1" applyFont="1" applyBorder="1"/>
    <xf numFmtId="42" fontId="0" fillId="0" borderId="0" xfId="0" applyNumberFormat="1" applyFont="1" applyBorder="1"/>
    <xf numFmtId="3" fontId="0" fillId="0" borderId="0" xfId="0" applyNumberFormat="1" applyFont="1"/>
    <xf numFmtId="3" fontId="0" fillId="0" borderId="0" xfId="0" applyNumberFormat="1" applyFont="1" applyBorder="1"/>
    <xf numFmtId="3" fontId="4" fillId="0" borderId="0" xfId="0" applyNumberFormat="1" applyFont="1" applyFill="1"/>
    <xf numFmtId="3" fontId="2" fillId="0" borderId="0" xfId="0" applyNumberFormat="1" applyFont="1" applyFill="1"/>
    <xf numFmtId="0" fontId="0" fillId="0" borderId="0" xfId="0" applyFont="1" applyAlignment="1">
      <alignment horizontal="center"/>
    </xf>
    <xf numFmtId="165" fontId="0" fillId="0" borderId="0" xfId="0" applyNumberFormat="1" applyFont="1" applyFill="1"/>
    <xf numFmtId="17" fontId="0" fillId="0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0" fillId="0" borderId="1" xfId="0" applyNumberFormat="1" applyFont="1" applyBorder="1"/>
    <xf numFmtId="0" fontId="1" fillId="0" borderId="0" xfId="0" applyFont="1" applyAlignment="1">
      <alignment horizontal="left"/>
    </xf>
    <xf numFmtId="166" fontId="1" fillId="0" borderId="0" xfId="0" applyNumberFormat="1" applyFont="1"/>
    <xf numFmtId="170" fontId="5" fillId="0" borderId="0" xfId="0" applyNumberFormat="1" applyFont="1" applyAlignment="1">
      <alignment horizontal="left"/>
    </xf>
    <xf numFmtId="170" fontId="26" fillId="0" borderId="0" xfId="0" applyNumberFormat="1" applyFont="1" applyAlignment="1">
      <alignment horizontal="right"/>
    </xf>
    <xf numFmtId="170" fontId="26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 wrapText="1"/>
    </xf>
    <xf numFmtId="49" fontId="26" fillId="0" borderId="0" xfId="0" applyNumberFormat="1" applyFont="1" applyAlignment="1">
      <alignment horizontal="right" wrapText="1"/>
    </xf>
    <xf numFmtId="170" fontId="26" fillId="0" borderId="13" xfId="0" applyNumberFormat="1" applyFont="1" applyBorder="1" applyAlignment="1">
      <alignment horizontal="left"/>
    </xf>
    <xf numFmtId="170" fontId="26" fillId="0" borderId="14" xfId="0" applyNumberFormat="1" applyFont="1" applyBorder="1" applyAlignment="1">
      <alignment horizontal="right"/>
    </xf>
    <xf numFmtId="170" fontId="26" fillId="0" borderId="15" xfId="0" applyNumberFormat="1" applyFont="1" applyBorder="1" applyAlignment="1">
      <alignment horizontal="right"/>
    </xf>
    <xf numFmtId="170" fontId="26" fillId="0" borderId="16" xfId="0" applyNumberFormat="1" applyFont="1" applyBorder="1" applyAlignment="1">
      <alignment horizontal="left"/>
    </xf>
    <xf numFmtId="170" fontId="26" fillId="0" borderId="1" xfId="0" applyNumberFormat="1" applyFont="1" applyBorder="1" applyAlignment="1">
      <alignment horizontal="center"/>
    </xf>
    <xf numFmtId="170" fontId="26" fillId="0" borderId="17" xfId="0" applyNumberFormat="1" applyFont="1" applyBorder="1" applyAlignment="1">
      <alignment horizontal="center"/>
    </xf>
    <xf numFmtId="170" fontId="26" fillId="0" borderId="18" xfId="0" applyNumberFormat="1" applyFont="1" applyBorder="1" applyAlignment="1">
      <alignment horizontal="left"/>
    </xf>
    <xf numFmtId="170" fontId="26" fillId="0" borderId="0" xfId="0" applyNumberFormat="1" applyFont="1" applyBorder="1" applyAlignment="1">
      <alignment horizontal="right"/>
    </xf>
    <xf numFmtId="170" fontId="26" fillId="0" borderId="19" xfId="0" applyNumberFormat="1" applyFont="1" applyBorder="1" applyAlignment="1">
      <alignment horizontal="right"/>
    </xf>
    <xf numFmtId="170" fontId="26" fillId="0" borderId="20" xfId="0" applyNumberFormat="1" applyFont="1" applyFill="1" applyBorder="1" applyAlignment="1">
      <alignment horizontal="left"/>
    </xf>
    <xf numFmtId="170" fontId="26" fillId="0" borderId="3" xfId="0" applyNumberFormat="1" applyFont="1" applyFill="1" applyBorder="1" applyAlignment="1">
      <alignment horizontal="right"/>
    </xf>
    <xf numFmtId="170" fontId="26" fillId="0" borderId="21" xfId="0" applyNumberFormat="1" applyFont="1" applyFill="1" applyBorder="1" applyAlignment="1">
      <alignment horizontal="right"/>
    </xf>
    <xf numFmtId="170" fontId="26" fillId="0" borderId="22" xfId="0" applyNumberFormat="1" applyFont="1" applyBorder="1" applyAlignment="1">
      <alignment horizontal="left"/>
    </xf>
    <xf numFmtId="170" fontId="26" fillId="0" borderId="23" xfId="0" applyNumberFormat="1" applyFont="1" applyBorder="1" applyAlignment="1">
      <alignment horizontal="right"/>
    </xf>
    <xf numFmtId="170" fontId="26" fillId="0" borderId="24" xfId="0" applyNumberFormat="1" applyFont="1" applyBorder="1" applyAlignment="1">
      <alignment horizontal="right"/>
    </xf>
    <xf numFmtId="170" fontId="27" fillId="0" borderId="0" xfId="0" applyNumberFormat="1" applyFont="1" applyAlignment="1">
      <alignment horizontal="left"/>
    </xf>
    <xf numFmtId="49" fontId="27" fillId="0" borderId="0" xfId="0" applyNumberFormat="1" applyFont="1" applyAlignment="1">
      <alignment horizontal="right" wrapText="1"/>
    </xf>
    <xf numFmtId="49" fontId="26" fillId="0" borderId="0" xfId="0" applyNumberFormat="1" applyFont="1" applyFill="1" applyAlignment="1">
      <alignment horizontal="left" wrapText="1"/>
    </xf>
    <xf numFmtId="170" fontId="26" fillId="0" borderId="0" xfId="0" applyNumberFormat="1" applyFont="1" applyFill="1" applyAlignment="1">
      <alignment horizontal="left"/>
    </xf>
    <xf numFmtId="9" fontId="26" fillId="0" borderId="0" xfId="109" applyFont="1" applyAlignment="1">
      <alignment horizontal="right"/>
    </xf>
    <xf numFmtId="170" fontId="26" fillId="0" borderId="25" xfId="0" applyNumberFormat="1" applyFont="1" applyBorder="1" applyAlignment="1">
      <alignment horizontal="left"/>
    </xf>
    <xf numFmtId="170" fontId="26" fillId="0" borderId="2" xfId="0" applyNumberFormat="1" applyFont="1" applyBorder="1" applyAlignment="1">
      <alignment horizontal="right"/>
    </xf>
    <xf numFmtId="170" fontId="26" fillId="0" borderId="26" xfId="0" applyNumberFormat="1" applyFont="1" applyBorder="1" applyAlignment="1">
      <alignment horizontal="right"/>
    </xf>
    <xf numFmtId="170" fontId="26" fillId="0" borderId="0" xfId="0" applyNumberFormat="1" applyFont="1" applyFill="1" applyAlignment="1">
      <alignment horizontal="right"/>
    </xf>
    <xf numFmtId="170" fontId="26" fillId="0" borderId="27" xfId="0" applyNumberFormat="1" applyFont="1" applyFill="1" applyBorder="1" applyAlignment="1">
      <alignment horizontal="right"/>
    </xf>
    <xf numFmtId="170" fontId="26" fillId="0" borderId="0" xfId="0" applyNumberFormat="1" applyFont="1" applyFill="1" applyBorder="1" applyAlignment="1">
      <alignment horizontal="right"/>
    </xf>
    <xf numFmtId="170" fontId="26" fillId="0" borderId="28" xfId="0" applyNumberFormat="1" applyFont="1" applyFill="1" applyBorder="1" applyAlignment="1">
      <alignment horizontal="right"/>
    </xf>
    <xf numFmtId="170" fontId="26" fillId="0" borderId="3" xfId="0" applyNumberFormat="1" applyFont="1" applyBorder="1" applyAlignment="1">
      <alignment horizontal="right"/>
    </xf>
    <xf numFmtId="170" fontId="26" fillId="0" borderId="29" xfId="0" applyNumberFormat="1" applyFont="1" applyFill="1" applyBorder="1" applyAlignment="1">
      <alignment horizontal="right"/>
    </xf>
    <xf numFmtId="170" fontId="26" fillId="0" borderId="30" xfId="0" applyNumberFormat="1" applyFont="1" applyFill="1" applyBorder="1" applyAlignment="1">
      <alignment horizontal="right"/>
    </xf>
    <xf numFmtId="170" fontId="26" fillId="0" borderId="0" xfId="0" applyNumberFormat="1" applyFont="1" applyAlignment="1">
      <alignment horizontal="center"/>
    </xf>
    <xf numFmtId="170" fontId="26" fillId="0" borderId="31" xfId="0" applyNumberFormat="1" applyFont="1" applyBorder="1" applyAlignment="1">
      <alignment horizontal="right"/>
    </xf>
    <xf numFmtId="170" fontId="26" fillId="0" borderId="1" xfId="0" applyNumberFormat="1" applyFont="1" applyBorder="1" applyAlignment="1">
      <alignment horizontal="right"/>
    </xf>
    <xf numFmtId="170" fontId="26" fillId="0" borderId="3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0" fontId="0" fillId="0" borderId="0" xfId="0" applyAlignment="1">
      <alignment horizontal="left"/>
    </xf>
    <xf numFmtId="42" fontId="4" fillId="0" borderId="0" xfId="0" applyNumberFormat="1" applyFont="1"/>
    <xf numFmtId="165" fontId="0" fillId="0" borderId="0" xfId="0" applyNumberFormat="1"/>
    <xf numFmtId="42" fontId="0" fillId="0" borderId="0" xfId="0" applyNumberFormat="1"/>
    <xf numFmtId="42" fontId="3" fillId="0" borderId="0" xfId="0" applyNumberFormat="1" applyFont="1"/>
    <xf numFmtId="10" fontId="0" fillId="0" borderId="0" xfId="0" applyNumberFormat="1" applyFont="1"/>
    <xf numFmtId="42" fontId="2" fillId="0" borderId="0" xfId="0" applyNumberFormat="1" applyFont="1"/>
    <xf numFmtId="165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3" fillId="0" borderId="2" xfId="0" applyNumberFormat="1" applyFont="1" applyBorder="1"/>
    <xf numFmtId="10" fontId="0" fillId="0" borderId="2" xfId="0" applyNumberFormat="1" applyFont="1" applyBorder="1"/>
    <xf numFmtId="0" fontId="29" fillId="0" borderId="0" xfId="0" applyFont="1" applyBorder="1" applyAlignment="1">
      <alignment horizontal="left"/>
    </xf>
    <xf numFmtId="3" fontId="29" fillId="0" borderId="0" xfId="0" applyNumberFormat="1" applyFont="1" applyFill="1" applyBorder="1"/>
    <xf numFmtId="42" fontId="29" fillId="0" borderId="0" xfId="0" applyNumberFormat="1" applyFont="1" applyFill="1" applyBorder="1"/>
    <xf numFmtId="171" fontId="29" fillId="0" borderId="0" xfId="0" applyNumberFormat="1" applyFont="1" applyFill="1" applyBorder="1"/>
    <xf numFmtId="171" fontId="29" fillId="0" borderId="0" xfId="0" applyNumberFormat="1" applyFont="1" applyFill="1"/>
    <xf numFmtId="171" fontId="30" fillId="0" borderId="0" xfId="0" applyNumberFormat="1" applyFont="1"/>
    <xf numFmtId="164" fontId="29" fillId="0" borderId="0" xfId="0" applyNumberFormat="1" applyFont="1"/>
    <xf numFmtId="10" fontId="29" fillId="0" borderId="0" xfId="0" applyNumberFormat="1" applyFont="1"/>
    <xf numFmtId="0" fontId="29" fillId="0" borderId="0" xfId="0" applyFont="1"/>
    <xf numFmtId="172" fontId="29" fillId="0" borderId="0" xfId="0" applyNumberFormat="1" applyFont="1" applyFill="1" applyBorder="1"/>
    <xf numFmtId="37" fontId="29" fillId="0" borderId="0" xfId="0" applyNumberFormat="1" applyFont="1"/>
    <xf numFmtId="37" fontId="29" fillId="0" borderId="0" xfId="0" applyNumberFormat="1" applyFont="1" applyFill="1"/>
    <xf numFmtId="0" fontId="29" fillId="0" borderId="0" xfId="0" applyFont="1" applyAlignment="1">
      <alignment horizontal="left"/>
    </xf>
    <xf numFmtId="3" fontId="29" fillId="0" borderId="0" xfId="0" applyNumberFormat="1" applyFont="1" applyBorder="1"/>
    <xf numFmtId="42" fontId="29" fillId="0" borderId="2" xfId="0" applyNumberFormat="1" applyFont="1" applyFill="1" applyBorder="1"/>
    <xf numFmtId="0" fontId="29" fillId="0" borderId="0" xfId="0" applyFont="1" applyFill="1"/>
    <xf numFmtId="3" fontId="0" fillId="0" borderId="0" xfId="0" applyNumberFormat="1"/>
    <xf numFmtId="10" fontId="0" fillId="0" borderId="0" xfId="0" applyNumberFormat="1"/>
    <xf numFmtId="0" fontId="33" fillId="0" borderId="0" xfId="0" applyFont="1" applyAlignment="1">
      <alignment horizontal="left"/>
    </xf>
    <xf numFmtId="42" fontId="29" fillId="0" borderId="0" xfId="0" applyNumberFormat="1" applyFont="1" applyBorder="1"/>
    <xf numFmtId="42" fontId="29" fillId="0" borderId="0" xfId="0" applyNumberFormat="1" applyFont="1"/>
    <xf numFmtId="166" fontId="29" fillId="0" borderId="0" xfId="0" applyNumberFormat="1" applyFont="1" applyFill="1"/>
    <xf numFmtId="174" fontId="29" fillId="0" borderId="0" xfId="0" applyNumberFormat="1" applyFont="1" applyFill="1"/>
    <xf numFmtId="0" fontId="29" fillId="0" borderId="0" xfId="0" applyFont="1" applyFill="1" applyBorder="1" applyAlignment="1">
      <alignment horizontal="left" vertical="center" textRotation="180"/>
    </xf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/>
    <xf numFmtId="0" fontId="29" fillId="0" borderId="0" xfId="0" applyFont="1" applyBorder="1"/>
    <xf numFmtId="174" fontId="29" fillId="0" borderId="0" xfId="0" applyNumberFormat="1" applyFont="1" applyFill="1" applyBorder="1"/>
    <xf numFmtId="0" fontId="29" fillId="0" borderId="1" xfId="0" applyFont="1" applyBorder="1" applyAlignment="1">
      <alignment horizontal="left"/>
    </xf>
    <xf numFmtId="0" fontId="29" fillId="0" borderId="2" xfId="0" applyFont="1" applyBorder="1" applyAlignment="1">
      <alignment horizontal="left"/>
    </xf>
    <xf numFmtId="166" fontId="29" fillId="0" borderId="2" xfId="0" applyNumberFormat="1" applyFont="1" applyFill="1" applyBorder="1"/>
    <xf numFmtId="174" fontId="29" fillId="0" borderId="2" xfId="0" applyNumberFormat="1" applyFont="1" applyFill="1" applyBorder="1"/>
    <xf numFmtId="44" fontId="29" fillId="0" borderId="0" xfId="0" applyNumberFormat="1" applyFont="1"/>
    <xf numFmtId="174" fontId="0" fillId="0" borderId="0" xfId="0" applyNumberFormat="1"/>
    <xf numFmtId="0" fontId="0" fillId="0" borderId="0" xfId="0" quotePrefix="1"/>
    <xf numFmtId="0" fontId="3" fillId="0" borderId="0" xfId="0" applyFont="1"/>
    <xf numFmtId="0" fontId="3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"/>
    </xf>
    <xf numFmtId="0" fontId="34" fillId="0" borderId="0" xfId="0" applyFont="1"/>
    <xf numFmtId="175" fontId="3" fillId="0" borderId="0" xfId="0" applyNumberFormat="1" applyFont="1"/>
    <xf numFmtId="44" fontId="34" fillId="0" borderId="0" xfId="0" applyNumberFormat="1" applyFont="1"/>
    <xf numFmtId="44" fontId="34" fillId="0" borderId="0" xfId="0" applyNumberFormat="1" applyFont="1" applyBorder="1"/>
    <xf numFmtId="44" fontId="3" fillId="0" borderId="0" xfId="0" applyNumberFormat="1" applyFont="1"/>
    <xf numFmtId="175" fontId="3" fillId="0" borderId="0" xfId="0" applyNumberFormat="1" applyFont="1" applyBorder="1"/>
    <xf numFmtId="44" fontId="3" fillId="0" borderId="0" xfId="0" applyNumberFormat="1" applyFont="1" applyBorder="1"/>
    <xf numFmtId="44" fontId="3" fillId="0" borderId="2" xfId="0" applyNumberFormat="1" applyFont="1" applyBorder="1"/>
    <xf numFmtId="171" fontId="35" fillId="0" borderId="0" xfId="0" applyNumberFormat="1" applyFont="1"/>
    <xf numFmtId="171" fontId="3" fillId="0" borderId="0" xfId="0" applyNumberFormat="1" applyFont="1"/>
    <xf numFmtId="171" fontId="35" fillId="0" borderId="0" xfId="0" applyNumberFormat="1" applyFont="1" applyFill="1"/>
    <xf numFmtId="171" fontId="0" fillId="0" borderId="0" xfId="0" applyNumberFormat="1" applyFont="1"/>
    <xf numFmtId="171" fontId="4" fillId="0" borderId="0" xfId="0" applyNumberFormat="1" applyFont="1"/>
    <xf numFmtId="171" fontId="34" fillId="0" borderId="0" xfId="0" applyNumberFormat="1" applyFont="1" applyFill="1"/>
    <xf numFmtId="171" fontId="3" fillId="0" borderId="2" xfId="0" applyNumberFormat="1" applyFont="1" applyBorder="1"/>
    <xf numFmtId="171" fontId="36" fillId="0" borderId="0" xfId="0" applyNumberFormat="1" applyFont="1"/>
    <xf numFmtId="171" fontId="0" fillId="0" borderId="0" xfId="0" applyNumberFormat="1" applyFont="1" applyFill="1"/>
    <xf numFmtId="171" fontId="6" fillId="0" borderId="0" xfId="0" applyNumberFormat="1" applyFont="1"/>
    <xf numFmtId="175" fontId="3" fillId="0" borderId="2" xfId="0" applyNumberFormat="1" applyFont="1" applyBorder="1"/>
    <xf numFmtId="164" fontId="3" fillId="0" borderId="0" xfId="0" applyNumberFormat="1" applyFont="1"/>
    <xf numFmtId="10" fontId="3" fillId="0" borderId="0" xfId="0" applyNumberFormat="1" applyFont="1"/>
    <xf numFmtId="0" fontId="3" fillId="0" borderId="0" xfId="0" applyFont="1" applyFill="1" applyAlignment="1"/>
    <xf numFmtId="0" fontId="6" fillId="0" borderId="0" xfId="0" applyFont="1" applyAlignment="1">
      <alignment horizontal="centerContinuous"/>
    </xf>
    <xf numFmtId="0" fontId="6" fillId="0" borderId="0" xfId="0" applyFont="1"/>
    <xf numFmtId="165" fontId="2" fillId="0" borderId="0" xfId="0" applyNumberFormat="1" applyFont="1"/>
    <xf numFmtId="165" fontId="2" fillId="0" borderId="1" xfId="0" applyNumberFormat="1" applyFont="1" applyBorder="1"/>
    <xf numFmtId="172" fontId="37" fillId="0" borderId="0" xfId="0" applyNumberFormat="1" applyFont="1" applyFill="1" applyBorder="1"/>
    <xf numFmtId="3" fontId="37" fillId="0" borderId="0" xfId="0" applyNumberFormat="1" applyFont="1" applyFill="1"/>
    <xf numFmtId="42" fontId="37" fillId="0" borderId="0" xfId="0" applyNumberFormat="1" applyFont="1" applyFill="1" applyBorder="1"/>
    <xf numFmtId="171" fontId="37" fillId="0" borderId="0" xfId="0" applyNumberFormat="1" applyFont="1" applyFill="1"/>
    <xf numFmtId="173" fontId="37" fillId="0" borderId="0" xfId="0" applyNumberFormat="1" applyFont="1" applyFill="1" applyBorder="1"/>
    <xf numFmtId="165" fontId="4" fillId="0" borderId="0" xfId="0" applyNumberFormat="1" applyFont="1"/>
    <xf numFmtId="171" fontId="32" fillId="0" borderId="0" xfId="0" applyNumberFormat="1" applyFont="1" applyFill="1" applyBorder="1"/>
    <xf numFmtId="172" fontId="32" fillId="0" borderId="0" xfId="0" applyNumberFormat="1" applyFont="1" applyFill="1" applyBorder="1"/>
    <xf numFmtId="0" fontId="0" fillId="0" borderId="2" xfId="0" applyFont="1" applyFill="1" applyBorder="1" applyAlignment="1">
      <alignment horizontal="center"/>
    </xf>
    <xf numFmtId="165" fontId="4" fillId="0" borderId="2" xfId="0" applyNumberFormat="1" applyFont="1" applyBorder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110">
    <cellStyle name="20% - Accent1 2" xfId="1"/>
    <cellStyle name="20% - Accent1 2 2" xfId="2"/>
    <cellStyle name="20% - Accent2 2" xfId="3"/>
    <cellStyle name="20% - Accent2 2 2" xfId="4"/>
    <cellStyle name="20% - Accent3 2" xfId="5"/>
    <cellStyle name="20% - Accent3 2 2" xfId="6"/>
    <cellStyle name="20% - Accent4 2" xfId="7"/>
    <cellStyle name="20% - Accent4 2 2" xfId="8"/>
    <cellStyle name="20% - Accent5 2" xfId="9"/>
    <cellStyle name="20% - Accent5 2 2" xfId="10"/>
    <cellStyle name="20% - Accent6 2" xfId="11"/>
    <cellStyle name="20% - Accent6 2 2" xfId="12"/>
    <cellStyle name="40% - Accent1 2" xfId="13"/>
    <cellStyle name="40% - Accent1 2 2" xfId="14"/>
    <cellStyle name="40% - Accent2 2" xfId="15"/>
    <cellStyle name="40% - Accent2 2 2" xfId="16"/>
    <cellStyle name="40% - Accent3 2" xfId="17"/>
    <cellStyle name="40% - Accent3 2 2" xfId="18"/>
    <cellStyle name="40% - Accent4 2" xfId="19"/>
    <cellStyle name="40% - Accent4 2 2" xfId="20"/>
    <cellStyle name="40% - Accent5 2" xfId="21"/>
    <cellStyle name="40% - Accent5 2 2" xfId="22"/>
    <cellStyle name="40% - Accent6 2" xfId="23"/>
    <cellStyle name="40% - Accent6 2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 2" xfId="40"/>
    <cellStyle name="Comma 2 2" xfId="41"/>
    <cellStyle name="Comma 2 2 2" xfId="42"/>
    <cellStyle name="Comma 2 3" xfId="43"/>
    <cellStyle name="Comma 3" xfId="44"/>
    <cellStyle name="Comma 3 2" xfId="45"/>
    <cellStyle name="Comma 4" xfId="46"/>
    <cellStyle name="Comma 4 2" xfId="47"/>
    <cellStyle name="Comma 4 3" xfId="48"/>
    <cellStyle name="Comma 4 4" xfId="49"/>
    <cellStyle name="Comma 4 5" xfId="50"/>
    <cellStyle name="Comma 5" xfId="51"/>
    <cellStyle name="Comma 6" xfId="52"/>
    <cellStyle name="Comma 6 2" xfId="53"/>
    <cellStyle name="Comma 6 3" xfId="54"/>
    <cellStyle name="Comma 6 4" xfId="55"/>
    <cellStyle name="Comma 6 5" xfId="56"/>
    <cellStyle name="Comma 7" xfId="57"/>
    <cellStyle name="Currency 2" xfId="58"/>
    <cellStyle name="Currency 2 2" xfId="59"/>
    <cellStyle name="Currency 3" xfId="60"/>
    <cellStyle name="Explanatory Text 2" xfId="61"/>
    <cellStyle name="Good 2" xfId="62"/>
    <cellStyle name="Heading 1 2" xfId="63"/>
    <cellStyle name="Heading 2 2" xfId="64"/>
    <cellStyle name="Heading 3 2" xfId="65"/>
    <cellStyle name="Heading 4 2" xfId="66"/>
    <cellStyle name="Input 2" xfId="67"/>
    <cellStyle name="Linked Cell 2" xfId="68"/>
    <cellStyle name="Neutral 2" xfId="69"/>
    <cellStyle name="Normal" xfId="0" builtinId="0"/>
    <cellStyle name="Normal 2" xfId="70"/>
    <cellStyle name="Normal 2 16 2" xfId="108"/>
    <cellStyle name="Normal 2 2" xfId="71"/>
    <cellStyle name="Normal 2 2 2" xfId="72"/>
    <cellStyle name="Normal 2 3" xfId="73"/>
    <cellStyle name="Normal 2 3 2" xfId="74"/>
    <cellStyle name="Normal 2 4" xfId="75"/>
    <cellStyle name="Normal 2 4 2" xfId="76"/>
    <cellStyle name="Normal 2 5" xfId="77"/>
    <cellStyle name="Normal 2 5 2" xfId="78"/>
    <cellStyle name="Normal 2 5 3" xfId="79"/>
    <cellStyle name="Normal 3" xfId="80"/>
    <cellStyle name="Normal 3 2" xfId="81"/>
    <cellStyle name="Normal 3 2 2" xfId="82"/>
    <cellStyle name="Normal 3 2 3" xfId="83"/>
    <cellStyle name="Normal 3 2 4" xfId="84"/>
    <cellStyle name="Normal 3 2 5" xfId="85"/>
    <cellStyle name="Normal 3 3" xfId="86"/>
    <cellStyle name="Normal 4" xfId="87"/>
    <cellStyle name="Normal 5" xfId="88"/>
    <cellStyle name="Normal 5 2" xfId="89"/>
    <cellStyle name="Normal 5 3" xfId="90"/>
    <cellStyle name="Normal 5 4" xfId="91"/>
    <cellStyle name="Normal 5 5" xfId="92"/>
    <cellStyle name="Normal 6" xfId="93"/>
    <cellStyle name="Normal 7" xfId="94"/>
    <cellStyle name="Normal 7 2" xfId="95"/>
    <cellStyle name="Normal 7 3" xfId="96"/>
    <cellStyle name="Normal 7 4" xfId="97"/>
    <cellStyle name="Normal 7 5" xfId="98"/>
    <cellStyle name="Note 2" xfId="99"/>
    <cellStyle name="Note 2 2" xfId="100"/>
    <cellStyle name="Output 2" xfId="101"/>
    <cellStyle name="Percent" xfId="109" builtinId="5"/>
    <cellStyle name="Percent 2" xfId="102"/>
    <cellStyle name="Percent 2 2" xfId="103"/>
    <cellStyle name="Percent 3" xfId="104"/>
    <cellStyle name="Title 2" xfId="105"/>
    <cellStyle name="Total 2" xfId="106"/>
    <cellStyle name="Warning Text 2" xfId="107"/>
  </cellStyles>
  <dxfs count="0"/>
  <tableStyles count="0" defaultTableStyle="TableStyleMedium9" defaultPivotStyle="PivotStyleLight16"/>
  <colors>
    <mruColors>
      <color rgb="FF008080"/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sharedStrings" Target="sharedStrings.xml"/><Relationship Id="rId75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T\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0%20GTIF\Original2010GTIF-Oct\Models%20&amp;%20Adjustments%20Oct-10%20filing\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03Processes/General%20Accounting/newgas/2012/4-2012/UBR-GAS%2004-201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dmurra\Local%20Settings\Temporary%20Internet%20Files\OLK15\Power%20Cost%2050yr%206.15.06%20AURORA%20run%20with%205.23.06%20price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mpliance%20Filing/Cost%20Of%20Service/2017%20Gas%20COSS%20September%20TY_Complianc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ettlement/Settlement%20Workpapers/%23Gas%20Model%202017%20GRC%20(SETTLEMENT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1EXC\PSE_VER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apacity\CAP_WBook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peder\Local%20Settings\Temporary%20Internet%20Files\Content.Outlook\966INFBW\03-09%20Elec_Unb%20(93%203%25%208%20months)%20fin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ulas\vlooku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7%20GRC\4.04G%20Pass%20Through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COS%20Inputs\COS%20Model\ECOS%20Model%20-%20FINAL%20COMPANY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6\09-06%20Elec_Unb%20(93%203%25%202%20months)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1/Cost%20of%20Service/Revenue%20Reqt%20and%20Rate%20Base/May%2016%20235%20pm/Gas%20Rev%20Req%20Model%202011%20GRC%20Ori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 refreshError="1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D5" t="str">
            <v>Yes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 refreshError="1"/>
      <sheetData sheetId="1" refreshError="1"/>
      <sheetData sheetId="2" refreshError="1"/>
      <sheetData sheetId="3" refreshError="1">
        <row r="10">
          <cell r="L10">
            <v>853377517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39">
          <cell r="F39">
            <v>0.62073339999999999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 refreshError="1"/>
      <sheetData sheetId="1" refreshError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>
        <row r="20">
          <cell r="L20">
            <v>0.35</v>
          </cell>
        </row>
      </sheetData>
      <sheetData sheetId="3" refreshError="1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S2" t="str">
            <v>Exhibit No.___(KJB-4)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 refreshError="1"/>
      <sheetData sheetId="2" refreshError="1"/>
      <sheetData sheetId="3" refreshError="1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>
        <row r="2">
          <cell r="AP2" t="str">
            <v>Docket Number UE-11_____</v>
          </cell>
        </row>
      </sheetData>
      <sheetData sheetId="3" refreshError="1"/>
      <sheetData sheetId="4" refreshError="1"/>
      <sheetData sheetId="5" refreshError="1">
        <row r="7">
          <cell r="A7" t="str">
            <v>FOR THE TWELVE MONTHS ENDED DECEMBER 31, 2010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7">
          <cell r="C7" t="str">
            <v>(a)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 refreshError="1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 refreshError="1">
        <row r="3">
          <cell r="L3" t="str">
            <v xml:space="preserve">Exhibit No.     </v>
          </cell>
        </row>
      </sheetData>
      <sheetData sheetId="5" refreshError="1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</sheetNames>
    <sheetDataSet>
      <sheetData sheetId="0">
        <row r="15">
          <cell r="J15">
            <v>2.9899999999999999E-2</v>
          </cell>
        </row>
      </sheetData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>
        <row r="42">
          <cell r="D42">
            <v>63131276.127215527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 refreshError="1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 refreshError="1"/>
      <sheetData sheetId="1" refreshError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Lost Factor"/>
      <sheetName val="Sch120Rsbl"/>
      <sheetName val="Sch_120"/>
      <sheetName val="Sch95Rsbl"/>
      <sheetName val="Bs Unbl Rt"/>
      <sheetName val="GPI (2)"/>
      <sheetName val="GPI"/>
      <sheetName val="Pended"/>
      <sheetName val="Target KWHs"/>
      <sheetName val="KWH Rsbl"/>
      <sheetName val="Billing Loss"/>
      <sheetName val="Sch_194"/>
      <sheetName val="Historical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132"/>
      <sheetName val="Sch132Rsbl"/>
      <sheetName val="Sch132Read"/>
      <sheetName val="Unbilled Revenue"/>
      <sheetName val="Billed KWHs"/>
      <sheetName val="APUA"/>
      <sheetName val="UnbLowIncJE"/>
      <sheetName val="Sch120Read"/>
      <sheetName val="UnbLowInc Rsbl"/>
      <sheetName val="Unbilled Days elec"/>
      <sheetName val="JE #s"/>
      <sheetName val="INPUT TAB 2005"/>
      <sheetName val="INPUT TAB 2006"/>
      <sheetName val="INPUT TAB 2007"/>
      <sheetName val="INPUT TAB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1">
          <cell r="I21">
            <v>2968420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31">
          <cell r="M31">
            <v>-9.1350000000000008E-3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 refreshError="1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1">
          <cell r="B11">
            <v>11862537</v>
          </cell>
        </row>
      </sheetData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 refreshError="1">
        <row r="11">
          <cell r="B11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 refreshError="1"/>
      <sheetData sheetId="1" refreshError="1">
        <row r="3">
          <cell r="O3" t="str">
            <v>Exhibit No. ___ (MJS-4)</v>
          </cell>
        </row>
      </sheetData>
      <sheetData sheetId="2" refreshError="1">
        <row r="3">
          <cell r="E3" t="str">
            <v>Exhibit No. ___ (MJS-5)</v>
          </cell>
        </row>
      </sheetData>
      <sheetData sheetId="3" refreshError="1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 refreshError="1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zoomScaleNormal="100" workbookViewId="0">
      <selection activeCell="D31" sqref="D31"/>
    </sheetView>
  </sheetViews>
  <sheetFormatPr defaultRowHeight="15" x14ac:dyDescent="0.25"/>
  <cols>
    <col min="1" max="1" width="4.5703125" style="10" customWidth="1"/>
    <col min="2" max="2" width="25.85546875" style="10" customWidth="1"/>
    <col min="3" max="3" width="10" style="10" bestFit="1" customWidth="1"/>
    <col min="4" max="4" width="12.85546875" style="10" bestFit="1" customWidth="1"/>
    <col min="5" max="5" width="18.85546875" style="10" bestFit="1" customWidth="1"/>
    <col min="6" max="6" width="10.85546875" style="10" bestFit="1" customWidth="1"/>
    <col min="7" max="7" width="15.140625" style="10" bestFit="1" customWidth="1"/>
    <col min="8" max="8" width="12.85546875" style="10" customWidth="1"/>
    <col min="9" max="10" width="9.28515625" style="10" customWidth="1"/>
    <col min="11" max="16384" width="9.140625" style="10"/>
  </cols>
  <sheetData>
    <row r="1" spans="1:11" x14ac:dyDescent="0.25">
      <c r="B1" s="168" t="s">
        <v>0</v>
      </c>
      <c r="C1" s="168"/>
      <c r="D1" s="168"/>
      <c r="E1" s="168"/>
      <c r="F1" s="168"/>
      <c r="G1" s="168"/>
      <c r="H1" s="168"/>
      <c r="I1" s="168"/>
      <c r="J1" s="168"/>
    </row>
    <row r="2" spans="1:11" x14ac:dyDescent="0.25">
      <c r="B2" s="168" t="s">
        <v>198</v>
      </c>
      <c r="C2" s="168"/>
      <c r="D2" s="168"/>
      <c r="E2" s="168"/>
      <c r="F2" s="168"/>
      <c r="G2" s="168"/>
      <c r="H2" s="168"/>
      <c r="I2" s="168"/>
      <c r="J2" s="168"/>
    </row>
    <row r="3" spans="1:11" x14ac:dyDescent="0.25">
      <c r="B3" s="168" t="s">
        <v>191</v>
      </c>
      <c r="C3" s="168"/>
      <c r="D3" s="168"/>
      <c r="E3" s="168"/>
      <c r="F3" s="168"/>
      <c r="G3" s="168"/>
      <c r="H3" s="168"/>
      <c r="I3" s="168"/>
      <c r="J3" s="168"/>
    </row>
    <row r="4" spans="1:11" x14ac:dyDescent="0.25">
      <c r="B4" s="168" t="s">
        <v>53</v>
      </c>
      <c r="C4" s="168"/>
      <c r="D4" s="168"/>
      <c r="E4" s="168"/>
      <c r="F4" s="168"/>
      <c r="G4" s="168"/>
      <c r="H4" s="168"/>
      <c r="I4" s="168"/>
      <c r="J4" s="168"/>
    </row>
    <row r="5" spans="1:11" x14ac:dyDescent="0.25">
      <c r="I5" s="14"/>
      <c r="J5" s="14"/>
    </row>
    <row r="6" spans="1:11" x14ac:dyDescent="0.25">
      <c r="E6" s="14"/>
      <c r="F6" s="14"/>
      <c r="G6" s="15"/>
    </row>
    <row r="7" spans="1:11" x14ac:dyDescent="0.25">
      <c r="B7" s="15"/>
      <c r="C7" s="15"/>
      <c r="D7" s="17" t="s">
        <v>52</v>
      </c>
      <c r="E7" s="17" t="s">
        <v>25</v>
      </c>
      <c r="F7" s="15" t="s">
        <v>25</v>
      </c>
      <c r="G7" s="15" t="s">
        <v>99</v>
      </c>
      <c r="H7" s="15" t="s">
        <v>1</v>
      </c>
      <c r="I7" s="16" t="s">
        <v>2</v>
      </c>
      <c r="J7" s="16" t="s">
        <v>2</v>
      </c>
    </row>
    <row r="8" spans="1:11" x14ac:dyDescent="0.25">
      <c r="A8" s="11" t="s">
        <v>44</v>
      </c>
      <c r="B8" s="15"/>
      <c r="C8" s="15"/>
      <c r="D8" s="17" t="s">
        <v>58</v>
      </c>
      <c r="E8" s="17" t="s">
        <v>26</v>
      </c>
      <c r="F8" s="15" t="s">
        <v>3</v>
      </c>
      <c r="G8" s="15" t="s">
        <v>98</v>
      </c>
      <c r="H8" s="15" t="s">
        <v>4</v>
      </c>
      <c r="I8" s="17" t="s">
        <v>4</v>
      </c>
      <c r="J8" s="17" t="s">
        <v>4</v>
      </c>
    </row>
    <row r="9" spans="1:11" x14ac:dyDescent="0.25">
      <c r="A9" s="1" t="s">
        <v>45</v>
      </c>
      <c r="B9" s="18" t="s">
        <v>5</v>
      </c>
      <c r="C9" s="18" t="s">
        <v>6</v>
      </c>
      <c r="D9" s="19" t="s">
        <v>27</v>
      </c>
      <c r="E9" s="19" t="s">
        <v>192</v>
      </c>
      <c r="F9" s="18" t="s">
        <v>61</v>
      </c>
      <c r="G9" s="19" t="s">
        <v>60</v>
      </c>
      <c r="H9" s="15" t="s">
        <v>32</v>
      </c>
      <c r="I9" s="17" t="s">
        <v>7</v>
      </c>
      <c r="J9" s="17" t="s">
        <v>3</v>
      </c>
    </row>
    <row r="10" spans="1:11" x14ac:dyDescent="0.25">
      <c r="B10" s="30" t="s">
        <v>35</v>
      </c>
      <c r="C10" s="30" t="s">
        <v>36</v>
      </c>
      <c r="D10" s="16" t="s">
        <v>37</v>
      </c>
      <c r="E10" s="17" t="s">
        <v>38</v>
      </c>
      <c r="F10" s="16" t="s">
        <v>39</v>
      </c>
      <c r="G10" s="17" t="s">
        <v>41</v>
      </c>
      <c r="H10" s="166" t="s">
        <v>40</v>
      </c>
      <c r="I10" s="166" t="s">
        <v>42</v>
      </c>
      <c r="J10" s="166" t="s">
        <v>43</v>
      </c>
      <c r="K10" s="17"/>
    </row>
    <row r="11" spans="1:11" x14ac:dyDescent="0.25">
      <c r="A11" s="30">
        <v>1</v>
      </c>
      <c r="B11" s="10" t="s">
        <v>8</v>
      </c>
      <c r="C11" s="10" t="s">
        <v>9</v>
      </c>
      <c r="D11" s="3">
        <v>0.64294552086371737</v>
      </c>
      <c r="E11" s="28">
        <f>SUM('Forecasted Volume'!N8:N10)</f>
        <v>639433860</v>
      </c>
      <c r="F11" s="2"/>
      <c r="G11" s="20">
        <f>G$23*D11</f>
        <v>-6766314.1821357748</v>
      </c>
      <c r="H11" s="31">
        <f t="shared" ref="H11:H17" si="0">ROUND(G11/$E11,5)</f>
        <v>-1.0580000000000001E-2</v>
      </c>
      <c r="I11" s="22">
        <f>ROUND(H11*19,2)</f>
        <v>-0.2</v>
      </c>
      <c r="J11" s="21"/>
    </row>
    <row r="12" spans="1:11" x14ac:dyDescent="0.25">
      <c r="A12" s="30">
        <f>A11+1</f>
        <v>2</v>
      </c>
      <c r="B12" s="10" t="s">
        <v>10</v>
      </c>
      <c r="C12" s="10" t="s">
        <v>11</v>
      </c>
      <c r="D12" s="3">
        <v>0.26587803738192672</v>
      </c>
      <c r="E12" s="28">
        <f>SUM('Forecasted Volume'!N11,'Forecasted Volume'!N16)</f>
        <v>238540651</v>
      </c>
      <c r="F12" s="2"/>
      <c r="G12" s="20">
        <f t="shared" ref="G12:G17" si="1">G$23*D12</f>
        <v>-2798082.0717733665</v>
      </c>
      <c r="H12" s="31">
        <f t="shared" si="0"/>
        <v>-1.1730000000000001E-2</v>
      </c>
      <c r="I12" s="21"/>
      <c r="J12" s="21"/>
    </row>
    <row r="13" spans="1:11" x14ac:dyDescent="0.25">
      <c r="A13" s="30">
        <f t="shared" ref="A13:A23" si="2">A12+1</f>
        <v>3</v>
      </c>
      <c r="B13" s="10" t="s">
        <v>12</v>
      </c>
      <c r="C13" s="10" t="s">
        <v>13</v>
      </c>
      <c r="D13" s="3">
        <v>4.0138805718931088E-2</v>
      </c>
      <c r="E13" s="28">
        <f>SUM('Forecasted Volume'!N12,'Forecasted Volume'!N17)</f>
        <v>90738172</v>
      </c>
      <c r="F13" s="2"/>
      <c r="G13" s="20">
        <f t="shared" si="1"/>
        <v>-422418.01455455541</v>
      </c>
      <c r="H13" s="31">
        <f t="shared" si="0"/>
        <v>-4.6600000000000001E-3</v>
      </c>
      <c r="I13" s="21"/>
      <c r="J13" s="21"/>
    </row>
    <row r="14" spans="1:11" x14ac:dyDescent="0.25">
      <c r="A14" s="30">
        <f t="shared" si="2"/>
        <v>4</v>
      </c>
      <c r="B14" s="10" t="s">
        <v>14</v>
      </c>
      <c r="C14" s="10" t="s">
        <v>15</v>
      </c>
      <c r="D14" s="3">
        <v>2.3181911346501723E-2</v>
      </c>
      <c r="E14" s="28">
        <f>SUM('Forecasted Volume'!N13,'Forecasted Volume'!N18)</f>
        <v>95221717</v>
      </c>
      <c r="F14" s="2"/>
      <c r="G14" s="20">
        <f t="shared" si="1"/>
        <v>-243964.83126926862</v>
      </c>
      <c r="H14" s="31">
        <f t="shared" si="0"/>
        <v>-2.5600000000000002E-3</v>
      </c>
      <c r="I14" s="21"/>
      <c r="J14" s="21"/>
    </row>
    <row r="15" spans="1:11" x14ac:dyDescent="0.25">
      <c r="A15" s="30">
        <f t="shared" si="2"/>
        <v>5</v>
      </c>
      <c r="B15" s="10" t="s">
        <v>16</v>
      </c>
      <c r="C15" s="10" t="s">
        <v>17</v>
      </c>
      <c r="D15" s="3">
        <v>3.6546073389268404E-3</v>
      </c>
      <c r="E15" s="28">
        <f>SUM('Forecasted Volume'!N14,'Forecasted Volume'!N19)</f>
        <v>9232632</v>
      </c>
      <c r="F15" s="2"/>
      <c r="G15" s="20">
        <f t="shared" si="1"/>
        <v>-38460.834806499428</v>
      </c>
      <c r="H15" s="31">
        <f t="shared" si="0"/>
        <v>-4.1700000000000001E-3</v>
      </c>
      <c r="I15" s="21"/>
      <c r="J15" s="21"/>
    </row>
    <row r="16" spans="1:11" x14ac:dyDescent="0.25">
      <c r="A16" s="30">
        <f t="shared" si="2"/>
        <v>6</v>
      </c>
      <c r="B16" s="10" t="s">
        <v>18</v>
      </c>
      <c r="C16" s="10" t="s">
        <v>19</v>
      </c>
      <c r="D16" s="3">
        <v>1.6020348822124556E-2</v>
      </c>
      <c r="E16" s="28">
        <f>SUM('Forecasted Volume'!N15,'Forecasted Volume'!N20)</f>
        <v>122437245</v>
      </c>
      <c r="F16" s="2"/>
      <c r="G16" s="20">
        <f t="shared" si="1"/>
        <v>-168597.04270477433</v>
      </c>
      <c r="H16" s="31">
        <f t="shared" si="0"/>
        <v>-1.3799999999999999E-3</v>
      </c>
      <c r="I16" s="21"/>
      <c r="J16" s="21"/>
    </row>
    <row r="17" spans="1:10" x14ac:dyDescent="0.25">
      <c r="A17" s="30">
        <f t="shared" si="2"/>
        <v>7</v>
      </c>
      <c r="B17" s="10" t="s">
        <v>20</v>
      </c>
      <c r="D17" s="3">
        <v>5.9692470094207337E-3</v>
      </c>
      <c r="E17" s="28">
        <f>'Forecasted Volume'!N21</f>
        <v>36194910</v>
      </c>
      <c r="F17" s="2"/>
      <c r="G17" s="20">
        <f t="shared" si="1"/>
        <v>-62819.942570338455</v>
      </c>
      <c r="H17" s="31">
        <f t="shared" si="0"/>
        <v>-1.74E-3</v>
      </c>
      <c r="I17" s="21"/>
      <c r="J17" s="21"/>
    </row>
    <row r="18" spans="1:10" x14ac:dyDescent="0.25">
      <c r="A18" s="30">
        <f t="shared" si="2"/>
        <v>8</v>
      </c>
      <c r="B18" s="10" t="s">
        <v>21</v>
      </c>
      <c r="D18" s="4">
        <f>SUM(D11:D17)</f>
        <v>0.99778847848154906</v>
      </c>
      <c r="E18" s="23">
        <f>SUM(E11:E17)</f>
        <v>1231799187</v>
      </c>
      <c r="F18" s="23"/>
      <c r="G18" s="24">
        <f t="shared" ref="G18" si="3">SUM(G11:G17)</f>
        <v>-10500656.919814575</v>
      </c>
      <c r="H18" s="25"/>
      <c r="I18" s="14"/>
      <c r="J18" s="14"/>
    </row>
    <row r="19" spans="1:10" x14ac:dyDescent="0.25">
      <c r="A19" s="30">
        <f t="shared" si="2"/>
        <v>9</v>
      </c>
      <c r="D19" s="5"/>
      <c r="E19" s="26"/>
      <c r="I19" s="14"/>
      <c r="J19" s="14"/>
    </row>
    <row r="20" spans="1:10" x14ac:dyDescent="0.25">
      <c r="A20" s="30">
        <f t="shared" si="2"/>
        <v>10</v>
      </c>
      <c r="B20" s="10" t="s">
        <v>22</v>
      </c>
      <c r="C20" s="10" t="s">
        <v>23</v>
      </c>
      <c r="D20" s="6">
        <v>2.2115215184504433E-3</v>
      </c>
      <c r="E20" s="2">
        <v>0</v>
      </c>
      <c r="F20" s="29">
        <v>337918</v>
      </c>
      <c r="G20" s="20">
        <f>G$23*D20</f>
        <v>-23273.899465521754</v>
      </c>
      <c r="H20" s="20"/>
      <c r="I20" s="14"/>
      <c r="J20" s="22">
        <f>ROUND(G20/$F$20,2)</f>
        <v>-7.0000000000000007E-2</v>
      </c>
    </row>
    <row r="21" spans="1:10" x14ac:dyDescent="0.25">
      <c r="A21" s="30">
        <f t="shared" si="2"/>
        <v>11</v>
      </c>
      <c r="B21" s="10" t="s">
        <v>24</v>
      </c>
      <c r="D21" s="7">
        <f>D18+D20</f>
        <v>0.99999999999999956</v>
      </c>
      <c r="E21" s="27"/>
      <c r="F21" s="27"/>
      <c r="G21" s="24">
        <f>G18+G20</f>
        <v>-10523930.819280097</v>
      </c>
      <c r="H21" s="25"/>
    </row>
    <row r="22" spans="1:10" x14ac:dyDescent="0.25">
      <c r="A22" s="30">
        <f t="shared" si="2"/>
        <v>12</v>
      </c>
      <c r="D22" s="8"/>
    </row>
    <row r="23" spans="1:10" x14ac:dyDescent="0.25">
      <c r="A23" s="30">
        <f t="shared" si="2"/>
        <v>13</v>
      </c>
      <c r="B23" s="10" t="s">
        <v>97</v>
      </c>
      <c r="G23" s="12">
        <f>'Revenue Requirement'!E32</f>
        <v>-10523930.819280105</v>
      </c>
      <c r="H23" s="9"/>
    </row>
    <row r="26" spans="1:10" x14ac:dyDescent="0.25">
      <c r="B26" s="10" t="s">
        <v>59</v>
      </c>
      <c r="D26" s="14"/>
    </row>
    <row r="27" spans="1:10" x14ac:dyDescent="0.25">
      <c r="B27" s="10" t="s">
        <v>54</v>
      </c>
      <c r="D27" s="14"/>
    </row>
    <row r="28" spans="1:10" x14ac:dyDescent="0.25">
      <c r="B28" s="10" t="s">
        <v>55</v>
      </c>
      <c r="D28" s="14"/>
    </row>
    <row r="29" spans="1:10" x14ac:dyDescent="0.25">
      <c r="D29" s="14"/>
    </row>
    <row r="30" spans="1:10" x14ac:dyDescent="0.25">
      <c r="D30" s="14"/>
    </row>
    <row r="31" spans="1:10" x14ac:dyDescent="0.25">
      <c r="D31" s="14"/>
    </row>
  </sheetData>
  <mergeCells count="4">
    <mergeCell ref="B1:J1"/>
    <mergeCell ref="B2:J2"/>
    <mergeCell ref="B3:J3"/>
    <mergeCell ref="B4:J4"/>
  </mergeCells>
  <printOptions horizontalCentered="1"/>
  <pageMargins left="0.45" right="0.45" top="0.75" bottom="0.75" header="0.3" footer="0.3"/>
  <pageSetup scale="99" orientation="landscape" blackAndWhite="1" r:id="rId1"/>
  <headerFooter>
    <oddFooter>&amp;L&amp;F 
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pane xSplit="1" ySplit="4" topLeftCell="B5" activePane="bottomRight" state="frozen"/>
      <selection activeCell="C33" sqref="C33"/>
      <selection pane="topRight" activeCell="C33" sqref="C33"/>
      <selection pane="bottomLeft" activeCell="C33" sqref="C33"/>
      <selection pane="bottomRight" activeCell="D38" sqref="D38"/>
    </sheetView>
  </sheetViews>
  <sheetFormatPr defaultColWidth="9.140625" defaultRowHeight="11.25" x14ac:dyDescent="0.2"/>
  <cols>
    <col min="1" max="1" width="21" style="39" customWidth="1"/>
    <col min="2" max="14" width="10.7109375" style="38" customWidth="1"/>
    <col min="15" max="16384" width="9.140625" style="38"/>
  </cols>
  <sheetData>
    <row r="1" spans="1:14" ht="18.75" x14ac:dyDescent="0.3">
      <c r="A1" s="37" t="s">
        <v>62</v>
      </c>
    </row>
    <row r="2" spans="1:14" ht="18.75" x14ac:dyDescent="0.3">
      <c r="A2" s="37" t="s">
        <v>63</v>
      </c>
    </row>
    <row r="4" spans="1:14" s="41" customFormat="1" ht="12" thickBot="1" x14ac:dyDescent="0.25">
      <c r="A4" s="40"/>
    </row>
    <row r="5" spans="1:14" x14ac:dyDescent="0.2">
      <c r="A5" s="42"/>
      <c r="B5" s="43"/>
      <c r="C5" s="43"/>
      <c r="D5" s="44"/>
    </row>
    <row r="6" spans="1:14" x14ac:dyDescent="0.2">
      <c r="A6" s="45"/>
      <c r="B6" s="46" t="s">
        <v>64</v>
      </c>
      <c r="C6" s="46" t="s">
        <v>65</v>
      </c>
      <c r="D6" s="47" t="s">
        <v>66</v>
      </c>
    </row>
    <row r="7" spans="1:14" x14ac:dyDescent="0.2">
      <c r="A7" s="48" t="s">
        <v>67</v>
      </c>
      <c r="B7" s="49">
        <v>-72897267</v>
      </c>
      <c r="C7" s="49">
        <v>-23589054</v>
      </c>
      <c r="D7" s="50">
        <f>SUM(B7:C7)</f>
        <v>-96486321</v>
      </c>
    </row>
    <row r="8" spans="1:14" x14ac:dyDescent="0.2">
      <c r="A8" s="48" t="s">
        <v>68</v>
      </c>
      <c r="B8" s="49">
        <v>8126789</v>
      </c>
      <c r="C8" s="49"/>
      <c r="D8" s="50">
        <f>SUM(B8:C8)</f>
        <v>8126789</v>
      </c>
    </row>
    <row r="9" spans="1:14" ht="12" thickBot="1" x14ac:dyDescent="0.25">
      <c r="A9" s="51" t="s">
        <v>69</v>
      </c>
      <c r="B9" s="52">
        <f>SUM(B7:B8)</f>
        <v>-64770478</v>
      </c>
      <c r="C9" s="52">
        <f>SUM(C7:C8)</f>
        <v>-23589054</v>
      </c>
      <c r="D9" s="53">
        <f>SUM(D7:D8)</f>
        <v>-88359532</v>
      </c>
    </row>
    <row r="10" spans="1:14" ht="12.75" thickTop="1" thickBot="1" x14ac:dyDescent="0.25">
      <c r="A10" s="54"/>
      <c r="B10" s="55"/>
      <c r="C10" s="55"/>
      <c r="D10" s="56"/>
    </row>
    <row r="12" spans="1:14" x14ac:dyDescent="0.2">
      <c r="A12" s="57" t="s">
        <v>70</v>
      </c>
    </row>
    <row r="13" spans="1:14" x14ac:dyDescent="0.2">
      <c r="B13" s="58" t="s">
        <v>71</v>
      </c>
      <c r="C13" s="58" t="s">
        <v>72</v>
      </c>
      <c r="D13" s="58" t="s">
        <v>73</v>
      </c>
      <c r="E13" s="58" t="s">
        <v>74</v>
      </c>
      <c r="F13" s="58" t="s">
        <v>75</v>
      </c>
      <c r="G13" s="58" t="s">
        <v>76</v>
      </c>
      <c r="H13" s="58" t="s">
        <v>77</v>
      </c>
      <c r="I13" s="58" t="s">
        <v>78</v>
      </c>
      <c r="J13" s="58" t="s">
        <v>79</v>
      </c>
      <c r="K13" s="58" t="s">
        <v>80</v>
      </c>
      <c r="L13" s="58" t="s">
        <v>81</v>
      </c>
      <c r="M13" s="58" t="s">
        <v>82</v>
      </c>
      <c r="N13" s="58" t="s">
        <v>83</v>
      </c>
    </row>
    <row r="14" spans="1:14" x14ac:dyDescent="0.2">
      <c r="A14" s="59" t="s">
        <v>84</v>
      </c>
    </row>
    <row r="15" spans="1:14" x14ac:dyDescent="0.2">
      <c r="A15" s="60" t="s">
        <v>85</v>
      </c>
      <c r="B15" s="38">
        <v>251408.07044000001</v>
      </c>
      <c r="C15" s="38">
        <v>226548.05015999899</v>
      </c>
      <c r="D15" s="38">
        <v>215985.94151</v>
      </c>
      <c r="E15" s="38">
        <v>188227.03513362299</v>
      </c>
      <c r="F15" s="38">
        <v>162744.870512886</v>
      </c>
      <c r="G15" s="38">
        <v>152397.892912182</v>
      </c>
      <c r="H15" s="38">
        <v>166340.333603148</v>
      </c>
      <c r="I15" s="38">
        <v>167905.764894441</v>
      </c>
      <c r="J15" s="38">
        <v>164467.54621114599</v>
      </c>
      <c r="K15" s="38">
        <v>187165.990348316</v>
      </c>
      <c r="L15" s="38">
        <v>221556.59069047001</v>
      </c>
      <c r="M15" s="38">
        <v>270622.47811806097</v>
      </c>
      <c r="N15" s="38">
        <f>+SUM(B15:M15)</f>
        <v>2375370.5645342721</v>
      </c>
    </row>
    <row r="16" spans="1:14" x14ac:dyDescent="0.2">
      <c r="A16" s="60" t="s">
        <v>86</v>
      </c>
      <c r="B16" s="38">
        <v>118556.43161</v>
      </c>
      <c r="C16" s="38">
        <v>109933.75255999999</v>
      </c>
      <c r="D16" s="38">
        <v>101793.98384</v>
      </c>
      <c r="E16" s="38">
        <v>75701.712309762501</v>
      </c>
      <c r="F16" s="38">
        <v>53386.190805262202</v>
      </c>
      <c r="G16" s="38">
        <v>41956.954061902899</v>
      </c>
      <c r="H16" s="38">
        <v>35918.467487487098</v>
      </c>
      <c r="I16" s="38">
        <v>35035.696191786403</v>
      </c>
      <c r="J16" s="38">
        <v>41040.965211722403</v>
      </c>
      <c r="K16" s="38">
        <v>68599.774399606002</v>
      </c>
      <c r="L16" s="38">
        <v>96242.618341745896</v>
      </c>
      <c r="M16" s="38">
        <v>131837.805979722</v>
      </c>
      <c r="N16" s="38">
        <f>+SUM(B16:M16)</f>
        <v>910004.35279899742</v>
      </c>
    </row>
    <row r="18" spans="1:14" x14ac:dyDescent="0.2">
      <c r="A18" s="39" t="s">
        <v>87</v>
      </c>
      <c r="B18" s="61">
        <f t="shared" ref="B18:M18" si="0">B15/$N$15</f>
        <v>0.10583951581857394</v>
      </c>
      <c r="C18" s="61">
        <f t="shared" si="0"/>
        <v>9.5373771799019166E-2</v>
      </c>
      <c r="D18" s="61">
        <f t="shared" si="0"/>
        <v>9.0927261933275397E-2</v>
      </c>
      <c r="E18" s="61">
        <f>E15/$N$15</f>
        <v>7.9241124708694793E-2</v>
      </c>
      <c r="F18" s="61">
        <f t="shared" si="0"/>
        <v>6.8513466043052793E-2</v>
      </c>
      <c r="G18" s="61">
        <f t="shared" si="0"/>
        <v>6.4157523540779388E-2</v>
      </c>
      <c r="H18" s="61">
        <f t="shared" si="0"/>
        <v>7.0027109069511262E-2</v>
      </c>
      <c r="I18" s="61">
        <f t="shared" si="0"/>
        <v>7.0686135208281292E-2</v>
      </c>
      <c r="J18" s="61">
        <f t="shared" si="0"/>
        <v>6.9238690024515132E-2</v>
      </c>
      <c r="K18" s="61">
        <f t="shared" si="0"/>
        <v>7.8794438704772263E-2</v>
      </c>
      <c r="L18" s="61">
        <f t="shared" si="0"/>
        <v>9.3272432519980131E-2</v>
      </c>
      <c r="M18" s="61">
        <f t="shared" si="0"/>
        <v>0.11392853062954439</v>
      </c>
      <c r="N18" s="61">
        <f>SUM(B18:M18)</f>
        <v>0.99999999999999978</v>
      </c>
    </row>
    <row r="19" spans="1:14" x14ac:dyDescent="0.2">
      <c r="A19" s="39" t="s">
        <v>88</v>
      </c>
      <c r="B19" s="61">
        <f t="shared" ref="B19:M19" si="1">B16/$N$16</f>
        <v>0.1302811698046755</v>
      </c>
      <c r="C19" s="61">
        <f t="shared" si="1"/>
        <v>0.12080574364492326</v>
      </c>
      <c r="D19" s="61">
        <f t="shared" si="1"/>
        <v>0.11186098563913612</v>
      </c>
      <c r="E19" s="61">
        <f>E16/$N$16</f>
        <v>8.3188296931678049E-2</v>
      </c>
      <c r="F19" s="61">
        <f t="shared" si="1"/>
        <v>5.8665863125881325E-2</v>
      </c>
      <c r="G19" s="61">
        <f t="shared" si="1"/>
        <v>4.6106322384998955E-2</v>
      </c>
      <c r="H19" s="61">
        <f t="shared" si="1"/>
        <v>3.9470654593034456E-2</v>
      </c>
      <c r="I19" s="61">
        <f t="shared" si="1"/>
        <v>3.8500580886259912E-2</v>
      </c>
      <c r="J19" s="61">
        <f t="shared" si="1"/>
        <v>4.5099746045706629E-2</v>
      </c>
      <c r="K19" s="61">
        <f t="shared" si="1"/>
        <v>7.5384006888105926E-2</v>
      </c>
      <c r="L19" s="61">
        <f t="shared" si="1"/>
        <v>0.10576061317258781</v>
      </c>
      <c r="M19" s="61">
        <f t="shared" si="1"/>
        <v>0.14487601688301205</v>
      </c>
      <c r="N19" s="61">
        <f>SUM(B19:M19)</f>
        <v>1</v>
      </c>
    </row>
    <row r="23" spans="1:14" x14ac:dyDescent="0.2">
      <c r="A23" s="57" t="s">
        <v>89</v>
      </c>
      <c r="F23" s="62" t="s">
        <v>90</v>
      </c>
      <c r="G23" s="63"/>
      <c r="H23" s="63"/>
      <c r="I23" s="63"/>
      <c r="J23" s="63"/>
      <c r="K23" s="63"/>
      <c r="L23" s="63"/>
      <c r="M23" s="63"/>
      <c r="N23" s="64"/>
    </row>
    <row r="24" spans="1:14" x14ac:dyDescent="0.2">
      <c r="A24" s="38" t="s">
        <v>91</v>
      </c>
      <c r="B24" s="38">
        <f t="shared" ref="B24:M24" si="2">$B$9*B18</f>
        <v>-6855276.0308575956</v>
      </c>
      <c r="C24" s="38">
        <f t="shared" si="2"/>
        <v>-6177404.7880853917</v>
      </c>
      <c r="D24" s="65">
        <f t="shared" si="2"/>
        <v>-5889402.2186494516</v>
      </c>
      <c r="E24" s="38">
        <f>$B$9*E18</f>
        <v>-5132485.5246397723</v>
      </c>
      <c r="F24" s="66">
        <f t="shared" si="2"/>
        <v>-4437649.945045298</v>
      </c>
      <c r="G24" s="67">
        <f t="shared" si="2"/>
        <v>-4155513.4670325336</v>
      </c>
      <c r="H24" s="67">
        <f t="shared" si="2"/>
        <v>-4535689.3273903793</v>
      </c>
      <c r="I24" s="67">
        <f t="shared" si="2"/>
        <v>-4578374.7654130086</v>
      </c>
      <c r="J24" s="67">
        <f t="shared" si="2"/>
        <v>-4484623.0489816768</v>
      </c>
      <c r="K24" s="67">
        <f t="shared" si="2"/>
        <v>-5103553.4586498002</v>
      </c>
      <c r="L24" s="67">
        <f t="shared" si="2"/>
        <v>-6041300.0385418572</v>
      </c>
      <c r="M24" s="67">
        <f t="shared" si="2"/>
        <v>-7379205.386713231</v>
      </c>
      <c r="N24" s="68">
        <f>SUM(B24:M24)</f>
        <v>-64770477.999999993</v>
      </c>
    </row>
    <row r="25" spans="1:14" x14ac:dyDescent="0.2">
      <c r="A25" s="38" t="s">
        <v>92</v>
      </c>
      <c r="B25" s="38">
        <f>$C$7*B19</f>
        <v>-3073209.5497056595</v>
      </c>
      <c r="C25" s="38">
        <f t="shared" ref="C25:M25" si="3">$C$7*C19</f>
        <v>-2849693.2103502518</v>
      </c>
      <c r="D25" s="65">
        <f t="shared" si="3"/>
        <v>-2638694.8307348061</v>
      </c>
      <c r="E25" s="38">
        <f>$C$7*E19</f>
        <v>-1962333.2284893878</v>
      </c>
      <c r="F25" s="66">
        <f t="shared" si="3"/>
        <v>-1383872.2132330234</v>
      </c>
      <c r="G25" s="67">
        <f t="shared" si="3"/>
        <v>-1087604.5284811491</v>
      </c>
      <c r="H25" s="67">
        <f t="shared" si="3"/>
        <v>-931075.40261043783</v>
      </c>
      <c r="I25" s="67">
        <f t="shared" si="3"/>
        <v>-908192.28155735298</v>
      </c>
      <c r="J25" s="67">
        <f t="shared" si="3"/>
        <v>-1063860.3448584601</v>
      </c>
      <c r="K25" s="67">
        <f t="shared" si="3"/>
        <v>-1778237.4092199027</v>
      </c>
      <c r="L25" s="67">
        <f t="shared" si="3"/>
        <v>-2494792.8152012853</v>
      </c>
      <c r="M25" s="67">
        <f t="shared" si="3"/>
        <v>-3417488.1855582828</v>
      </c>
      <c r="N25" s="68">
        <f>SUM(B25:M25)</f>
        <v>-23589054</v>
      </c>
    </row>
    <row r="26" spans="1:14" ht="12" thickBot="1" x14ac:dyDescent="0.25">
      <c r="A26" s="38" t="s">
        <v>89</v>
      </c>
      <c r="B26" s="69">
        <f>SUM(B24:B25)</f>
        <v>-9928485.5805632547</v>
      </c>
      <c r="C26" s="69">
        <f t="shared" ref="C26:M26" si="4">SUM(C24:C25)</f>
        <v>-9027097.9984356426</v>
      </c>
      <c r="D26" s="52">
        <f t="shared" si="4"/>
        <v>-8528097.0493842587</v>
      </c>
      <c r="E26" s="69">
        <f t="shared" si="4"/>
        <v>-7094818.75312916</v>
      </c>
      <c r="F26" s="70">
        <f t="shared" si="4"/>
        <v>-5821522.1582783218</v>
      </c>
      <c r="G26" s="52">
        <f t="shared" si="4"/>
        <v>-5243117.9955136832</v>
      </c>
      <c r="H26" s="52">
        <f t="shared" si="4"/>
        <v>-5466764.7300008172</v>
      </c>
      <c r="I26" s="52">
        <f t="shared" si="4"/>
        <v>-5486567.0469703618</v>
      </c>
      <c r="J26" s="52">
        <f t="shared" si="4"/>
        <v>-5548483.3938401369</v>
      </c>
      <c r="K26" s="52">
        <f t="shared" si="4"/>
        <v>-6881790.8678697031</v>
      </c>
      <c r="L26" s="52">
        <f t="shared" si="4"/>
        <v>-8536092.8537431434</v>
      </c>
      <c r="M26" s="52">
        <f t="shared" si="4"/>
        <v>-10796693.572271515</v>
      </c>
      <c r="N26" s="71">
        <f>SUM(N24:N25)</f>
        <v>-88359532</v>
      </c>
    </row>
    <row r="27" spans="1:14" ht="12" thickTop="1" x14ac:dyDescent="0.2">
      <c r="F27" s="66"/>
      <c r="G27" s="67"/>
      <c r="H27" s="67"/>
      <c r="I27" s="67"/>
      <c r="J27" s="67"/>
      <c r="K27" s="67"/>
      <c r="L27" s="67"/>
      <c r="M27" s="67"/>
      <c r="N27" s="68"/>
    </row>
    <row r="28" spans="1:14" x14ac:dyDescent="0.2">
      <c r="F28" s="66"/>
      <c r="G28" s="67"/>
      <c r="H28" s="67"/>
      <c r="I28" s="67"/>
      <c r="J28" s="67"/>
      <c r="K28" s="67"/>
      <c r="L28" s="67"/>
      <c r="M28" s="67"/>
      <c r="N28" s="68"/>
    </row>
    <row r="29" spans="1:14" x14ac:dyDescent="0.2">
      <c r="E29" s="72" t="s">
        <v>93</v>
      </c>
      <c r="F29" s="66"/>
      <c r="G29" s="67"/>
      <c r="H29" s="67"/>
      <c r="I29" s="67"/>
      <c r="J29" s="67"/>
      <c r="K29" s="67"/>
      <c r="L29" s="67"/>
      <c r="M29" s="67"/>
      <c r="N29" s="68"/>
    </row>
    <row r="30" spans="1:14" x14ac:dyDescent="0.2">
      <c r="A30" s="57" t="s">
        <v>94</v>
      </c>
      <c r="E30" s="72" t="s">
        <v>95</v>
      </c>
      <c r="F30" s="66"/>
      <c r="G30" s="67"/>
      <c r="H30" s="67"/>
      <c r="I30" s="67"/>
      <c r="J30" s="67"/>
      <c r="K30" s="67"/>
      <c r="L30" s="67"/>
      <c r="M30" s="67"/>
      <c r="N30" s="68"/>
    </row>
    <row r="31" spans="1:14" x14ac:dyDescent="0.2">
      <c r="A31" s="38" t="s">
        <v>91</v>
      </c>
      <c r="B31" s="38">
        <f>B24</f>
        <v>-6855276.0308575956</v>
      </c>
      <c r="C31" s="65">
        <f>B24+C24</f>
        <v>-13032680.818942986</v>
      </c>
      <c r="D31" s="65">
        <f t="shared" ref="D31:M32" si="5">C31+D24</f>
        <v>-18922083.037592437</v>
      </c>
      <c r="E31" s="65">
        <f t="shared" si="5"/>
        <v>-24054568.562232211</v>
      </c>
      <c r="F31" s="66">
        <f t="shared" si="5"/>
        <v>-28492218.507277511</v>
      </c>
      <c r="G31" s="67">
        <f t="shared" si="5"/>
        <v>-32647731.974310044</v>
      </c>
      <c r="H31" s="67">
        <f t="shared" si="5"/>
        <v>-37183421.301700421</v>
      </c>
      <c r="I31" s="67">
        <f t="shared" si="5"/>
        <v>-41761796.067113429</v>
      </c>
      <c r="J31" s="67">
        <f t="shared" si="5"/>
        <v>-46246419.116095103</v>
      </c>
      <c r="K31" s="67">
        <f t="shared" si="5"/>
        <v>-51349972.574744903</v>
      </c>
      <c r="L31" s="67">
        <f t="shared" si="5"/>
        <v>-57391272.613286763</v>
      </c>
      <c r="M31" s="67">
        <f t="shared" si="5"/>
        <v>-64770477.999999993</v>
      </c>
      <c r="N31" s="68"/>
    </row>
    <row r="32" spans="1:14" x14ac:dyDescent="0.2">
      <c r="A32" s="38" t="s">
        <v>92</v>
      </c>
      <c r="B32" s="38">
        <f>B25</f>
        <v>-3073209.5497056595</v>
      </c>
      <c r="C32" s="65">
        <f>B25+C25</f>
        <v>-5922902.7600559108</v>
      </c>
      <c r="D32" s="65">
        <f t="shared" si="5"/>
        <v>-8561597.5907907169</v>
      </c>
      <c r="E32" s="65">
        <f t="shared" si="5"/>
        <v>-10523930.819280105</v>
      </c>
      <c r="F32" s="66">
        <f t="shared" si="5"/>
        <v>-11907803.032513129</v>
      </c>
      <c r="G32" s="67">
        <f t="shared" si="5"/>
        <v>-12995407.560994279</v>
      </c>
      <c r="H32" s="67">
        <f t="shared" si="5"/>
        <v>-13926482.963604717</v>
      </c>
      <c r="I32" s="67">
        <f t="shared" si="5"/>
        <v>-14834675.24516207</v>
      </c>
      <c r="J32" s="67">
        <f t="shared" si="5"/>
        <v>-15898535.59002053</v>
      </c>
      <c r="K32" s="67">
        <f t="shared" si="5"/>
        <v>-17676772.999240432</v>
      </c>
      <c r="L32" s="67">
        <f t="shared" si="5"/>
        <v>-20171565.814441718</v>
      </c>
      <c r="M32" s="67">
        <f t="shared" si="5"/>
        <v>-23589054</v>
      </c>
      <c r="N32" s="68"/>
    </row>
    <row r="33" spans="1:14" ht="12" thickBot="1" x14ac:dyDescent="0.25">
      <c r="A33" s="38" t="s">
        <v>96</v>
      </c>
      <c r="B33" s="69">
        <f>SUM(B31:B32)</f>
        <v>-9928485.5805632547</v>
      </c>
      <c r="C33" s="52">
        <f t="shared" ref="C33:M33" si="6">SUM(C31:C32)</f>
        <v>-18955583.578998897</v>
      </c>
      <c r="D33" s="52">
        <f t="shared" si="6"/>
        <v>-27483680.628383152</v>
      </c>
      <c r="E33" s="52">
        <f t="shared" si="6"/>
        <v>-34578499.381512314</v>
      </c>
      <c r="F33" s="70">
        <f t="shared" si="6"/>
        <v>-40400021.539790638</v>
      </c>
      <c r="G33" s="52">
        <f t="shared" si="6"/>
        <v>-45643139.535304323</v>
      </c>
      <c r="H33" s="52">
        <f t="shared" si="6"/>
        <v>-51109904.265305139</v>
      </c>
      <c r="I33" s="52">
        <f t="shared" si="6"/>
        <v>-56596471.312275499</v>
      </c>
      <c r="J33" s="52">
        <f t="shared" si="6"/>
        <v>-62144954.706115633</v>
      </c>
      <c r="K33" s="52">
        <f t="shared" si="6"/>
        <v>-69026745.573985338</v>
      </c>
      <c r="L33" s="52">
        <f t="shared" si="6"/>
        <v>-77562838.427728474</v>
      </c>
      <c r="M33" s="52">
        <f t="shared" si="6"/>
        <v>-88359532</v>
      </c>
      <c r="N33" s="68"/>
    </row>
    <row r="34" spans="1:14" ht="12" thickTop="1" x14ac:dyDescent="0.2">
      <c r="F34" s="73"/>
      <c r="G34" s="74"/>
      <c r="H34" s="74"/>
      <c r="I34" s="74"/>
      <c r="J34" s="74"/>
      <c r="K34" s="74"/>
      <c r="L34" s="74"/>
      <c r="M34" s="74"/>
      <c r="N34" s="75"/>
    </row>
  </sheetData>
  <pageMargins left="0.75" right="0.75" top="1" bottom="1" header="0.5" footer="0.5"/>
  <pageSetup scale="75" fitToHeight="0" orientation="landscape" r:id="rId1"/>
  <headerFooter>
    <oddFooter>&amp;L&amp;F
&amp;A&amp;C&amp;P&amp;R&amp;D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zoomScaleNormal="100" workbookViewId="0">
      <selection activeCell="G29" sqref="G29"/>
    </sheetView>
  </sheetViews>
  <sheetFormatPr defaultRowHeight="15" x14ac:dyDescent="0.25"/>
  <cols>
    <col min="1" max="1" width="19.85546875" style="10" customWidth="1"/>
    <col min="2" max="13" width="13.42578125" style="10" customWidth="1"/>
    <col min="14" max="14" width="13.85546875" style="10" customWidth="1"/>
    <col min="15" max="16384" width="9.140625" style="10"/>
  </cols>
  <sheetData>
    <row r="1" spans="1:14" x14ac:dyDescent="0.25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x14ac:dyDescent="0.25">
      <c r="A2" s="168" t="s">
        <v>198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4" x14ac:dyDescent="0.25">
      <c r="A3" s="168" t="s">
        <v>46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1:14" x14ac:dyDescent="0.25">
      <c r="A4" s="168" t="s">
        <v>56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5" spans="1:14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4" x14ac:dyDescent="0.25">
      <c r="A7" s="10" t="s">
        <v>28</v>
      </c>
      <c r="B7" s="32">
        <v>43586</v>
      </c>
      <c r="C7" s="32">
        <f>EDATE(B7,1)</f>
        <v>43617</v>
      </c>
      <c r="D7" s="32">
        <f t="shared" ref="D7:M7" si="0">EDATE(C7,1)</f>
        <v>43647</v>
      </c>
      <c r="E7" s="32">
        <f t="shared" si="0"/>
        <v>43678</v>
      </c>
      <c r="F7" s="32">
        <f t="shared" si="0"/>
        <v>43709</v>
      </c>
      <c r="G7" s="32">
        <f t="shared" si="0"/>
        <v>43739</v>
      </c>
      <c r="H7" s="32">
        <f t="shared" si="0"/>
        <v>43770</v>
      </c>
      <c r="I7" s="32">
        <f t="shared" si="0"/>
        <v>43800</v>
      </c>
      <c r="J7" s="32">
        <f t="shared" si="0"/>
        <v>43831</v>
      </c>
      <c r="K7" s="32">
        <f t="shared" si="0"/>
        <v>43862</v>
      </c>
      <c r="L7" s="32">
        <f t="shared" si="0"/>
        <v>43891</v>
      </c>
      <c r="M7" s="32">
        <f t="shared" si="0"/>
        <v>43922</v>
      </c>
      <c r="N7" s="18" t="s">
        <v>24</v>
      </c>
    </row>
    <row r="8" spans="1:14" x14ac:dyDescent="0.25">
      <c r="A8" s="33">
        <v>16</v>
      </c>
      <c r="B8" s="29">
        <v>657</v>
      </c>
      <c r="C8" s="29">
        <v>840</v>
      </c>
      <c r="D8" s="29">
        <v>1066</v>
      </c>
      <c r="E8" s="29">
        <v>885</v>
      </c>
      <c r="F8" s="29">
        <v>862</v>
      </c>
      <c r="G8" s="29">
        <v>666</v>
      </c>
      <c r="H8" s="29">
        <v>686</v>
      </c>
      <c r="I8" s="29">
        <v>843</v>
      </c>
      <c r="J8" s="29">
        <v>1008</v>
      </c>
      <c r="K8" s="29">
        <v>549</v>
      </c>
      <c r="L8" s="29">
        <v>930</v>
      </c>
      <c r="M8" s="29">
        <v>722</v>
      </c>
      <c r="N8" s="26">
        <f t="shared" ref="N8:N21" si="1">SUM(B8:M8)</f>
        <v>9714</v>
      </c>
    </row>
    <row r="9" spans="1:14" x14ac:dyDescent="0.25">
      <c r="A9" s="33">
        <v>23</v>
      </c>
      <c r="B9" s="29">
        <v>31121542</v>
      </c>
      <c r="C9" s="29">
        <v>20769735</v>
      </c>
      <c r="D9" s="29">
        <v>14916126</v>
      </c>
      <c r="E9" s="29">
        <v>14168135</v>
      </c>
      <c r="F9" s="29">
        <v>19776922</v>
      </c>
      <c r="G9" s="29">
        <v>45189013</v>
      </c>
      <c r="H9" s="29">
        <v>80256795</v>
      </c>
      <c r="I9" s="29">
        <v>103932231</v>
      </c>
      <c r="J9" s="29">
        <v>97136451</v>
      </c>
      <c r="K9" s="29">
        <v>85506304</v>
      </c>
      <c r="L9" s="29">
        <v>73689349</v>
      </c>
      <c r="M9" s="29">
        <v>52961543</v>
      </c>
      <c r="N9" s="26">
        <f t="shared" si="1"/>
        <v>639424146</v>
      </c>
    </row>
    <row r="10" spans="1:14" x14ac:dyDescent="0.25">
      <c r="A10" s="33">
        <v>53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6">
        <f t="shared" si="1"/>
        <v>0</v>
      </c>
    </row>
    <row r="11" spans="1:14" x14ac:dyDescent="0.25">
      <c r="A11" s="33">
        <v>31</v>
      </c>
      <c r="B11" s="29">
        <v>13227705</v>
      </c>
      <c r="C11" s="29">
        <v>9701489</v>
      </c>
      <c r="D11" s="29">
        <v>8057195</v>
      </c>
      <c r="E11" s="29">
        <v>8321983</v>
      </c>
      <c r="F11" s="29">
        <v>9537729</v>
      </c>
      <c r="G11" s="29">
        <v>16962689</v>
      </c>
      <c r="H11" s="29">
        <v>27597509</v>
      </c>
      <c r="I11" s="29">
        <v>35571819</v>
      </c>
      <c r="J11" s="29">
        <v>33292333</v>
      </c>
      <c r="K11" s="29">
        <v>30065398</v>
      </c>
      <c r="L11" s="29">
        <v>26192924</v>
      </c>
      <c r="M11" s="29">
        <v>19988827</v>
      </c>
      <c r="N11" s="26">
        <f t="shared" si="1"/>
        <v>238517600</v>
      </c>
    </row>
    <row r="12" spans="1:14" x14ac:dyDescent="0.25">
      <c r="A12" s="33">
        <v>41</v>
      </c>
      <c r="B12" s="29">
        <v>4904026</v>
      </c>
      <c r="C12" s="29">
        <v>4004598</v>
      </c>
      <c r="D12" s="29">
        <v>3002032</v>
      </c>
      <c r="E12" s="29">
        <v>2916178</v>
      </c>
      <c r="F12" s="29">
        <v>3858550</v>
      </c>
      <c r="G12" s="29">
        <v>5671332</v>
      </c>
      <c r="H12" s="29">
        <v>6993345</v>
      </c>
      <c r="I12" s="29">
        <v>8015534</v>
      </c>
      <c r="J12" s="29">
        <v>8158659</v>
      </c>
      <c r="K12" s="29">
        <v>6909293</v>
      </c>
      <c r="L12" s="29">
        <v>7132239</v>
      </c>
      <c r="M12" s="29">
        <v>5754834</v>
      </c>
      <c r="N12" s="26">
        <f t="shared" si="1"/>
        <v>67320620</v>
      </c>
    </row>
    <row r="13" spans="1:14" x14ac:dyDescent="0.25">
      <c r="A13" s="33">
        <v>85</v>
      </c>
      <c r="B13" s="29">
        <v>841002</v>
      </c>
      <c r="C13" s="29">
        <v>890204</v>
      </c>
      <c r="D13" s="29">
        <v>444047</v>
      </c>
      <c r="E13" s="29">
        <v>758849</v>
      </c>
      <c r="F13" s="29">
        <v>1002262</v>
      </c>
      <c r="G13" s="29">
        <v>1787232</v>
      </c>
      <c r="H13" s="29">
        <v>1702862</v>
      </c>
      <c r="I13" s="29">
        <v>1434648</v>
      </c>
      <c r="J13" s="29">
        <v>2869414</v>
      </c>
      <c r="K13" s="29">
        <v>1235606</v>
      </c>
      <c r="L13" s="29">
        <v>1309032</v>
      </c>
      <c r="M13" s="29">
        <v>1619799</v>
      </c>
      <c r="N13" s="26">
        <f t="shared" si="1"/>
        <v>15894957</v>
      </c>
    </row>
    <row r="14" spans="1:14" x14ac:dyDescent="0.25">
      <c r="A14" s="33">
        <v>86</v>
      </c>
      <c r="B14" s="29">
        <v>666928</v>
      </c>
      <c r="C14" s="29">
        <v>338042</v>
      </c>
      <c r="D14" s="29">
        <v>274417</v>
      </c>
      <c r="E14" s="29">
        <v>309790</v>
      </c>
      <c r="F14" s="29">
        <v>455112</v>
      </c>
      <c r="G14" s="29">
        <v>853434</v>
      </c>
      <c r="H14" s="29">
        <v>778385</v>
      </c>
      <c r="I14" s="29">
        <v>962700</v>
      </c>
      <c r="J14" s="29">
        <v>1179491</v>
      </c>
      <c r="K14" s="29">
        <v>1409365</v>
      </c>
      <c r="L14" s="29">
        <v>894965</v>
      </c>
      <c r="M14" s="29">
        <v>883429</v>
      </c>
      <c r="N14" s="26">
        <f t="shared" si="1"/>
        <v>9006058</v>
      </c>
    </row>
    <row r="15" spans="1:14" x14ac:dyDescent="0.25">
      <c r="A15" s="33">
        <v>87</v>
      </c>
      <c r="B15" s="29">
        <v>1771103</v>
      </c>
      <c r="C15" s="29">
        <v>1290116</v>
      </c>
      <c r="D15" s="29">
        <v>1475682</v>
      </c>
      <c r="E15" s="29">
        <v>1041468</v>
      </c>
      <c r="F15" s="29">
        <v>1068554</v>
      </c>
      <c r="G15" s="29">
        <v>1488287</v>
      </c>
      <c r="H15" s="29">
        <v>2284733</v>
      </c>
      <c r="I15" s="29">
        <v>3327418</v>
      </c>
      <c r="J15" s="29">
        <v>1494133</v>
      </c>
      <c r="K15" s="29">
        <v>2612623</v>
      </c>
      <c r="L15" s="29">
        <v>2718765</v>
      </c>
      <c r="M15" s="29">
        <v>1482146</v>
      </c>
      <c r="N15" s="26">
        <f t="shared" si="1"/>
        <v>22055028</v>
      </c>
    </row>
    <row r="16" spans="1:14" x14ac:dyDescent="0.25">
      <c r="A16" s="33" t="s">
        <v>33</v>
      </c>
      <c r="B16" s="29">
        <v>1088</v>
      </c>
      <c r="C16" s="29">
        <v>964</v>
      </c>
      <c r="D16" s="29">
        <v>973</v>
      </c>
      <c r="E16" s="29">
        <v>1449</v>
      </c>
      <c r="F16" s="29">
        <v>1620</v>
      </c>
      <c r="G16" s="29">
        <v>2388</v>
      </c>
      <c r="H16" s="29">
        <v>2959</v>
      </c>
      <c r="I16" s="29">
        <v>4331</v>
      </c>
      <c r="J16" s="29">
        <v>1799</v>
      </c>
      <c r="K16" s="29">
        <v>2160</v>
      </c>
      <c r="L16" s="29">
        <v>2030</v>
      </c>
      <c r="M16" s="29">
        <v>1290</v>
      </c>
      <c r="N16" s="26">
        <f t="shared" si="1"/>
        <v>23051</v>
      </c>
    </row>
    <row r="17" spans="1:14" x14ac:dyDescent="0.25">
      <c r="A17" s="33" t="s">
        <v>29</v>
      </c>
      <c r="B17" s="29">
        <v>1891515</v>
      </c>
      <c r="C17" s="29">
        <v>1888282</v>
      </c>
      <c r="D17" s="29">
        <v>1515312</v>
      </c>
      <c r="E17" s="29">
        <v>1884599</v>
      </c>
      <c r="F17" s="29">
        <v>1697462</v>
      </c>
      <c r="G17" s="29">
        <v>1813545</v>
      </c>
      <c r="H17" s="29">
        <v>2035749</v>
      </c>
      <c r="I17" s="29">
        <v>2193690</v>
      </c>
      <c r="J17" s="29">
        <v>2166649</v>
      </c>
      <c r="K17" s="29">
        <v>2130019</v>
      </c>
      <c r="L17" s="29">
        <v>2209834</v>
      </c>
      <c r="M17" s="29">
        <v>1990896</v>
      </c>
      <c r="N17" s="26">
        <f t="shared" si="1"/>
        <v>23417552</v>
      </c>
    </row>
    <row r="18" spans="1:14" x14ac:dyDescent="0.25">
      <c r="A18" s="33" t="s">
        <v>30</v>
      </c>
      <c r="B18" s="29">
        <v>6289608</v>
      </c>
      <c r="C18" s="29">
        <v>6310869</v>
      </c>
      <c r="D18" s="29">
        <v>5428693</v>
      </c>
      <c r="E18" s="29">
        <v>6804400</v>
      </c>
      <c r="F18" s="29">
        <v>6213120</v>
      </c>
      <c r="G18" s="29">
        <v>6279919</v>
      </c>
      <c r="H18" s="29">
        <v>7180311</v>
      </c>
      <c r="I18" s="29">
        <v>5737129</v>
      </c>
      <c r="J18" s="29">
        <v>7126318</v>
      </c>
      <c r="K18" s="29">
        <v>6932291</v>
      </c>
      <c r="L18" s="29">
        <v>6972858</v>
      </c>
      <c r="M18" s="29">
        <v>8051244</v>
      </c>
      <c r="N18" s="26">
        <f t="shared" si="1"/>
        <v>79326760</v>
      </c>
    </row>
    <row r="19" spans="1:14" x14ac:dyDescent="0.25">
      <c r="A19" s="33" t="s">
        <v>34</v>
      </c>
      <c r="B19" s="29">
        <v>12340</v>
      </c>
      <c r="C19" s="29">
        <v>18493</v>
      </c>
      <c r="D19" s="29">
        <v>9448</v>
      </c>
      <c r="E19" s="29">
        <v>10562</v>
      </c>
      <c r="F19" s="29">
        <v>3354</v>
      </c>
      <c r="G19" s="29">
        <v>14116</v>
      </c>
      <c r="H19" s="29">
        <v>41502</v>
      </c>
      <c r="I19" s="29">
        <v>26477</v>
      </c>
      <c r="J19" s="29">
        <v>25866</v>
      </c>
      <c r="K19" s="29">
        <v>26439</v>
      </c>
      <c r="L19" s="29">
        <v>22960</v>
      </c>
      <c r="M19" s="29">
        <v>15017</v>
      </c>
      <c r="N19" s="26">
        <f t="shared" si="1"/>
        <v>226574</v>
      </c>
    </row>
    <row r="20" spans="1:14" x14ac:dyDescent="0.25">
      <c r="A20" s="33" t="s">
        <v>31</v>
      </c>
      <c r="B20" s="29">
        <v>9122056</v>
      </c>
      <c r="C20" s="29">
        <v>7904385</v>
      </c>
      <c r="D20" s="29">
        <v>8999893</v>
      </c>
      <c r="E20" s="29">
        <v>7349472</v>
      </c>
      <c r="F20" s="29">
        <v>8122671</v>
      </c>
      <c r="G20" s="29">
        <v>8129913</v>
      </c>
      <c r="H20" s="29">
        <v>6792424</v>
      </c>
      <c r="I20" s="29">
        <v>9490509</v>
      </c>
      <c r="J20" s="29">
        <v>8833173</v>
      </c>
      <c r="K20" s="29">
        <v>8411272</v>
      </c>
      <c r="L20" s="29">
        <v>9778735</v>
      </c>
      <c r="M20" s="29">
        <v>7447714</v>
      </c>
      <c r="N20" s="26">
        <f t="shared" si="1"/>
        <v>100382217</v>
      </c>
    </row>
    <row r="21" spans="1:14" x14ac:dyDescent="0.25">
      <c r="A21" s="33" t="s">
        <v>20</v>
      </c>
      <c r="B21" s="29">
        <v>2267399</v>
      </c>
      <c r="C21" s="29">
        <v>1829615</v>
      </c>
      <c r="D21" s="29">
        <v>1557563</v>
      </c>
      <c r="E21" s="29">
        <v>1865795</v>
      </c>
      <c r="F21" s="29">
        <v>2066236</v>
      </c>
      <c r="G21" s="29">
        <v>2902219</v>
      </c>
      <c r="H21" s="29">
        <v>5074782</v>
      </c>
      <c r="I21" s="29">
        <v>4543808</v>
      </c>
      <c r="J21" s="29">
        <v>4285930</v>
      </c>
      <c r="K21" s="29">
        <v>3874079</v>
      </c>
      <c r="L21" s="29">
        <v>3519189</v>
      </c>
      <c r="M21" s="29">
        <v>2408295</v>
      </c>
      <c r="N21" s="26">
        <f t="shared" si="1"/>
        <v>36194910</v>
      </c>
    </row>
    <row r="22" spans="1:14" x14ac:dyDescent="0.25">
      <c r="A22" s="33" t="s">
        <v>24</v>
      </c>
      <c r="B22" s="23">
        <f>SUM(B8:B21)</f>
        <v>72116969</v>
      </c>
      <c r="C22" s="23">
        <f t="shared" ref="C22:M22" si="2">SUM(C8:C21)</f>
        <v>54947632</v>
      </c>
      <c r="D22" s="23">
        <f t="shared" si="2"/>
        <v>45682447</v>
      </c>
      <c r="E22" s="23">
        <f t="shared" si="2"/>
        <v>45433565</v>
      </c>
      <c r="F22" s="23">
        <f t="shared" si="2"/>
        <v>53804454</v>
      </c>
      <c r="G22" s="23">
        <f t="shared" si="2"/>
        <v>91094753</v>
      </c>
      <c r="H22" s="23">
        <f t="shared" si="2"/>
        <v>140742042</v>
      </c>
      <c r="I22" s="23">
        <f t="shared" si="2"/>
        <v>175241137</v>
      </c>
      <c r="J22" s="23">
        <f t="shared" si="2"/>
        <v>166571224</v>
      </c>
      <c r="K22" s="23">
        <f t="shared" si="2"/>
        <v>149115398</v>
      </c>
      <c r="L22" s="23">
        <f t="shared" si="2"/>
        <v>134443810</v>
      </c>
      <c r="M22" s="23">
        <f t="shared" si="2"/>
        <v>102605756</v>
      </c>
      <c r="N22" s="23">
        <f>SUM(N8:N21)</f>
        <v>1231799187</v>
      </c>
    </row>
    <row r="23" spans="1:14" x14ac:dyDescent="0.25">
      <c r="A23" s="33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x14ac:dyDescent="0.25">
      <c r="A24" s="33" t="s">
        <v>47</v>
      </c>
      <c r="B24" s="26">
        <f>SUM(B8:B12)</f>
        <v>49253930</v>
      </c>
      <c r="C24" s="26">
        <f t="shared" ref="C24:M24" si="3">SUM(C8:C12)</f>
        <v>34476662</v>
      </c>
      <c r="D24" s="26">
        <f t="shared" si="3"/>
        <v>25976419</v>
      </c>
      <c r="E24" s="26">
        <f t="shared" si="3"/>
        <v>25407181</v>
      </c>
      <c r="F24" s="26">
        <f t="shared" si="3"/>
        <v>33174063</v>
      </c>
      <c r="G24" s="26">
        <f t="shared" si="3"/>
        <v>67823700</v>
      </c>
      <c r="H24" s="26">
        <f t="shared" si="3"/>
        <v>114848335</v>
      </c>
      <c r="I24" s="26">
        <f t="shared" si="3"/>
        <v>147520427</v>
      </c>
      <c r="J24" s="26">
        <f t="shared" si="3"/>
        <v>138588451</v>
      </c>
      <c r="K24" s="26">
        <f t="shared" si="3"/>
        <v>122481544</v>
      </c>
      <c r="L24" s="26">
        <f t="shared" si="3"/>
        <v>107015442</v>
      </c>
      <c r="M24" s="26">
        <f t="shared" si="3"/>
        <v>78705926</v>
      </c>
      <c r="N24" s="26">
        <f>SUM(B24:M24)</f>
        <v>945272080</v>
      </c>
    </row>
    <row r="25" spans="1:14" x14ac:dyDescent="0.25">
      <c r="A25" s="33" t="s">
        <v>48</v>
      </c>
      <c r="B25" s="26">
        <f>SUM(B13:B15)</f>
        <v>3279033</v>
      </c>
      <c r="C25" s="26">
        <f t="shared" ref="C25:M25" si="4">SUM(C13:C15)</f>
        <v>2518362</v>
      </c>
      <c r="D25" s="26">
        <f t="shared" si="4"/>
        <v>2194146</v>
      </c>
      <c r="E25" s="26">
        <f t="shared" si="4"/>
        <v>2110107</v>
      </c>
      <c r="F25" s="26">
        <f t="shared" si="4"/>
        <v>2525928</v>
      </c>
      <c r="G25" s="26">
        <f t="shared" si="4"/>
        <v>4128953</v>
      </c>
      <c r="H25" s="26">
        <f t="shared" si="4"/>
        <v>4765980</v>
      </c>
      <c r="I25" s="26">
        <f t="shared" si="4"/>
        <v>5724766</v>
      </c>
      <c r="J25" s="26">
        <f t="shared" si="4"/>
        <v>5543038</v>
      </c>
      <c r="K25" s="26">
        <f t="shared" si="4"/>
        <v>5257594</v>
      </c>
      <c r="L25" s="26">
        <f t="shared" si="4"/>
        <v>4922762</v>
      </c>
      <c r="M25" s="26">
        <f t="shared" si="4"/>
        <v>3985374</v>
      </c>
      <c r="N25" s="26">
        <f>SUM(B25:M25)</f>
        <v>46956043</v>
      </c>
    </row>
    <row r="26" spans="1:14" x14ac:dyDescent="0.25">
      <c r="A26" s="33" t="s">
        <v>49</v>
      </c>
      <c r="B26" s="34">
        <f>SUM(B16:B21)</f>
        <v>19584006</v>
      </c>
      <c r="C26" s="34">
        <f t="shared" ref="C26:M26" si="5">SUM(C16:C21)</f>
        <v>17952608</v>
      </c>
      <c r="D26" s="34">
        <f t="shared" si="5"/>
        <v>17511882</v>
      </c>
      <c r="E26" s="34">
        <f t="shared" si="5"/>
        <v>17916277</v>
      </c>
      <c r="F26" s="34">
        <f t="shared" si="5"/>
        <v>18104463</v>
      </c>
      <c r="G26" s="34">
        <f t="shared" si="5"/>
        <v>19142100</v>
      </c>
      <c r="H26" s="34">
        <f t="shared" si="5"/>
        <v>21127727</v>
      </c>
      <c r="I26" s="34">
        <f t="shared" si="5"/>
        <v>21995944</v>
      </c>
      <c r="J26" s="34">
        <f t="shared" si="5"/>
        <v>22439735</v>
      </c>
      <c r="K26" s="34">
        <f t="shared" si="5"/>
        <v>21376260</v>
      </c>
      <c r="L26" s="34">
        <f t="shared" si="5"/>
        <v>22505606</v>
      </c>
      <c r="M26" s="34">
        <f t="shared" si="5"/>
        <v>19914456</v>
      </c>
      <c r="N26" s="34">
        <f>SUM(B26:M26)</f>
        <v>239571064</v>
      </c>
    </row>
    <row r="27" spans="1:14" x14ac:dyDescent="0.25">
      <c r="A27" s="33" t="s">
        <v>50</v>
      </c>
      <c r="B27" s="26">
        <f t="shared" ref="B27:M27" si="6">SUM(B24:B26)</f>
        <v>72116969</v>
      </c>
      <c r="C27" s="26">
        <f t="shared" si="6"/>
        <v>54947632</v>
      </c>
      <c r="D27" s="26">
        <f t="shared" si="6"/>
        <v>45682447</v>
      </c>
      <c r="E27" s="26">
        <f t="shared" si="6"/>
        <v>45433565</v>
      </c>
      <c r="F27" s="26">
        <f t="shared" si="6"/>
        <v>53804454</v>
      </c>
      <c r="G27" s="26">
        <f t="shared" si="6"/>
        <v>91094753</v>
      </c>
      <c r="H27" s="26">
        <f t="shared" si="6"/>
        <v>140742042</v>
      </c>
      <c r="I27" s="26">
        <f t="shared" si="6"/>
        <v>175241137</v>
      </c>
      <c r="J27" s="26">
        <f t="shared" si="6"/>
        <v>166571224</v>
      </c>
      <c r="K27" s="26">
        <f t="shared" si="6"/>
        <v>149115398</v>
      </c>
      <c r="L27" s="26">
        <f t="shared" si="6"/>
        <v>134443810</v>
      </c>
      <c r="M27" s="26">
        <f t="shared" si="6"/>
        <v>102605756</v>
      </c>
      <c r="N27" s="26">
        <f>SUM(B27:M27)</f>
        <v>1231799187</v>
      </c>
    </row>
    <row r="28" spans="1:14" x14ac:dyDescent="0.25">
      <c r="A28" s="35" t="s">
        <v>51</v>
      </c>
      <c r="B28" s="36">
        <f>B22-B27</f>
        <v>0</v>
      </c>
      <c r="C28" s="36">
        <f t="shared" ref="C28:N28" si="7">C22-C27</f>
        <v>0</v>
      </c>
      <c r="D28" s="36">
        <f t="shared" si="7"/>
        <v>0</v>
      </c>
      <c r="E28" s="36">
        <f t="shared" si="7"/>
        <v>0</v>
      </c>
      <c r="F28" s="36">
        <f t="shared" si="7"/>
        <v>0</v>
      </c>
      <c r="G28" s="36">
        <f t="shared" si="7"/>
        <v>0</v>
      </c>
      <c r="H28" s="36">
        <f t="shared" si="7"/>
        <v>0</v>
      </c>
      <c r="I28" s="36">
        <f t="shared" si="7"/>
        <v>0</v>
      </c>
      <c r="J28" s="36">
        <f t="shared" si="7"/>
        <v>0</v>
      </c>
      <c r="K28" s="36">
        <f t="shared" si="7"/>
        <v>0</v>
      </c>
      <c r="L28" s="36">
        <f t="shared" si="7"/>
        <v>0</v>
      </c>
      <c r="M28" s="36">
        <f t="shared" si="7"/>
        <v>0</v>
      </c>
      <c r="N28" s="36">
        <f t="shared" si="7"/>
        <v>0</v>
      </c>
    </row>
    <row r="30" spans="1:14" x14ac:dyDescent="0.25">
      <c r="A30" s="10" t="s">
        <v>57</v>
      </c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62" orientation="landscape" blackAndWhite="1" r:id="rId1"/>
  <headerFooter>
    <oddFooter>&amp;L&amp;F 
&amp;A&amp;C&amp;P&amp;R&amp;D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C33" sqref="C33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4"/>
  <sheetViews>
    <sheetView zoomScale="90" zoomScaleNormal="90" workbookViewId="0">
      <pane xSplit="3" ySplit="8" topLeftCell="D9" activePane="bottomRight" state="frozenSplit"/>
      <selection activeCell="C33" sqref="C33"/>
      <selection pane="topRight" activeCell="C33" sqref="C33"/>
      <selection pane="bottomLeft" activeCell="C33" sqref="C33"/>
      <selection pane="bottomRight" activeCell="K27" sqref="K27"/>
    </sheetView>
  </sheetViews>
  <sheetFormatPr defaultRowHeight="15" x14ac:dyDescent="0.25"/>
  <cols>
    <col min="1" max="1" width="2.85546875" customWidth="1"/>
    <col min="2" max="2" width="38.7109375" customWidth="1"/>
    <col min="3" max="3" width="9.140625" bestFit="1" customWidth="1"/>
    <col min="4" max="4" width="15" customWidth="1"/>
    <col min="5" max="5" width="14.5703125" bestFit="1" customWidth="1"/>
    <col min="6" max="6" width="11.7109375" bestFit="1" customWidth="1"/>
    <col min="7" max="7" width="16.5703125" bestFit="1" customWidth="1"/>
    <col min="8" max="8" width="15.5703125" bestFit="1" customWidth="1"/>
    <col min="9" max="9" width="14.5703125" bestFit="1" customWidth="1"/>
    <col min="10" max="10" width="14" bestFit="1" customWidth="1"/>
    <col min="11" max="11" width="13.28515625" bestFit="1" customWidth="1"/>
    <col min="12" max="12" width="12.140625" customWidth="1"/>
    <col min="13" max="14" width="13.28515625" bestFit="1" customWidth="1"/>
    <col min="15" max="15" width="12.85546875" bestFit="1" customWidth="1"/>
    <col min="16" max="16" width="11" bestFit="1" customWidth="1"/>
    <col min="17" max="18" width="13.28515625" bestFit="1" customWidth="1"/>
    <col min="19" max="19" width="15.7109375" bestFit="1" customWidth="1"/>
    <col min="20" max="20" width="14" bestFit="1" customWidth="1"/>
    <col min="21" max="21" width="7.85546875" customWidth="1"/>
    <col min="22" max="22" width="13.7109375" bestFit="1" customWidth="1"/>
  </cols>
  <sheetData>
    <row r="1" spans="2:21" x14ac:dyDescent="0.25">
      <c r="B1" s="169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2:21" x14ac:dyDescent="0.25">
      <c r="B2" s="169" t="s">
        <v>198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2:21" x14ac:dyDescent="0.25">
      <c r="B3" s="170" t="s">
        <v>100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</row>
    <row r="4" spans="2:21" x14ac:dyDescent="0.25">
      <c r="B4" s="170" t="s">
        <v>101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</row>
    <row r="5" spans="2:21" x14ac:dyDescent="0.25">
      <c r="F5" s="76"/>
      <c r="N5" s="76"/>
      <c r="R5" s="76"/>
    </row>
    <row r="6" spans="2:21" x14ac:dyDescent="0.25">
      <c r="B6" s="77"/>
      <c r="C6" s="77"/>
      <c r="D6" s="77" t="s">
        <v>102</v>
      </c>
      <c r="E6" s="77" t="s">
        <v>102</v>
      </c>
      <c r="F6" s="77"/>
      <c r="G6" s="77" t="s">
        <v>103</v>
      </c>
      <c r="H6" s="76"/>
      <c r="I6" s="77"/>
      <c r="J6" s="77"/>
      <c r="K6" s="77"/>
      <c r="L6" s="77"/>
      <c r="M6" s="77"/>
      <c r="N6" s="77"/>
      <c r="O6" s="77"/>
      <c r="P6" s="77"/>
      <c r="Q6" s="77"/>
      <c r="R6" s="77"/>
      <c r="S6" s="78" t="s">
        <v>104</v>
      </c>
      <c r="T6" s="78" t="s">
        <v>193</v>
      </c>
      <c r="U6" s="77"/>
    </row>
    <row r="7" spans="2:21" x14ac:dyDescent="0.25">
      <c r="B7" s="77"/>
      <c r="C7" s="77" t="s">
        <v>105</v>
      </c>
      <c r="D7" s="77" t="s">
        <v>106</v>
      </c>
      <c r="E7" s="77" t="s">
        <v>107</v>
      </c>
      <c r="F7" s="77" t="s">
        <v>108</v>
      </c>
      <c r="G7" s="77" t="s">
        <v>26</v>
      </c>
      <c r="H7" s="76" t="s">
        <v>103</v>
      </c>
      <c r="I7" s="77" t="s">
        <v>109</v>
      </c>
      <c r="J7" s="77" t="s">
        <v>110</v>
      </c>
      <c r="K7" s="77" t="s">
        <v>111</v>
      </c>
      <c r="L7" s="77" t="s">
        <v>112</v>
      </c>
      <c r="M7" s="77" t="s">
        <v>113</v>
      </c>
      <c r="N7" s="77" t="s">
        <v>114</v>
      </c>
      <c r="O7" s="77" t="s">
        <v>115</v>
      </c>
      <c r="P7" s="77" t="s">
        <v>193</v>
      </c>
      <c r="Q7" s="77" t="s">
        <v>116</v>
      </c>
      <c r="R7" s="77" t="s">
        <v>117</v>
      </c>
      <c r="S7" s="77" t="s">
        <v>118</v>
      </c>
      <c r="T7" s="77" t="s">
        <v>119</v>
      </c>
      <c r="U7" s="77" t="s">
        <v>120</v>
      </c>
    </row>
    <row r="8" spans="2:21" ht="17.25" x14ac:dyDescent="0.25">
      <c r="B8" s="1" t="s">
        <v>5</v>
      </c>
      <c r="C8" s="1" t="s">
        <v>28</v>
      </c>
      <c r="D8" s="1" t="s">
        <v>121</v>
      </c>
      <c r="E8" s="1" t="s">
        <v>122</v>
      </c>
      <c r="F8" s="1" t="s">
        <v>123</v>
      </c>
      <c r="G8" s="79" t="s">
        <v>124</v>
      </c>
      <c r="H8" s="1" t="s">
        <v>125</v>
      </c>
      <c r="I8" s="1" t="s">
        <v>119</v>
      </c>
      <c r="J8" s="1" t="s">
        <v>119</v>
      </c>
      <c r="K8" s="1" t="s">
        <v>119</v>
      </c>
      <c r="L8" s="1" t="s">
        <v>119</v>
      </c>
      <c r="M8" s="1" t="s">
        <v>119</v>
      </c>
      <c r="N8" s="1" t="s">
        <v>119</v>
      </c>
      <c r="O8" s="1" t="s">
        <v>119</v>
      </c>
      <c r="P8" s="1" t="s">
        <v>119</v>
      </c>
      <c r="Q8" s="1" t="s">
        <v>119</v>
      </c>
      <c r="R8" s="1" t="s">
        <v>119</v>
      </c>
      <c r="S8" s="1" t="s">
        <v>194</v>
      </c>
      <c r="T8" s="1" t="s">
        <v>126</v>
      </c>
      <c r="U8" s="1" t="s">
        <v>126</v>
      </c>
    </row>
    <row r="9" spans="2:21" x14ac:dyDescent="0.25">
      <c r="B9" s="77" t="s">
        <v>127</v>
      </c>
      <c r="C9" s="77" t="s">
        <v>128</v>
      </c>
      <c r="D9" s="80" t="s">
        <v>129</v>
      </c>
      <c r="E9" s="81" t="s">
        <v>130</v>
      </c>
      <c r="F9" s="77" t="s">
        <v>131</v>
      </c>
      <c r="G9" s="77" t="s">
        <v>132</v>
      </c>
      <c r="H9" s="77" t="s">
        <v>133</v>
      </c>
      <c r="I9" s="77" t="s">
        <v>134</v>
      </c>
      <c r="J9" s="77" t="s">
        <v>135</v>
      </c>
      <c r="K9" s="77" t="s">
        <v>136</v>
      </c>
      <c r="L9" s="81" t="s">
        <v>137</v>
      </c>
      <c r="M9" s="77" t="s">
        <v>138</v>
      </c>
      <c r="N9" s="81" t="s">
        <v>139</v>
      </c>
      <c r="O9" s="81" t="s">
        <v>140</v>
      </c>
      <c r="P9" s="77" t="s">
        <v>141</v>
      </c>
      <c r="Q9" s="81" t="s">
        <v>142</v>
      </c>
      <c r="R9" s="77" t="s">
        <v>143</v>
      </c>
      <c r="S9" s="81" t="s">
        <v>144</v>
      </c>
      <c r="T9" s="77" t="s">
        <v>145</v>
      </c>
      <c r="U9" s="77" t="s">
        <v>146</v>
      </c>
    </row>
    <row r="10" spans="2:21" x14ac:dyDescent="0.25">
      <c r="B10" t="s">
        <v>8</v>
      </c>
      <c r="C10" s="82" t="s">
        <v>147</v>
      </c>
      <c r="D10" s="2">
        <v>577531400.48799992</v>
      </c>
      <c r="E10" s="88">
        <v>299349526.67167699</v>
      </c>
      <c r="F10" s="84">
        <f t="shared" ref="F10:F15" si="0">(E10)/D10</f>
        <v>0.51832597572830497</v>
      </c>
      <c r="G10" s="2">
        <v>639424146</v>
      </c>
      <c r="H10" s="85">
        <f>F10*G10</f>
        <v>331430144.37968814</v>
      </c>
      <c r="I10" s="88">
        <v>208867897.28999999</v>
      </c>
      <c r="J10" s="88">
        <v>-37265639.229999997</v>
      </c>
      <c r="K10" s="88">
        <v>10889393.20638</v>
      </c>
      <c r="L10" s="88">
        <v>3433707.66402</v>
      </c>
      <c r="M10" s="88">
        <v>15653103.094080001</v>
      </c>
      <c r="N10" s="88">
        <v>19825862.599999998</v>
      </c>
      <c r="O10" s="88">
        <v>-4462294.1900000004</v>
      </c>
      <c r="P10" s="88">
        <f>'Schedule 141Y Revenue'!F8</f>
        <v>0</v>
      </c>
      <c r="Q10" s="88">
        <v>52145039.109999999</v>
      </c>
      <c r="R10" s="88">
        <v>7167944.6766599994</v>
      </c>
      <c r="S10" s="86">
        <f>SUM(H10:R10)</f>
        <v>607685158.60082805</v>
      </c>
      <c r="T10" s="83">
        <f>'Schedule 141Y Revenue'!G8</f>
        <v>-6765107.4646800002</v>
      </c>
      <c r="U10" s="87">
        <f>T10/S10</f>
        <v>-1.113258628901914E-2</v>
      </c>
    </row>
    <row r="11" spans="2:21" x14ac:dyDescent="0.25">
      <c r="B11" t="s">
        <v>148</v>
      </c>
      <c r="C11" s="82">
        <v>16</v>
      </c>
      <c r="D11" s="2">
        <v>9689.9889999999996</v>
      </c>
      <c r="E11" s="88">
        <v>4941.8900000000003</v>
      </c>
      <c r="F11" s="84">
        <f t="shared" si="0"/>
        <v>0.50999954695511007</v>
      </c>
      <c r="G11" s="2">
        <v>9714</v>
      </c>
      <c r="H11" s="85">
        <f t="shared" ref="H11:H22" si="1">F11*G11</f>
        <v>4954.1355991219389</v>
      </c>
      <c r="I11" s="88">
        <v>3173.08</v>
      </c>
      <c r="J11" s="88">
        <v>-567.5</v>
      </c>
      <c r="K11" s="88">
        <v>165.42941999999999</v>
      </c>
      <c r="L11" s="88"/>
      <c r="M11" s="88">
        <v>237.79872</v>
      </c>
      <c r="N11" s="88">
        <v>301.64999999999998</v>
      </c>
      <c r="O11" s="88">
        <v>-66.459999999999994</v>
      </c>
      <c r="P11" s="88">
        <f>'Schedule 141Y Revenue'!F9</f>
        <v>0</v>
      </c>
      <c r="Q11" s="88"/>
      <c r="R11" s="88">
        <v>108.89394</v>
      </c>
      <c r="S11" s="86">
        <f t="shared" ref="S11:S22" si="2">SUM(H11:R11)</f>
        <v>8307.0276791219403</v>
      </c>
      <c r="T11" s="83">
        <f>'Schedule 141Y Revenue'!G9</f>
        <v>-102.77412000000001</v>
      </c>
      <c r="U11" s="87">
        <f t="shared" ref="U11:U23" si="3">T11/S11</f>
        <v>-1.2371948664418478E-2</v>
      </c>
    </row>
    <row r="12" spans="2:21" x14ac:dyDescent="0.25">
      <c r="B12" t="s">
        <v>10</v>
      </c>
      <c r="C12" s="82">
        <v>31</v>
      </c>
      <c r="D12" s="2">
        <v>214564223.29299998</v>
      </c>
      <c r="E12" s="88">
        <v>86991648.090000004</v>
      </c>
      <c r="F12" s="84">
        <f t="shared" si="0"/>
        <v>0.40543407822098948</v>
      </c>
      <c r="G12" s="2">
        <v>238517600</v>
      </c>
      <c r="H12" s="85">
        <f t="shared" si="1"/>
        <v>96703163.29548268</v>
      </c>
      <c r="I12" s="88">
        <v>76022714.650000006</v>
      </c>
      <c r="J12" s="88">
        <v>-13898420.550000001</v>
      </c>
      <c r="K12" s="88">
        <v>4061954.7280000001</v>
      </c>
      <c r="L12" s="88">
        <v>1020855.328</v>
      </c>
      <c r="M12" s="88">
        <v>6289709.1120000007</v>
      </c>
      <c r="N12" s="88">
        <v>6091788.4000000004</v>
      </c>
      <c r="O12" s="88">
        <v>-1271849</v>
      </c>
      <c r="P12" s="88">
        <f>'Schedule 141Y Revenue'!F10</f>
        <v>0</v>
      </c>
      <c r="Q12" s="88">
        <v>1731637.78</v>
      </c>
      <c r="R12" s="88">
        <v>2595071.4880000004</v>
      </c>
      <c r="S12" s="86">
        <f t="shared" si="2"/>
        <v>179346625.23148265</v>
      </c>
      <c r="T12" s="83">
        <f>'Schedule 141Y Revenue'!G10</f>
        <v>-2797811.4480000003</v>
      </c>
      <c r="U12" s="87">
        <f t="shared" si="3"/>
        <v>-1.5600022829472624E-2</v>
      </c>
    </row>
    <row r="13" spans="2:21" x14ac:dyDescent="0.25">
      <c r="B13" t="s">
        <v>12</v>
      </c>
      <c r="C13" s="82">
        <v>41</v>
      </c>
      <c r="D13" s="2">
        <v>65990650.213</v>
      </c>
      <c r="E13" s="88">
        <v>14627826.099797169</v>
      </c>
      <c r="F13" s="84">
        <f t="shared" si="0"/>
        <v>0.22166513062960427</v>
      </c>
      <c r="G13" s="2">
        <v>67320620</v>
      </c>
      <c r="H13" s="85">
        <f t="shared" si="1"/>
        <v>14922634.026365951</v>
      </c>
      <c r="I13" s="88">
        <v>19386061.963649999</v>
      </c>
      <c r="J13" s="88">
        <v>-3918733.29</v>
      </c>
      <c r="K13" s="88">
        <v>1146470.1586</v>
      </c>
      <c r="L13" s="88">
        <v>151471.39499999999</v>
      </c>
      <c r="M13" s="88">
        <v>613964.05440000002</v>
      </c>
      <c r="N13" s="88">
        <v>1292890.1199999999</v>
      </c>
      <c r="O13" s="88">
        <v>-220458.13999999998</v>
      </c>
      <c r="P13" s="88">
        <f>'Schedule 141Y Revenue'!F11</f>
        <v>0</v>
      </c>
      <c r="Q13" s="88">
        <v>1305886.7999999998</v>
      </c>
      <c r="R13" s="88">
        <v>418734.25640000001</v>
      </c>
      <c r="S13" s="86">
        <f t="shared" si="2"/>
        <v>35098921.344415948</v>
      </c>
      <c r="T13" s="83">
        <f>'Schedule 141Y Revenue'!G11</f>
        <v>-313714.08919999999</v>
      </c>
      <c r="U13" s="87">
        <f t="shared" si="3"/>
        <v>-8.9379980120075746E-3</v>
      </c>
    </row>
    <row r="14" spans="2:21" x14ac:dyDescent="0.25">
      <c r="B14" t="s">
        <v>14</v>
      </c>
      <c r="C14" s="82">
        <v>85</v>
      </c>
      <c r="D14" s="2">
        <v>17139795.438999999</v>
      </c>
      <c r="E14" s="88">
        <v>1690709.47</v>
      </c>
      <c r="F14" s="84">
        <f t="shared" si="0"/>
        <v>9.864233654463278E-2</v>
      </c>
      <c r="G14" s="2">
        <v>15894957</v>
      </c>
      <c r="H14" s="85">
        <f t="shared" si="1"/>
        <v>1567915.6977564667</v>
      </c>
      <c r="I14" s="88">
        <v>4383433.15515</v>
      </c>
      <c r="J14" s="88">
        <v>-924927.55</v>
      </c>
      <c r="K14" s="88">
        <v>237311.70801</v>
      </c>
      <c r="L14" s="88">
        <v>17776.652554063516</v>
      </c>
      <c r="M14" s="88">
        <v>70096.760370000004</v>
      </c>
      <c r="N14" s="88">
        <v>153222.36000000002</v>
      </c>
      <c r="O14" s="88">
        <v>-21437.35</v>
      </c>
      <c r="P14" s="88">
        <f>'Schedule 141Y Revenue'!F12</f>
        <v>0</v>
      </c>
      <c r="Q14" s="88"/>
      <c r="R14" s="88">
        <v>52612.307670000002</v>
      </c>
      <c r="S14" s="86">
        <f t="shared" si="2"/>
        <v>5536003.7415105309</v>
      </c>
      <c r="T14" s="83">
        <f>'Schedule 141Y Revenue'!G12</f>
        <v>-40691.089920000006</v>
      </c>
      <c r="U14" s="87">
        <f t="shared" si="3"/>
        <v>-7.3502641652653947E-3</v>
      </c>
    </row>
    <row r="15" spans="2:21" x14ac:dyDescent="0.25">
      <c r="B15" t="s">
        <v>16</v>
      </c>
      <c r="C15" s="82">
        <v>86</v>
      </c>
      <c r="D15" s="2">
        <v>9926029.5299999993</v>
      </c>
      <c r="E15" s="88">
        <v>2102083.46</v>
      </c>
      <c r="F15" s="84">
        <f t="shared" si="0"/>
        <v>0.21177485455254333</v>
      </c>
      <c r="G15" s="2">
        <v>9006058</v>
      </c>
      <c r="H15" s="85">
        <f t="shared" si="1"/>
        <v>1907256.6230417693</v>
      </c>
      <c r="I15" s="88">
        <v>2499533.3523299997</v>
      </c>
      <c r="J15" s="88">
        <v>-524062.52</v>
      </c>
      <c r="K15" s="88">
        <v>134460.44594000001</v>
      </c>
      <c r="L15" s="88">
        <v>19723.267019999999</v>
      </c>
      <c r="M15" s="88">
        <v>76821.674739999988</v>
      </c>
      <c r="N15" s="88">
        <v>155282.33000000002</v>
      </c>
      <c r="O15" s="88">
        <v>-26545.54</v>
      </c>
      <c r="P15" s="88">
        <f>'Schedule 141Y Revenue'!F13</f>
        <v>0</v>
      </c>
      <c r="Q15" s="88">
        <v>177170.34000000003</v>
      </c>
      <c r="R15" s="88">
        <v>37375.140700000004</v>
      </c>
      <c r="S15" s="86">
        <f t="shared" si="2"/>
        <v>4457015.1137717692</v>
      </c>
      <c r="T15" s="83">
        <f>'Schedule 141Y Revenue'!G13</f>
        <v>-37555.261859999999</v>
      </c>
      <c r="U15" s="87">
        <f t="shared" si="3"/>
        <v>-8.4261015278942336E-3</v>
      </c>
    </row>
    <row r="16" spans="2:21" x14ac:dyDescent="0.25">
      <c r="B16" t="s">
        <v>18</v>
      </c>
      <c r="C16" s="82">
        <v>87</v>
      </c>
      <c r="D16" s="2">
        <v>23311381.287999999</v>
      </c>
      <c r="E16" s="88">
        <v>1129405.5499999998</v>
      </c>
      <c r="F16" s="84">
        <f>(E16)/D16</f>
        <v>4.8448675608140992E-2</v>
      </c>
      <c r="G16" s="2">
        <v>22055028</v>
      </c>
      <c r="H16" s="85">
        <f t="shared" si="1"/>
        <v>1068536.8971004665</v>
      </c>
      <c r="I16" s="88">
        <v>5964561.7723200005</v>
      </c>
      <c r="J16" s="88">
        <v>-1282940.98</v>
      </c>
      <c r="K16" s="88">
        <v>329281.56803999998</v>
      </c>
      <c r="L16" s="88">
        <v>9962.2296528075458</v>
      </c>
      <c r="M16" s="88">
        <v>64841.782319999998</v>
      </c>
      <c r="N16" s="88">
        <v>102222.69</v>
      </c>
      <c r="O16" s="88">
        <v>-14361.65</v>
      </c>
      <c r="P16" s="88">
        <f>'Schedule 141Y Revenue'!F14</f>
        <v>0</v>
      </c>
      <c r="Q16" s="88"/>
      <c r="R16" s="88">
        <v>44551.156560000003</v>
      </c>
      <c r="S16" s="86">
        <f t="shared" si="2"/>
        <v>6286655.4659932749</v>
      </c>
      <c r="T16" s="83">
        <f>'Schedule 141Y Revenue'!G14</f>
        <v>-30435.93864</v>
      </c>
      <c r="U16" s="87">
        <f t="shared" si="3"/>
        <v>-4.8413562353844062E-3</v>
      </c>
    </row>
    <row r="17" spans="2:24" x14ac:dyDescent="0.25">
      <c r="B17" t="s">
        <v>149</v>
      </c>
      <c r="C17" s="82" t="s">
        <v>33</v>
      </c>
      <c r="D17" s="2">
        <v>22880.93</v>
      </c>
      <c r="E17" s="88">
        <v>14880.86</v>
      </c>
      <c r="F17" s="84">
        <f>(E17)/D17</f>
        <v>0.65036080264220031</v>
      </c>
      <c r="G17" s="2">
        <v>23051</v>
      </c>
      <c r="H17" s="85">
        <f t="shared" si="1"/>
        <v>14991.466861705359</v>
      </c>
      <c r="I17" s="88"/>
      <c r="J17" s="88"/>
      <c r="K17" s="88"/>
      <c r="L17" s="88">
        <v>98.658280000000005</v>
      </c>
      <c r="M17" s="88">
        <v>607.85487000000001</v>
      </c>
      <c r="N17" s="88">
        <v>850.84999999999991</v>
      </c>
      <c r="O17" s="88">
        <v>-273.55</v>
      </c>
      <c r="P17" s="88">
        <f>'Schedule 141Y Revenue'!F15</f>
        <v>0</v>
      </c>
      <c r="Q17" s="88">
        <v>162.74</v>
      </c>
      <c r="R17" s="88">
        <v>250.79488000000001</v>
      </c>
      <c r="S17" s="86">
        <f t="shared" si="2"/>
        <v>16688.814891705362</v>
      </c>
      <c r="T17" s="83">
        <f>'Schedule 141Y Revenue'!G15</f>
        <v>-270.38823000000002</v>
      </c>
      <c r="U17" s="87">
        <f t="shared" si="3"/>
        <v>-1.6201763381915618E-2</v>
      </c>
    </row>
    <row r="18" spans="2:24" x14ac:dyDescent="0.25">
      <c r="B18" t="s">
        <v>150</v>
      </c>
      <c r="C18" t="s">
        <v>29</v>
      </c>
      <c r="D18" s="2">
        <v>17702125.890000001</v>
      </c>
      <c r="E18" s="88">
        <v>3565479.9526575999</v>
      </c>
      <c r="F18" s="84">
        <f t="shared" ref="F18:F23" si="4">(E18)/D18</f>
        <v>0.20141535399834398</v>
      </c>
      <c r="G18" s="2">
        <v>23417552</v>
      </c>
      <c r="H18" s="85">
        <f>F18*G18</f>
        <v>4716654.5258546285</v>
      </c>
      <c r="I18" s="88"/>
      <c r="J18" s="88"/>
      <c r="K18" s="88"/>
      <c r="L18" s="88">
        <v>52689.491999999998</v>
      </c>
      <c r="M18" s="88">
        <v>213568.07423999999</v>
      </c>
      <c r="N18" s="88">
        <v>194415.03</v>
      </c>
      <c r="O18" s="88">
        <v>-62207.960000000006</v>
      </c>
      <c r="P18" s="88">
        <f>'Schedule 141Y Revenue'!F16</f>
        <v>0</v>
      </c>
      <c r="Q18" s="88">
        <v>440429.76</v>
      </c>
      <c r="R18" s="88">
        <v>145657.17343999998</v>
      </c>
      <c r="S18" s="86">
        <f>SUM(H18:R18)</f>
        <v>5701206.0955346283</v>
      </c>
      <c r="T18" s="83">
        <f>'Schedule 141Y Revenue'!G16</f>
        <v>-109125.79232000001</v>
      </c>
      <c r="U18" s="87">
        <f t="shared" si="3"/>
        <v>-1.9140825729045456E-2</v>
      </c>
    </row>
    <row r="19" spans="2:24" x14ac:dyDescent="0.25">
      <c r="B19" t="s">
        <v>151</v>
      </c>
      <c r="C19" t="s">
        <v>30</v>
      </c>
      <c r="D19" s="2">
        <v>79480065.260000005</v>
      </c>
      <c r="E19" s="88">
        <v>7330425.0899999999</v>
      </c>
      <c r="F19" s="84">
        <f t="shared" si="4"/>
        <v>9.2229731644284246E-2</v>
      </c>
      <c r="G19" s="2">
        <v>79326760</v>
      </c>
      <c r="H19" s="85">
        <f t="shared" si="1"/>
        <v>7316285.7870105421</v>
      </c>
      <c r="I19" s="88"/>
      <c r="J19" s="88"/>
      <c r="K19" s="88"/>
      <c r="L19" s="88">
        <v>79522.41413895975</v>
      </c>
      <c r="M19" s="88">
        <v>349831.01159999997</v>
      </c>
      <c r="N19" s="88">
        <v>310336.02999999997</v>
      </c>
      <c r="O19" s="88">
        <v>-99193.199999999983</v>
      </c>
      <c r="P19" s="88">
        <f>'Schedule 141Y Revenue'!F17</f>
        <v>0</v>
      </c>
      <c r="Q19" s="88"/>
      <c r="R19" s="88">
        <v>262571.57559999998</v>
      </c>
      <c r="S19" s="86">
        <f t="shared" si="2"/>
        <v>8219353.6183495019</v>
      </c>
      <c r="T19" s="83">
        <f>'Schedule 141Y Revenue'!G17</f>
        <v>-203076.5056</v>
      </c>
      <c r="U19" s="87">
        <f t="shared" si="3"/>
        <v>-2.4707113847326968E-2</v>
      </c>
    </row>
    <row r="20" spans="2:24" x14ac:dyDescent="0.25">
      <c r="B20" t="s">
        <v>152</v>
      </c>
      <c r="C20" t="s">
        <v>34</v>
      </c>
      <c r="D20" s="2">
        <v>372634.3</v>
      </c>
      <c r="E20" s="88">
        <v>84449.41</v>
      </c>
      <c r="F20" s="84">
        <f t="shared" si="4"/>
        <v>0.22662811770145691</v>
      </c>
      <c r="G20" s="2">
        <v>226574</v>
      </c>
      <c r="H20" s="85">
        <f t="shared" si="1"/>
        <v>51348.039140089895</v>
      </c>
      <c r="I20" s="88"/>
      <c r="J20" s="88"/>
      <c r="K20" s="88"/>
      <c r="L20" s="88">
        <v>496.19706000000002</v>
      </c>
      <c r="M20" s="88">
        <v>1932.6762199999998</v>
      </c>
      <c r="N20" s="88">
        <v>2764.39</v>
      </c>
      <c r="O20" s="88">
        <v>-889.14</v>
      </c>
      <c r="P20" s="88">
        <f>'Schedule 141Y Revenue'!F18</f>
        <v>0</v>
      </c>
      <c r="Q20" s="88">
        <v>4993.1399999999994</v>
      </c>
      <c r="R20" s="88">
        <v>940.28210000000001</v>
      </c>
      <c r="S20" s="86">
        <f t="shared" si="2"/>
        <v>61585.584520089891</v>
      </c>
      <c r="T20" s="83">
        <f>'Schedule 141Y Revenue'!G18</f>
        <v>-944.81358</v>
      </c>
      <c r="U20" s="87">
        <f t="shared" si="3"/>
        <v>-1.5341472965833287E-2</v>
      </c>
    </row>
    <row r="21" spans="2:24" x14ac:dyDescent="0.25">
      <c r="B21" t="s">
        <v>153</v>
      </c>
      <c r="C21" t="s">
        <v>31</v>
      </c>
      <c r="D21" s="2">
        <v>99276638.950000003</v>
      </c>
      <c r="E21" s="88">
        <v>3590033.5100000002</v>
      </c>
      <c r="F21" s="84">
        <f t="shared" si="4"/>
        <v>3.6161916317574934E-2</v>
      </c>
      <c r="G21" s="2">
        <v>100382217</v>
      </c>
      <c r="H21" s="85">
        <f t="shared" si="1"/>
        <v>3630013.3309266479</v>
      </c>
      <c r="I21" s="88"/>
      <c r="J21" s="88"/>
      <c r="K21" s="88"/>
      <c r="L21" s="88">
        <v>36437.339719557305</v>
      </c>
      <c r="M21" s="88">
        <v>295123.71798000002</v>
      </c>
      <c r="N21" s="88">
        <v>149827.18</v>
      </c>
      <c r="O21" s="88">
        <v>-47638.3</v>
      </c>
      <c r="P21" s="88">
        <f>'Schedule 141Y Revenue'!F19</f>
        <v>0</v>
      </c>
      <c r="Q21" s="88"/>
      <c r="R21" s="88">
        <v>202772.07834000001</v>
      </c>
      <c r="S21" s="86">
        <f t="shared" si="2"/>
        <v>4266535.3469662052</v>
      </c>
      <c r="T21" s="83">
        <f>'Schedule 141Y Revenue'!G19</f>
        <v>-138527.45945999998</v>
      </c>
      <c r="U21" s="87">
        <f t="shared" si="3"/>
        <v>-3.2468372624289255E-2</v>
      </c>
    </row>
    <row r="22" spans="2:24" x14ac:dyDescent="0.25">
      <c r="B22" t="s">
        <v>20</v>
      </c>
      <c r="D22" s="2">
        <v>37223237.460000001</v>
      </c>
      <c r="E22" s="88">
        <v>1465941.3557558353</v>
      </c>
      <c r="F22" s="89">
        <f t="shared" si="4"/>
        <v>3.9382424952454288E-2</v>
      </c>
      <c r="G22" s="2">
        <v>36194910</v>
      </c>
      <c r="H22" s="85">
        <f t="shared" si="1"/>
        <v>1425443.3267358372</v>
      </c>
      <c r="I22" s="88"/>
      <c r="J22" s="88"/>
      <c r="K22" s="88"/>
      <c r="L22" s="88"/>
      <c r="M22" s="88">
        <v>116185.66110000001</v>
      </c>
      <c r="N22" s="88">
        <v>35274.722042470239</v>
      </c>
      <c r="O22" s="88">
        <v>-11662.625379653648</v>
      </c>
      <c r="P22" s="88">
        <f>'Schedule 141Y Revenue'!F20</f>
        <v>0</v>
      </c>
      <c r="Q22" s="88"/>
      <c r="R22" s="88">
        <v>89401.4277</v>
      </c>
      <c r="S22" s="86">
        <f t="shared" si="2"/>
        <v>1654642.5121986535</v>
      </c>
      <c r="T22" s="83">
        <f>'Schedule 141Y Revenue'!G20</f>
        <v>-62979.143400000001</v>
      </c>
      <c r="U22" s="87">
        <f t="shared" si="3"/>
        <v>-3.8062084671277217E-2</v>
      </c>
    </row>
    <row r="23" spans="2:24" x14ac:dyDescent="0.25">
      <c r="B23" t="s">
        <v>24</v>
      </c>
      <c r="D23" s="90">
        <f>SUM(D10:D22)</f>
        <v>1142550753.0299997</v>
      </c>
      <c r="E23" s="91">
        <f>SUM(E10:E22)</f>
        <v>421947351.40988761</v>
      </c>
      <c r="F23" s="84">
        <f t="shared" si="4"/>
        <v>0.36930293931442415</v>
      </c>
      <c r="G23" s="90">
        <f>SUM(G10:G22)</f>
        <v>1231799187</v>
      </c>
      <c r="H23" s="91">
        <f>SUM(H10:H22)</f>
        <v>464759341.53156412</v>
      </c>
      <c r="I23" s="91">
        <f t="shared" ref="I23:K23" si="5">SUM(I10:I22)</f>
        <v>317127375.26344997</v>
      </c>
      <c r="J23" s="91">
        <f t="shared" si="5"/>
        <v>-57815291.619999997</v>
      </c>
      <c r="K23" s="91">
        <f t="shared" si="5"/>
        <v>16799037.24439</v>
      </c>
      <c r="L23" s="91">
        <f>SUM(L10:L22)</f>
        <v>4822740.6374453865</v>
      </c>
      <c r="M23" s="91">
        <f>SUM(M10:M22)</f>
        <v>23746023.272640005</v>
      </c>
      <c r="N23" s="91">
        <f>SUM(N10:N22)</f>
        <v>28315038.352042474</v>
      </c>
      <c r="O23" s="91">
        <f>SUM(O10:O22)</f>
        <v>-6238877.1053796532</v>
      </c>
      <c r="P23" s="91">
        <f>SUM(P10:P22)</f>
        <v>0</v>
      </c>
      <c r="Q23" s="91">
        <f t="shared" ref="Q23:S23" si="6">SUM(Q10:Q22)</f>
        <v>55805319.670000002</v>
      </c>
      <c r="R23" s="91">
        <f t="shared" si="6"/>
        <v>11017991.251989998</v>
      </c>
      <c r="S23" s="92">
        <f t="shared" si="6"/>
        <v>858338698.49814212</v>
      </c>
      <c r="T23" s="91">
        <f>SUM(T10:T22)</f>
        <v>-10500342.16901</v>
      </c>
      <c r="U23" s="93">
        <f t="shared" si="3"/>
        <v>-1.223333188563294E-2</v>
      </c>
      <c r="V23" s="85"/>
    </row>
    <row r="24" spans="2:24" s="102" customFormat="1" x14ac:dyDescent="0.25">
      <c r="B24" s="94"/>
      <c r="C24" s="95"/>
      <c r="D24" s="96"/>
      <c r="E24" s="97"/>
      <c r="F24" s="97"/>
      <c r="G24" s="98"/>
      <c r="H24" s="99"/>
      <c r="I24" s="98"/>
      <c r="J24" s="98"/>
      <c r="K24" s="98"/>
      <c r="L24" s="97"/>
      <c r="M24" s="97"/>
      <c r="N24" s="97"/>
      <c r="O24" s="97"/>
      <c r="P24" s="98"/>
      <c r="Q24" s="97"/>
      <c r="R24" s="97"/>
      <c r="S24" s="97"/>
      <c r="T24" s="100"/>
      <c r="U24" s="101"/>
    </row>
    <row r="25" spans="2:24" s="102" customFormat="1" ht="17.25" x14ac:dyDescent="0.25">
      <c r="B25" s="94" t="s">
        <v>154</v>
      </c>
      <c r="C25" s="94"/>
      <c r="D25" s="2">
        <v>397262</v>
      </c>
      <c r="E25" s="88">
        <v>5943249.8599999994</v>
      </c>
      <c r="F25" s="103">
        <f>E25/D25</f>
        <v>14.960529474251249</v>
      </c>
      <c r="G25" s="159">
        <v>337918</v>
      </c>
      <c r="H25" s="85">
        <f>F25*G25</f>
        <v>5055432.1988800336</v>
      </c>
      <c r="I25" s="160"/>
      <c r="J25" s="161"/>
      <c r="K25" s="161"/>
      <c r="L25" s="88"/>
      <c r="M25" s="88">
        <v>199371.62</v>
      </c>
      <c r="N25" s="88">
        <v>229704.86</v>
      </c>
      <c r="O25" s="88">
        <v>-73993.860000000015</v>
      </c>
      <c r="P25" s="88">
        <f>'Schedule 141Y Revenue'!F23</f>
        <v>0</v>
      </c>
      <c r="Q25" s="88"/>
      <c r="R25" s="162">
        <v>0</v>
      </c>
      <c r="S25" s="86">
        <f>SUM(H25:R25)</f>
        <v>5410514.8188800337</v>
      </c>
      <c r="T25" s="83">
        <f>'Schedule 141Y Revenue'!G23</f>
        <v>-23654.260000000002</v>
      </c>
      <c r="U25" s="87">
        <f>T25/S25</f>
        <v>-4.3719055934304581E-3</v>
      </c>
      <c r="V25" s="101"/>
      <c r="W25" s="104"/>
      <c r="X25" s="105"/>
    </row>
    <row r="26" spans="2:24" s="102" customFormat="1" x14ac:dyDescent="0.25">
      <c r="B26" s="106" t="s">
        <v>24</v>
      </c>
      <c r="C26" s="106"/>
      <c r="D26" s="107"/>
      <c r="E26" s="108">
        <f>E23+E25</f>
        <v>427890601.26988763</v>
      </c>
      <c r="F26" s="109"/>
      <c r="G26" s="109"/>
      <c r="H26" s="108">
        <f>H23+H25</f>
        <v>469814773.73044413</v>
      </c>
      <c r="I26" s="108">
        <f t="shared" ref="I26:K26" si="7">I23+I25</f>
        <v>317127375.26344997</v>
      </c>
      <c r="J26" s="108">
        <f t="shared" si="7"/>
        <v>-57815291.619999997</v>
      </c>
      <c r="K26" s="108">
        <f t="shared" si="7"/>
        <v>16799037.24439</v>
      </c>
      <c r="L26" s="108">
        <f>L23+L25</f>
        <v>4822740.6374453865</v>
      </c>
      <c r="M26" s="108">
        <f>M23+M25</f>
        <v>23945394.892640006</v>
      </c>
      <c r="N26" s="108">
        <f>N23+N25</f>
        <v>28544743.212042473</v>
      </c>
      <c r="O26" s="108">
        <f>O23+O25</f>
        <v>-6312870.9653796535</v>
      </c>
      <c r="P26" s="108">
        <f>P23+P25</f>
        <v>0</v>
      </c>
      <c r="Q26" s="108">
        <f t="shared" ref="Q26:T26" si="8">Q23+Q25</f>
        <v>55805319.670000002</v>
      </c>
      <c r="R26" s="108">
        <f t="shared" si="8"/>
        <v>11017991.251989998</v>
      </c>
      <c r="S26" s="108">
        <f t="shared" si="8"/>
        <v>863749213.3170222</v>
      </c>
      <c r="T26" s="108">
        <f t="shared" si="8"/>
        <v>-10523996.42901</v>
      </c>
      <c r="U26" s="93">
        <f>T26/S26</f>
        <v>-1.2184088004659489E-2</v>
      </c>
      <c r="V26" s="101"/>
    </row>
    <row r="27" spans="2:24" x14ac:dyDescent="0.25">
      <c r="D27" s="110"/>
      <c r="E27" s="85"/>
      <c r="L27" s="85"/>
      <c r="O27" s="85"/>
      <c r="P27" s="85"/>
      <c r="Q27" s="85"/>
      <c r="S27" s="85"/>
      <c r="U27" s="111"/>
    </row>
    <row r="28" spans="2:24" x14ac:dyDescent="0.25">
      <c r="D28" s="110"/>
      <c r="E28" s="85"/>
      <c r="G28" s="110"/>
      <c r="L28" s="85"/>
      <c r="O28" s="85"/>
      <c r="P28" s="85"/>
      <c r="Q28" s="85"/>
      <c r="S28" s="85"/>
      <c r="U28" s="111"/>
    </row>
    <row r="29" spans="2:24" s="102" customFormat="1" x14ac:dyDescent="0.25">
      <c r="B29" s="112" t="s">
        <v>155</v>
      </c>
      <c r="C29" s="112"/>
      <c r="D29" s="107"/>
      <c r="E29" s="113"/>
      <c r="T29" s="114"/>
      <c r="U29" s="101"/>
    </row>
    <row r="30" spans="2:24" s="102" customFormat="1" x14ac:dyDescent="0.25">
      <c r="B30" s="106" t="s">
        <v>156</v>
      </c>
      <c r="C30" s="106"/>
      <c r="D30" s="115">
        <f>D10+D11</f>
        <v>577541090.47699988</v>
      </c>
      <c r="E30" s="116">
        <f>E10+E11</f>
        <v>299354468.56167698</v>
      </c>
      <c r="F30" s="109"/>
      <c r="H30" s="116">
        <f>H10+H11</f>
        <v>331435098.51528728</v>
      </c>
      <c r="L30" s="116"/>
      <c r="O30" s="116"/>
      <c r="P30" s="116"/>
      <c r="Q30" s="116"/>
      <c r="S30" s="116">
        <f>S10+S11</f>
        <v>607693465.62850714</v>
      </c>
      <c r="T30" s="85">
        <f>SUM(T10:T11)</f>
        <v>-6765210.2388000004</v>
      </c>
      <c r="U30" s="87">
        <f t="shared" ref="U30:U37" si="9">T30/S30</f>
        <v>-1.1132603230813219E-2</v>
      </c>
      <c r="V30" s="117"/>
    </row>
    <row r="31" spans="2:24" s="102" customFormat="1" x14ac:dyDescent="0.25">
      <c r="B31" s="118" t="s">
        <v>157</v>
      </c>
      <c r="C31" s="118"/>
      <c r="D31" s="115">
        <f>D12+D17</f>
        <v>214587104.22299999</v>
      </c>
      <c r="E31" s="116">
        <f>E12+E17</f>
        <v>87006528.950000003</v>
      </c>
      <c r="F31" s="119"/>
      <c r="H31" s="116">
        <f>H12+H17</f>
        <v>96718154.76234439</v>
      </c>
      <c r="I31" s="120"/>
      <c r="J31" s="120"/>
      <c r="K31" s="120"/>
      <c r="L31" s="116"/>
      <c r="M31" s="120"/>
      <c r="O31" s="116"/>
      <c r="P31" s="116"/>
      <c r="Q31" s="116"/>
      <c r="R31" s="120"/>
      <c r="S31" s="116">
        <f>S12+S17</f>
        <v>179363314.04637435</v>
      </c>
      <c r="T31" s="85">
        <f>SUM(T12,T17)</f>
        <v>-2798081.8362300005</v>
      </c>
      <c r="U31" s="87">
        <f t="shared" si="9"/>
        <v>-1.5600078818272486E-2</v>
      </c>
    </row>
    <row r="32" spans="2:24" s="102" customFormat="1" x14ac:dyDescent="0.25">
      <c r="B32" s="106" t="s">
        <v>158</v>
      </c>
      <c r="C32" s="106"/>
      <c r="D32" s="115">
        <f t="shared" ref="D32:E35" si="10">D13+D18</f>
        <v>83692776.103</v>
      </c>
      <c r="E32" s="116">
        <f t="shared" si="10"/>
        <v>18193306.05245477</v>
      </c>
      <c r="F32" s="119"/>
      <c r="H32" s="116">
        <f>H13+H18</f>
        <v>19639288.552220579</v>
      </c>
      <c r="I32" s="120"/>
      <c r="J32" s="120"/>
      <c r="K32" s="120"/>
      <c r="L32" s="116"/>
      <c r="M32" s="120"/>
      <c r="O32" s="116"/>
      <c r="P32" s="116"/>
      <c r="Q32" s="116"/>
      <c r="R32" s="120"/>
      <c r="S32" s="116">
        <f>S13+S18</f>
        <v>40800127.439950578</v>
      </c>
      <c r="T32" s="85">
        <f>SUM(T13,T18)</f>
        <v>-422839.88152</v>
      </c>
      <c r="U32" s="87">
        <f t="shared" si="9"/>
        <v>-1.0363690214995863E-2</v>
      </c>
    </row>
    <row r="33" spans="2:21" s="102" customFormat="1" x14ac:dyDescent="0.25">
      <c r="B33" s="106" t="s">
        <v>159</v>
      </c>
      <c r="C33" s="106"/>
      <c r="D33" s="115">
        <f t="shared" si="10"/>
        <v>96619860.699000001</v>
      </c>
      <c r="E33" s="116">
        <f t="shared" si="10"/>
        <v>9021134.5600000005</v>
      </c>
      <c r="F33" s="119"/>
      <c r="H33" s="116">
        <f>H14+H19</f>
        <v>8884201.4847670086</v>
      </c>
      <c r="I33" s="120"/>
      <c r="J33" s="120"/>
      <c r="K33" s="120"/>
      <c r="L33" s="116"/>
      <c r="M33" s="120"/>
      <c r="O33" s="116"/>
      <c r="P33" s="116"/>
      <c r="Q33" s="116"/>
      <c r="R33" s="120"/>
      <c r="S33" s="116">
        <f>S14+S19</f>
        <v>13755357.359860033</v>
      </c>
      <c r="T33" s="85">
        <f>SUM(T14,T19)</f>
        <v>-243767.59552</v>
      </c>
      <c r="U33" s="87">
        <f t="shared" si="9"/>
        <v>-1.7721647583751356E-2</v>
      </c>
    </row>
    <row r="34" spans="2:21" s="102" customFormat="1" x14ac:dyDescent="0.25">
      <c r="B34" s="106" t="s">
        <v>160</v>
      </c>
      <c r="C34" s="106"/>
      <c r="D34" s="115">
        <f t="shared" si="10"/>
        <v>10298663.83</v>
      </c>
      <c r="E34" s="116">
        <f t="shared" si="10"/>
        <v>2186532.87</v>
      </c>
      <c r="F34" s="119"/>
      <c r="H34" s="116">
        <f>H15+H20</f>
        <v>1958604.6621818591</v>
      </c>
      <c r="I34" s="120"/>
      <c r="J34" s="120"/>
      <c r="K34" s="120"/>
      <c r="L34" s="121"/>
      <c r="M34" s="120"/>
      <c r="O34" s="121"/>
      <c r="P34" s="121"/>
      <c r="Q34" s="121"/>
      <c r="R34" s="120"/>
      <c r="S34" s="116">
        <f>S15+S20</f>
        <v>4518600.6982918587</v>
      </c>
      <c r="T34" s="85">
        <f>SUM(T15,T20)</f>
        <v>-38500.075440000001</v>
      </c>
      <c r="U34" s="87">
        <f t="shared" si="9"/>
        <v>-8.5203535365614338E-3</v>
      </c>
    </row>
    <row r="35" spans="2:21" s="102" customFormat="1" x14ac:dyDescent="0.25">
      <c r="B35" s="94" t="s">
        <v>161</v>
      </c>
      <c r="C35" s="94"/>
      <c r="D35" s="115">
        <f t="shared" si="10"/>
        <v>122588020.23800001</v>
      </c>
      <c r="E35" s="116">
        <f t="shared" si="10"/>
        <v>4719439.0600000005</v>
      </c>
      <c r="F35" s="119"/>
      <c r="G35" s="109"/>
      <c r="H35" s="116">
        <f>H16+H21</f>
        <v>4698550.2280271146</v>
      </c>
      <c r="I35" s="119"/>
      <c r="J35" s="119"/>
      <c r="K35" s="119"/>
      <c r="L35" s="121"/>
      <c r="M35" s="119"/>
      <c r="O35" s="121"/>
      <c r="P35" s="121"/>
      <c r="Q35" s="121"/>
      <c r="R35" s="119"/>
      <c r="S35" s="116">
        <f>S16+S21</f>
        <v>10553190.812959481</v>
      </c>
      <c r="T35" s="85">
        <f>SUM(T16,T21)</f>
        <v>-168963.39809999999</v>
      </c>
      <c r="U35" s="87">
        <f t="shared" si="9"/>
        <v>-1.6010645604219564E-2</v>
      </c>
    </row>
    <row r="36" spans="2:21" s="102" customFormat="1" x14ac:dyDescent="0.25">
      <c r="B36" s="122" t="s">
        <v>20</v>
      </c>
      <c r="C36" s="94"/>
      <c r="D36" s="115">
        <f>D22</f>
        <v>37223237.460000001</v>
      </c>
      <c r="E36" s="116">
        <f>E22</f>
        <v>1465941.3557558353</v>
      </c>
      <c r="F36" s="119"/>
      <c r="G36" s="109"/>
      <c r="H36" s="116">
        <f>H22</f>
        <v>1425443.3267358372</v>
      </c>
      <c r="I36" s="119"/>
      <c r="J36" s="119"/>
      <c r="K36" s="119"/>
      <c r="L36" s="121"/>
      <c r="M36" s="119"/>
      <c r="O36" s="121"/>
      <c r="P36" s="121"/>
      <c r="Q36" s="121"/>
      <c r="R36" s="119"/>
      <c r="S36" s="116">
        <f>S22</f>
        <v>1654642.5121986535</v>
      </c>
      <c r="T36" s="85">
        <f>T22</f>
        <v>-62979.143400000001</v>
      </c>
      <c r="U36" s="87">
        <f t="shared" si="9"/>
        <v>-3.8062084671277217E-2</v>
      </c>
    </row>
    <row r="37" spans="2:21" s="102" customFormat="1" x14ac:dyDescent="0.25">
      <c r="B37" s="123" t="s">
        <v>21</v>
      </c>
      <c r="C37" s="123"/>
      <c r="D37" s="124">
        <f>SUM(D30:D36)</f>
        <v>1142550753.03</v>
      </c>
      <c r="E37" s="125">
        <f>SUM(E30:E36)</f>
        <v>421947351.40988755</v>
      </c>
      <c r="F37" s="109"/>
      <c r="G37" s="109"/>
      <c r="H37" s="125">
        <f>SUM(H30:H36)</f>
        <v>464759341.53156406</v>
      </c>
      <c r="I37" s="109"/>
      <c r="J37" s="109"/>
      <c r="K37" s="119"/>
      <c r="L37" s="121"/>
      <c r="M37" s="119"/>
      <c r="O37" s="121"/>
      <c r="P37" s="121"/>
      <c r="Q37" s="121"/>
      <c r="R37" s="119"/>
      <c r="S37" s="125">
        <f>SUM(S30:S36)</f>
        <v>858338698.49814212</v>
      </c>
      <c r="T37" s="125">
        <f>SUM(T30:T36)</f>
        <v>-10500342.169010002</v>
      </c>
      <c r="U37" s="93">
        <f t="shared" si="9"/>
        <v>-1.2233331885632942E-2</v>
      </c>
    </row>
    <row r="38" spans="2:21" s="102" customFormat="1" x14ac:dyDescent="0.25">
      <c r="B38" s="94"/>
      <c r="C38" s="94"/>
      <c r="D38" s="115"/>
      <c r="E38" s="116"/>
      <c r="F38" s="109"/>
      <c r="G38" s="109"/>
      <c r="H38" s="116"/>
      <c r="I38" s="109"/>
      <c r="J38" s="109"/>
      <c r="K38" s="119"/>
      <c r="L38" s="121"/>
      <c r="M38" s="119"/>
      <c r="O38" s="121"/>
      <c r="P38" s="121"/>
      <c r="Q38" s="121"/>
      <c r="R38" s="119"/>
      <c r="S38" s="116"/>
      <c r="T38" s="116"/>
      <c r="U38" s="87"/>
    </row>
    <row r="39" spans="2:21" s="102" customFormat="1" x14ac:dyDescent="0.25">
      <c r="B39" s="94" t="s">
        <v>22</v>
      </c>
      <c r="C39" s="94"/>
      <c r="D39" s="115"/>
      <c r="E39" s="116">
        <f>E25</f>
        <v>5943249.8599999994</v>
      </c>
      <c r="F39" s="109"/>
      <c r="G39" s="109"/>
      <c r="H39" s="116">
        <f>H25</f>
        <v>5055432.1988800336</v>
      </c>
      <c r="I39" s="109"/>
      <c r="J39" s="109"/>
      <c r="K39" s="119"/>
      <c r="L39" s="121"/>
      <c r="M39" s="119"/>
      <c r="O39" s="121"/>
      <c r="P39" s="121"/>
      <c r="Q39" s="121"/>
      <c r="R39" s="119"/>
      <c r="S39" s="116">
        <f>S25</f>
        <v>5410514.8188800337</v>
      </c>
      <c r="T39" s="85">
        <f>T25</f>
        <v>-23654.260000000002</v>
      </c>
      <c r="U39" s="87">
        <f>T39/S39</f>
        <v>-4.3719055934304581E-3</v>
      </c>
    </row>
    <row r="40" spans="2:21" s="109" customFormat="1" x14ac:dyDescent="0.25">
      <c r="B40" s="106" t="s">
        <v>24</v>
      </c>
      <c r="C40" s="106"/>
      <c r="D40" s="124">
        <f>D39+D37</f>
        <v>1142550753.03</v>
      </c>
      <c r="E40" s="125">
        <f>E39+E37</f>
        <v>427890601.26988757</v>
      </c>
      <c r="G40" s="102"/>
      <c r="H40" s="125">
        <f>H39+H37</f>
        <v>469814773.73044407</v>
      </c>
      <c r="L40" s="121"/>
      <c r="O40" s="121"/>
      <c r="P40" s="121"/>
      <c r="Q40" s="121"/>
      <c r="S40" s="125">
        <f>S39+S37</f>
        <v>863749213.3170222</v>
      </c>
      <c r="T40" s="125">
        <f>T39+T37</f>
        <v>-10523996.429010002</v>
      </c>
      <c r="U40" s="93">
        <f>T40/S40</f>
        <v>-1.2184088004659491E-2</v>
      </c>
    </row>
    <row r="41" spans="2:21" s="102" customFormat="1" x14ac:dyDescent="0.25">
      <c r="B41" s="109"/>
      <c r="C41" s="109"/>
      <c r="D41" s="109"/>
      <c r="E41" s="109"/>
      <c r="F41" s="109"/>
      <c r="I41" s="120"/>
      <c r="L41" s="109"/>
      <c r="O41" s="109"/>
      <c r="P41" s="109"/>
      <c r="Q41" s="109"/>
      <c r="R41" s="109"/>
      <c r="S41" s="109"/>
      <c r="T41" s="126"/>
    </row>
    <row r="42" spans="2:21" ht="17.25" x14ac:dyDescent="0.25">
      <c r="B42" t="s">
        <v>162</v>
      </c>
      <c r="D42" s="110"/>
      <c r="E42" s="110"/>
      <c r="H42" s="127"/>
      <c r="L42" s="110"/>
      <c r="O42" s="110"/>
      <c r="P42" s="110"/>
      <c r="Q42" s="110"/>
      <c r="S42" s="110"/>
    </row>
    <row r="43" spans="2:21" ht="17.25" x14ac:dyDescent="0.25">
      <c r="B43" t="s">
        <v>163</v>
      </c>
      <c r="D43" s="110"/>
      <c r="E43" s="110"/>
      <c r="L43" s="110"/>
      <c r="O43" s="110"/>
      <c r="P43" s="110"/>
      <c r="Q43" s="110"/>
      <c r="S43" s="110"/>
    </row>
    <row r="44" spans="2:21" ht="17.25" x14ac:dyDescent="0.25">
      <c r="B44" t="s">
        <v>195</v>
      </c>
    </row>
  </sheetData>
  <mergeCells count="4">
    <mergeCell ref="B1:U1"/>
    <mergeCell ref="B2:U2"/>
    <mergeCell ref="B3:U3"/>
    <mergeCell ref="B4:U4"/>
  </mergeCells>
  <printOptions horizontalCentered="1"/>
  <pageMargins left="0.45" right="0.45" top="0.75" bottom="0.75" header="0.3" footer="0.3"/>
  <pageSetup paperSize="5" scale="57" orientation="landscape" blackAndWhite="1" r:id="rId1"/>
  <headerFooter>
    <oddFooter>&amp;L&amp;F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zoomScaleNormal="100" workbookViewId="0">
      <selection activeCell="K10" sqref="K10"/>
    </sheetView>
  </sheetViews>
  <sheetFormatPr defaultColWidth="9.140625" defaultRowHeight="15" x14ac:dyDescent="0.25"/>
  <cols>
    <col min="1" max="1" width="2.140625" style="129" customWidth="1"/>
    <col min="2" max="2" width="2.42578125" style="129" customWidth="1"/>
    <col min="3" max="3" width="34.5703125" style="129" customWidth="1"/>
    <col min="4" max="5" width="11.85546875" style="129" customWidth="1"/>
    <col min="6" max="6" width="2.7109375" style="129" customWidth="1"/>
    <col min="7" max="8" width="11.85546875" style="129" customWidth="1"/>
    <col min="9" max="16384" width="9.140625" style="129"/>
  </cols>
  <sheetData>
    <row r="1" spans="2:8" x14ac:dyDescent="0.25">
      <c r="B1" s="171" t="s">
        <v>0</v>
      </c>
      <c r="C1" s="171"/>
      <c r="D1" s="171"/>
      <c r="E1" s="171"/>
      <c r="F1" s="171"/>
      <c r="G1" s="171"/>
      <c r="H1" s="171"/>
    </row>
    <row r="2" spans="2:8" x14ac:dyDescent="0.25">
      <c r="B2" s="171" t="s">
        <v>198</v>
      </c>
      <c r="C2" s="171"/>
      <c r="D2" s="171"/>
      <c r="E2" s="171"/>
      <c r="F2" s="171"/>
      <c r="G2" s="171"/>
      <c r="H2" s="171"/>
    </row>
    <row r="3" spans="2:8" x14ac:dyDescent="0.25">
      <c r="B3" s="169" t="s">
        <v>164</v>
      </c>
      <c r="C3" s="169"/>
      <c r="D3" s="169"/>
      <c r="E3" s="169"/>
      <c r="F3" s="169"/>
      <c r="G3" s="169"/>
      <c r="H3" s="169"/>
    </row>
    <row r="4" spans="2:8" x14ac:dyDescent="0.25">
      <c r="B4" s="169" t="s">
        <v>101</v>
      </c>
      <c r="C4" s="169"/>
      <c r="D4" s="169"/>
      <c r="E4" s="169"/>
      <c r="F4" s="169"/>
      <c r="G4" s="169"/>
      <c r="H4" s="169"/>
    </row>
    <row r="6" spans="2:8" x14ac:dyDescent="0.25">
      <c r="D6" s="130" t="s">
        <v>165</v>
      </c>
      <c r="E6" s="130"/>
      <c r="G6" s="130" t="s">
        <v>196</v>
      </c>
      <c r="H6" s="130"/>
    </row>
    <row r="7" spans="2:8" ht="17.25" x14ac:dyDescent="0.25">
      <c r="D7" s="131" t="s">
        <v>166</v>
      </c>
      <c r="E7" s="131" t="s">
        <v>167</v>
      </c>
      <c r="G7" s="131" t="s">
        <v>168</v>
      </c>
      <c r="H7" s="131" t="s">
        <v>167</v>
      </c>
    </row>
    <row r="8" spans="2:8" x14ac:dyDescent="0.25">
      <c r="B8" s="129" t="s">
        <v>169</v>
      </c>
      <c r="D8" s="132">
        <v>64</v>
      </c>
      <c r="E8" s="133"/>
      <c r="G8" s="132">
        <v>64</v>
      </c>
      <c r="H8" s="133"/>
    </row>
    <row r="9" spans="2:8" x14ac:dyDescent="0.25">
      <c r="D9" s="132"/>
      <c r="E9" s="133"/>
      <c r="G9" s="132"/>
      <c r="H9" s="133"/>
    </row>
    <row r="10" spans="2:8" x14ac:dyDescent="0.25">
      <c r="B10" s="129" t="s">
        <v>170</v>
      </c>
      <c r="D10" s="132"/>
      <c r="E10" s="133"/>
      <c r="G10" s="132"/>
      <c r="H10" s="133"/>
    </row>
    <row r="11" spans="2:8" x14ac:dyDescent="0.25">
      <c r="C11" s="129" t="s">
        <v>171</v>
      </c>
      <c r="D11" s="134">
        <v>11</v>
      </c>
      <c r="E11" s="133">
        <f>D11</f>
        <v>11</v>
      </c>
      <c r="G11" s="136">
        <f>$D$11</f>
        <v>11</v>
      </c>
      <c r="H11" s="133">
        <f>G11</f>
        <v>11</v>
      </c>
    </row>
    <row r="12" spans="2:8" x14ac:dyDescent="0.25">
      <c r="C12" s="129" t="s">
        <v>172</v>
      </c>
      <c r="D12" s="135">
        <v>0.67</v>
      </c>
      <c r="E12" s="137">
        <f>D12</f>
        <v>0.67</v>
      </c>
      <c r="G12" s="138">
        <f>$D$12</f>
        <v>0.67</v>
      </c>
      <c r="H12" s="137">
        <f>G12</f>
        <v>0.67</v>
      </c>
    </row>
    <row r="13" spans="2:8" x14ac:dyDescent="0.25">
      <c r="C13" s="129" t="s">
        <v>173</v>
      </c>
      <c r="D13" s="135">
        <v>-0.15</v>
      </c>
      <c r="E13" s="137">
        <f>D13</f>
        <v>-0.15</v>
      </c>
      <c r="G13" s="138">
        <f>$D$13</f>
        <v>-0.15</v>
      </c>
      <c r="H13" s="137">
        <f>G13</f>
        <v>-0.15</v>
      </c>
    </row>
    <row r="14" spans="2:8" x14ac:dyDescent="0.25">
      <c r="C14" s="129" t="s">
        <v>21</v>
      </c>
      <c r="D14" s="139">
        <f>SUM(D11:D13)</f>
        <v>11.52</v>
      </c>
      <c r="E14" s="139">
        <f>SUM(E11:E13)</f>
        <v>11.52</v>
      </c>
      <c r="G14" s="139">
        <f>SUM(G11:G13)</f>
        <v>11.52</v>
      </c>
      <c r="H14" s="139">
        <f>SUM(H11:H13)</f>
        <v>11.52</v>
      </c>
    </row>
    <row r="15" spans="2:8" x14ac:dyDescent="0.25">
      <c r="D15" s="134"/>
      <c r="E15" s="133"/>
      <c r="G15" s="136"/>
      <c r="H15" s="133"/>
    </row>
    <row r="16" spans="2:8" x14ac:dyDescent="0.25">
      <c r="B16" s="129" t="s">
        <v>174</v>
      </c>
      <c r="E16" s="133"/>
      <c r="H16" s="133"/>
    </row>
    <row r="17" spans="3:8" x14ac:dyDescent="0.25">
      <c r="C17" s="129" t="s">
        <v>175</v>
      </c>
      <c r="D17" s="140">
        <v>0.34603</v>
      </c>
      <c r="E17" s="133"/>
      <c r="G17" s="141">
        <f>$D$17</f>
        <v>0.34603</v>
      </c>
      <c r="H17" s="133"/>
    </row>
    <row r="18" spans="3:8" x14ac:dyDescent="0.25">
      <c r="C18" s="129" t="s">
        <v>176</v>
      </c>
      <c r="D18" s="142">
        <v>5.3699999999999998E-3</v>
      </c>
      <c r="E18" s="133"/>
      <c r="G18" s="141">
        <f>$D$18</f>
        <v>5.3699999999999998E-3</v>
      </c>
      <c r="H18" s="133"/>
    </row>
    <row r="19" spans="3:8" x14ac:dyDescent="0.25">
      <c r="C19" s="129" t="s">
        <v>177</v>
      </c>
      <c r="D19" s="140">
        <v>2.4479999999999998E-2</v>
      </c>
      <c r="E19" s="133"/>
      <c r="G19" s="143">
        <f>$D$19</f>
        <v>2.4479999999999998E-2</v>
      </c>
      <c r="H19" s="133"/>
    </row>
    <row r="20" spans="3:8" x14ac:dyDescent="0.25">
      <c r="C20" s="129" t="s">
        <v>172</v>
      </c>
      <c r="D20" s="140">
        <v>2.1229999999999999E-2</v>
      </c>
      <c r="E20" s="133"/>
      <c r="G20" s="141">
        <f>$D$20</f>
        <v>2.1229999999999999E-2</v>
      </c>
      <c r="H20" s="133"/>
    </row>
    <row r="21" spans="3:8" x14ac:dyDescent="0.25">
      <c r="C21" s="129" t="s">
        <v>173</v>
      </c>
      <c r="D21" s="140">
        <v>-4.79E-3</v>
      </c>
      <c r="E21" s="133"/>
      <c r="G21" s="141">
        <f>$D$21</f>
        <v>-4.79E-3</v>
      </c>
      <c r="H21" s="133"/>
    </row>
    <row r="22" spans="3:8" x14ac:dyDescent="0.25">
      <c r="C22" s="129" t="s">
        <v>197</v>
      </c>
      <c r="D22" s="140">
        <v>0</v>
      </c>
      <c r="E22" s="133"/>
      <c r="G22" s="144">
        <f>'Schedule 141Y Revenue'!$E$8</f>
        <v>-1.0580000000000001E-2</v>
      </c>
      <c r="H22" s="133"/>
    </row>
    <row r="23" spans="3:8" x14ac:dyDescent="0.25">
      <c r="C23" s="129" t="s">
        <v>178</v>
      </c>
      <c r="D23" s="140">
        <v>8.1549999999999997E-2</v>
      </c>
      <c r="E23" s="133"/>
      <c r="G23" s="143">
        <f>$D$23</f>
        <v>8.1549999999999997E-2</v>
      </c>
      <c r="H23" s="133"/>
    </row>
    <row r="24" spans="3:8" x14ac:dyDescent="0.25">
      <c r="C24" s="129" t="s">
        <v>179</v>
      </c>
      <c r="D24" s="145">
        <v>1.1209999999999999E-2</v>
      </c>
      <c r="E24" s="133"/>
      <c r="G24" s="143">
        <f>$D$24</f>
        <v>1.1209999999999999E-2</v>
      </c>
      <c r="H24" s="133"/>
    </row>
    <row r="25" spans="3:8" x14ac:dyDescent="0.25">
      <c r="C25" s="129" t="s">
        <v>21</v>
      </c>
      <c r="D25" s="146">
        <f>SUM(D17:D24)</f>
        <v>0.48507999999999996</v>
      </c>
      <c r="E25" s="133">
        <f>ROUND(D25*D$8,2)</f>
        <v>31.05</v>
      </c>
      <c r="G25" s="146">
        <f>SUM(G17:G24)</f>
        <v>0.47449999999999998</v>
      </c>
      <c r="H25" s="133">
        <f>ROUND(G25*G$8,2)</f>
        <v>30.37</v>
      </c>
    </row>
    <row r="27" spans="3:8" x14ac:dyDescent="0.25">
      <c r="C27" s="129" t="s">
        <v>180</v>
      </c>
      <c r="D27" s="147">
        <v>1.703E-2</v>
      </c>
      <c r="E27" s="133">
        <f>ROUND(D27*D$8,2)</f>
        <v>1.0900000000000001</v>
      </c>
      <c r="G27" s="148">
        <f>$D$27</f>
        <v>1.703E-2</v>
      </c>
      <c r="H27" s="133">
        <f>ROUND(G27*G$8,2)</f>
        <v>1.0900000000000001</v>
      </c>
    </row>
    <row r="28" spans="3:8" x14ac:dyDescent="0.25">
      <c r="D28" s="149"/>
      <c r="E28" s="133"/>
      <c r="G28" s="141"/>
      <c r="H28" s="133"/>
    </row>
    <row r="29" spans="3:8" x14ac:dyDescent="0.25">
      <c r="C29" s="129" t="s">
        <v>181</v>
      </c>
      <c r="D29" s="147">
        <v>0</v>
      </c>
      <c r="E29" s="133">
        <f>ROUND(D29*D$8,2)</f>
        <v>0</v>
      </c>
      <c r="G29" s="143">
        <f>$D$29</f>
        <v>0</v>
      </c>
      <c r="H29" s="133">
        <f>ROUND(G29*G$8,2)</f>
        <v>0</v>
      </c>
    </row>
    <row r="30" spans="3:8" x14ac:dyDescent="0.25">
      <c r="D30" s="149"/>
      <c r="E30" s="133"/>
      <c r="G30" s="141"/>
      <c r="H30" s="133"/>
    </row>
    <row r="31" spans="3:8" x14ac:dyDescent="0.25">
      <c r="C31" s="129" t="s">
        <v>182</v>
      </c>
      <c r="D31" s="147">
        <v>0.32665</v>
      </c>
      <c r="E31" s="133"/>
      <c r="G31" s="141">
        <f>$D$31</f>
        <v>0.32665</v>
      </c>
      <c r="H31" s="133"/>
    </row>
    <row r="32" spans="3:8" x14ac:dyDescent="0.25">
      <c r="C32" s="129" t="s">
        <v>183</v>
      </c>
      <c r="D32" s="147">
        <v>-5.8279999999999998E-2</v>
      </c>
      <c r="E32" s="133"/>
      <c r="G32" s="143">
        <f>$D$32</f>
        <v>-5.8279999999999998E-2</v>
      </c>
      <c r="H32" s="133"/>
    </row>
    <row r="33" spans="2:8" x14ac:dyDescent="0.25">
      <c r="C33" s="129" t="s">
        <v>21</v>
      </c>
      <c r="D33" s="146">
        <f>SUM(D31:D32)</f>
        <v>0.26837</v>
      </c>
      <c r="E33" s="133">
        <f>ROUND(D33*D$8,2)</f>
        <v>17.18</v>
      </c>
      <c r="G33" s="146">
        <f>SUM(G31:G32)</f>
        <v>0.26837</v>
      </c>
      <c r="H33" s="133">
        <f>ROUND(G33*G$8,2)</f>
        <v>17.18</v>
      </c>
    </row>
    <row r="34" spans="2:8" x14ac:dyDescent="0.25">
      <c r="C34" s="129" t="s">
        <v>184</v>
      </c>
      <c r="D34" s="146">
        <f>D25+D27+D29+D33</f>
        <v>0.77047999999999994</v>
      </c>
      <c r="E34" s="150">
        <f>SUM(E25,E27,E29,E33)</f>
        <v>49.32</v>
      </c>
      <c r="G34" s="146">
        <f>G25+G27+G29+G33</f>
        <v>0.75990000000000002</v>
      </c>
      <c r="H34" s="150">
        <f>SUM(H25,H27,H29,H33)</f>
        <v>48.64</v>
      </c>
    </row>
    <row r="35" spans="2:8" x14ac:dyDescent="0.25">
      <c r="E35" s="133"/>
      <c r="H35" s="133"/>
    </row>
    <row r="36" spans="2:8" x14ac:dyDescent="0.25">
      <c r="B36" s="129" t="s">
        <v>185</v>
      </c>
      <c r="D36" s="136"/>
      <c r="E36" s="133">
        <f>E14+E34</f>
        <v>60.84</v>
      </c>
      <c r="G36" s="136"/>
      <c r="H36" s="133">
        <f>H14+H34</f>
        <v>60.16</v>
      </c>
    </row>
    <row r="37" spans="2:8" x14ac:dyDescent="0.25">
      <c r="B37" s="129" t="s">
        <v>186</v>
      </c>
      <c r="D37" s="136"/>
      <c r="E37" s="133"/>
      <c r="G37" s="136"/>
      <c r="H37" s="133">
        <f>H36-$E36</f>
        <v>-0.68000000000000682</v>
      </c>
    </row>
    <row r="38" spans="2:8" x14ac:dyDescent="0.25">
      <c r="B38" s="129" t="s">
        <v>187</v>
      </c>
      <c r="D38" s="151"/>
      <c r="E38" s="151"/>
      <c r="G38" s="151"/>
      <c r="H38" s="152">
        <f>H37/$E36</f>
        <v>-1.1176857330703597E-2</v>
      </c>
    </row>
    <row r="39" spans="2:8" x14ac:dyDescent="0.25">
      <c r="E39" s="133"/>
    </row>
    <row r="40" spans="2:8" x14ac:dyDescent="0.25">
      <c r="B40" s="129" t="s">
        <v>188</v>
      </c>
      <c r="D40" s="141">
        <f>D25+D27+D29</f>
        <v>0.50210999999999995</v>
      </c>
      <c r="E40" s="133"/>
      <c r="G40" s="141">
        <f>G25+G27+G29</f>
        <v>0.49152999999999997</v>
      </c>
    </row>
    <row r="42" spans="2:8" ht="17.25" x14ac:dyDescent="0.25">
      <c r="B42" s="153" t="s">
        <v>189</v>
      </c>
    </row>
    <row r="43" spans="2:8" x14ac:dyDescent="0.25">
      <c r="C43" s="153"/>
      <c r="D43" s="153"/>
      <c r="E43" s="153"/>
    </row>
    <row r="48" spans="2:8" ht="14.25" customHeight="1" x14ac:dyDescent="0.25"/>
  </sheetData>
  <mergeCells count="4">
    <mergeCell ref="B1:H1"/>
    <mergeCell ref="B2:H2"/>
    <mergeCell ref="B3:H3"/>
    <mergeCell ref="B4:H4"/>
  </mergeCells>
  <printOptions horizontalCentered="1"/>
  <pageMargins left="0.5" right="0.5" top="1" bottom="1" header="0.5" footer="0.5"/>
  <pageSetup scale="75" orientation="landscape" blackAndWhite="1" r:id="rId1"/>
  <headerFooter alignWithMargins="0">
    <oddFooter>&amp;L&amp;F  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zoomScaleNormal="100" workbookViewId="0">
      <selection activeCell="E28" sqref="E28"/>
    </sheetView>
  </sheetViews>
  <sheetFormatPr defaultRowHeight="15" x14ac:dyDescent="0.25"/>
  <cols>
    <col min="1" max="1" width="38.7109375" customWidth="1"/>
    <col min="2" max="2" width="9.140625" bestFit="1" customWidth="1"/>
    <col min="3" max="3" width="15.85546875" customWidth="1"/>
    <col min="4" max="6" width="16.28515625" customWidth="1"/>
    <col min="7" max="7" width="15.140625" customWidth="1"/>
    <col min="8" max="8" width="7.85546875" bestFit="1" customWidth="1"/>
  </cols>
  <sheetData>
    <row r="1" spans="1:9" s="155" customFormat="1" ht="12.75" x14ac:dyDescent="0.2">
      <c r="A1" s="172" t="s">
        <v>0</v>
      </c>
      <c r="B1" s="172"/>
      <c r="C1" s="172"/>
      <c r="D1" s="172"/>
      <c r="E1" s="172"/>
      <c r="F1" s="172"/>
      <c r="G1" s="172"/>
      <c r="H1" s="172"/>
      <c r="I1" s="154"/>
    </row>
    <row r="2" spans="1:9" s="155" customFormat="1" ht="12.75" x14ac:dyDescent="0.2">
      <c r="A2" s="172" t="s">
        <v>199</v>
      </c>
      <c r="B2" s="172"/>
      <c r="C2" s="172"/>
      <c r="D2" s="172"/>
      <c r="E2" s="172"/>
      <c r="F2" s="172"/>
      <c r="G2" s="172"/>
      <c r="H2" s="172"/>
      <c r="I2" s="154"/>
    </row>
    <row r="3" spans="1:9" s="155" customFormat="1" ht="12.75" x14ac:dyDescent="0.2">
      <c r="A3" s="172" t="s">
        <v>53</v>
      </c>
      <c r="B3" s="172"/>
      <c r="C3" s="172"/>
      <c r="D3" s="172"/>
      <c r="E3" s="172"/>
      <c r="F3" s="172"/>
      <c r="G3" s="172"/>
      <c r="H3" s="172"/>
      <c r="I3" s="154"/>
    </row>
    <row r="4" spans="1:9" x14ac:dyDescent="0.25">
      <c r="D4" s="76"/>
      <c r="E4" s="76"/>
    </row>
    <row r="5" spans="1:9" x14ac:dyDescent="0.25">
      <c r="A5" s="77"/>
      <c r="B5" s="77"/>
      <c r="C5" s="77" t="s">
        <v>103</v>
      </c>
      <c r="D5" s="77" t="s">
        <v>190</v>
      </c>
      <c r="E5" s="77" t="s">
        <v>1</v>
      </c>
      <c r="F5" s="77"/>
      <c r="G5" s="77" t="s">
        <v>193</v>
      </c>
      <c r="H5" s="77"/>
    </row>
    <row r="6" spans="1:9" x14ac:dyDescent="0.25">
      <c r="A6" s="77"/>
      <c r="B6" s="77" t="s">
        <v>105</v>
      </c>
      <c r="C6" s="77" t="s">
        <v>26</v>
      </c>
      <c r="D6" s="77" t="s">
        <v>193</v>
      </c>
      <c r="E6" s="77" t="s">
        <v>193</v>
      </c>
      <c r="F6" s="77" t="s">
        <v>103</v>
      </c>
      <c r="G6" s="77" t="s">
        <v>119</v>
      </c>
      <c r="H6" s="77" t="s">
        <v>120</v>
      </c>
    </row>
    <row r="7" spans="1:9" x14ac:dyDescent="0.25">
      <c r="A7" s="1" t="s">
        <v>5</v>
      </c>
      <c r="B7" s="1" t="s">
        <v>28</v>
      </c>
      <c r="C7" s="79" t="s">
        <v>124</v>
      </c>
      <c r="D7" s="1" t="s">
        <v>168</v>
      </c>
      <c r="E7" s="1" t="s">
        <v>168</v>
      </c>
      <c r="F7" s="1" t="s">
        <v>119</v>
      </c>
      <c r="G7" s="1" t="s">
        <v>126</v>
      </c>
      <c r="H7" s="1" t="s">
        <v>126</v>
      </c>
    </row>
    <row r="8" spans="1:9" x14ac:dyDescent="0.25">
      <c r="A8" t="s">
        <v>8</v>
      </c>
      <c r="B8" s="82" t="s">
        <v>147</v>
      </c>
      <c r="C8" s="2">
        <v>639424146</v>
      </c>
      <c r="D8" s="156">
        <v>0</v>
      </c>
      <c r="E8" s="163">
        <f>'Sched 141Y Rates'!$H$11</f>
        <v>-1.0580000000000001E-2</v>
      </c>
      <c r="F8" s="86">
        <f>C8*D8</f>
        <v>0</v>
      </c>
      <c r="G8" s="85">
        <f>(E8-D8)*C8</f>
        <v>-6765107.4646800002</v>
      </c>
      <c r="H8" s="5"/>
    </row>
    <row r="9" spans="1:9" x14ac:dyDescent="0.25">
      <c r="A9" t="s">
        <v>148</v>
      </c>
      <c r="B9" s="82">
        <v>16</v>
      </c>
      <c r="C9" s="29">
        <v>9714</v>
      </c>
      <c r="D9" s="156">
        <v>0</v>
      </c>
      <c r="E9" s="163">
        <f>'Sched 141Y Rates'!$H$11</f>
        <v>-1.0580000000000001E-2</v>
      </c>
      <c r="F9" s="86">
        <f t="shared" ref="F9:F19" si="0">C9*D9</f>
        <v>0</v>
      </c>
      <c r="G9" s="85">
        <f t="shared" ref="G9:G20" si="1">(E9-D9)*C9</f>
        <v>-102.77412000000001</v>
      </c>
      <c r="H9" s="5"/>
    </row>
    <row r="10" spans="1:9" x14ac:dyDescent="0.25">
      <c r="A10" t="s">
        <v>10</v>
      </c>
      <c r="B10" s="82">
        <v>31</v>
      </c>
      <c r="C10" s="2">
        <v>238517600</v>
      </c>
      <c r="D10" s="156">
        <v>0</v>
      </c>
      <c r="E10" s="163">
        <f>'Sched 141Y Rates'!H12</f>
        <v>-1.1730000000000001E-2</v>
      </c>
      <c r="F10" s="86">
        <f t="shared" si="0"/>
        <v>0</v>
      </c>
      <c r="G10" s="85">
        <f>(E10-D10)*C10</f>
        <v>-2797811.4480000003</v>
      </c>
      <c r="H10" s="5"/>
    </row>
    <row r="11" spans="1:9" x14ac:dyDescent="0.25">
      <c r="A11" t="s">
        <v>12</v>
      </c>
      <c r="B11" s="82">
        <v>41</v>
      </c>
      <c r="C11" s="2">
        <v>67320620</v>
      </c>
      <c r="D11" s="156">
        <v>0</v>
      </c>
      <c r="E11" s="163">
        <f>'Sched 141Y Rates'!H13</f>
        <v>-4.6600000000000001E-3</v>
      </c>
      <c r="F11" s="86">
        <f t="shared" si="0"/>
        <v>0</v>
      </c>
      <c r="G11" s="85">
        <f t="shared" si="1"/>
        <v>-313714.08919999999</v>
      </c>
      <c r="H11" s="5"/>
    </row>
    <row r="12" spans="1:9" x14ac:dyDescent="0.25">
      <c r="A12" t="s">
        <v>14</v>
      </c>
      <c r="B12" s="82">
        <v>85</v>
      </c>
      <c r="C12" s="2">
        <v>15894957</v>
      </c>
      <c r="D12" s="156">
        <v>0</v>
      </c>
      <c r="E12" s="163">
        <f>'Sched 141Y Rates'!H14</f>
        <v>-2.5600000000000002E-3</v>
      </c>
      <c r="F12" s="86">
        <f t="shared" si="0"/>
        <v>0</v>
      </c>
      <c r="G12" s="85">
        <f t="shared" si="1"/>
        <v>-40691.089920000006</v>
      </c>
      <c r="H12" s="5"/>
    </row>
    <row r="13" spans="1:9" x14ac:dyDescent="0.25">
      <c r="A13" t="s">
        <v>16</v>
      </c>
      <c r="B13" s="82">
        <v>86</v>
      </c>
      <c r="C13" s="2">
        <v>9006058</v>
      </c>
      <c r="D13" s="156">
        <v>0</v>
      </c>
      <c r="E13" s="163">
        <f>'Sched 141Y Rates'!H15</f>
        <v>-4.1700000000000001E-3</v>
      </c>
      <c r="F13" s="86">
        <f t="shared" si="0"/>
        <v>0</v>
      </c>
      <c r="G13" s="85">
        <f t="shared" si="1"/>
        <v>-37555.261859999999</v>
      </c>
      <c r="H13" s="5"/>
    </row>
    <row r="14" spans="1:9" x14ac:dyDescent="0.25">
      <c r="A14" t="s">
        <v>18</v>
      </c>
      <c r="B14" s="82">
        <v>87</v>
      </c>
      <c r="C14" s="2">
        <v>22055028</v>
      </c>
      <c r="D14" s="156">
        <v>0</v>
      </c>
      <c r="E14" s="163">
        <f>'Sched 141Y Rates'!H16</f>
        <v>-1.3799999999999999E-3</v>
      </c>
      <c r="F14" s="86">
        <f t="shared" si="0"/>
        <v>0</v>
      </c>
      <c r="G14" s="85">
        <f t="shared" si="1"/>
        <v>-30435.93864</v>
      </c>
      <c r="H14" s="5"/>
    </row>
    <row r="15" spans="1:9" x14ac:dyDescent="0.25">
      <c r="A15" t="s">
        <v>149</v>
      </c>
      <c r="B15" s="82" t="s">
        <v>33</v>
      </c>
      <c r="C15" s="2">
        <v>23051</v>
      </c>
      <c r="D15" s="156">
        <v>0</v>
      </c>
      <c r="E15" s="163">
        <f>'Sched 141Y Rates'!H12</f>
        <v>-1.1730000000000001E-2</v>
      </c>
      <c r="F15" s="86">
        <f t="shared" si="0"/>
        <v>0</v>
      </c>
      <c r="G15" s="85">
        <f t="shared" si="1"/>
        <v>-270.38823000000002</v>
      </c>
      <c r="H15" s="5"/>
    </row>
    <row r="16" spans="1:9" x14ac:dyDescent="0.25">
      <c r="A16" t="s">
        <v>150</v>
      </c>
      <c r="B16" t="s">
        <v>29</v>
      </c>
      <c r="C16" s="2">
        <v>23417552</v>
      </c>
      <c r="D16" s="156">
        <v>0</v>
      </c>
      <c r="E16" s="163">
        <f>'Sched 141Y Rates'!H13</f>
        <v>-4.6600000000000001E-3</v>
      </c>
      <c r="F16" s="86">
        <f t="shared" si="0"/>
        <v>0</v>
      </c>
      <c r="G16" s="85">
        <f t="shared" si="1"/>
        <v>-109125.79232000001</v>
      </c>
      <c r="H16" s="5"/>
    </row>
    <row r="17" spans="1:11" x14ac:dyDescent="0.25">
      <c r="A17" t="s">
        <v>151</v>
      </c>
      <c r="B17" t="s">
        <v>30</v>
      </c>
      <c r="C17" s="2">
        <v>79326760</v>
      </c>
      <c r="D17" s="156">
        <v>0</v>
      </c>
      <c r="E17" s="163">
        <f>'Sched 141Y Rates'!H14</f>
        <v>-2.5600000000000002E-3</v>
      </c>
      <c r="F17" s="86">
        <f t="shared" si="0"/>
        <v>0</v>
      </c>
      <c r="G17" s="85">
        <f t="shared" si="1"/>
        <v>-203076.5056</v>
      </c>
      <c r="H17" s="5"/>
    </row>
    <row r="18" spans="1:11" x14ac:dyDescent="0.25">
      <c r="A18" t="s">
        <v>152</v>
      </c>
      <c r="B18" t="s">
        <v>34</v>
      </c>
      <c r="C18" s="2">
        <v>226574</v>
      </c>
      <c r="D18" s="156">
        <v>0</v>
      </c>
      <c r="E18" s="163">
        <f>'Sched 141Y Rates'!H15</f>
        <v>-4.1700000000000001E-3</v>
      </c>
      <c r="F18" s="86">
        <f t="shared" si="0"/>
        <v>0</v>
      </c>
      <c r="G18" s="85">
        <f t="shared" si="1"/>
        <v>-944.81358</v>
      </c>
      <c r="H18" s="5"/>
    </row>
    <row r="19" spans="1:11" x14ac:dyDescent="0.25">
      <c r="A19" t="s">
        <v>153</v>
      </c>
      <c r="B19" t="s">
        <v>31</v>
      </c>
      <c r="C19" s="2">
        <v>100382217</v>
      </c>
      <c r="D19" s="156">
        <v>0</v>
      </c>
      <c r="E19" s="163">
        <f>'Sched 141Y Rates'!H16</f>
        <v>-1.3799999999999999E-3</v>
      </c>
      <c r="F19" s="86">
        <f t="shared" si="0"/>
        <v>0</v>
      </c>
      <c r="G19" s="85">
        <f t="shared" si="1"/>
        <v>-138527.45945999998</v>
      </c>
      <c r="H19" s="5"/>
    </row>
    <row r="20" spans="1:11" x14ac:dyDescent="0.25">
      <c r="A20" t="s">
        <v>20</v>
      </c>
      <c r="C20" s="2">
        <v>36194910</v>
      </c>
      <c r="D20" s="157">
        <v>0</v>
      </c>
      <c r="E20" s="163">
        <f>'Sched 141Y Rates'!H17</f>
        <v>-1.74E-3</v>
      </c>
      <c r="F20" s="86">
        <f>C20*D20</f>
        <v>0</v>
      </c>
      <c r="G20" s="85">
        <f t="shared" si="1"/>
        <v>-62979.143400000001</v>
      </c>
      <c r="H20" s="5"/>
    </row>
    <row r="21" spans="1:11" x14ac:dyDescent="0.25">
      <c r="A21" t="s">
        <v>24</v>
      </c>
      <c r="C21" s="90">
        <f>SUM(C8:C20)</f>
        <v>1231799187</v>
      </c>
      <c r="D21" s="84"/>
      <c r="E21" s="167"/>
      <c r="F21" s="92">
        <f t="shared" ref="F21:G21" si="2">SUM(F8:F20)</f>
        <v>0</v>
      </c>
      <c r="G21" s="91">
        <f t="shared" si="2"/>
        <v>-10500342.16901</v>
      </c>
      <c r="H21" s="7" t="e">
        <f>G21/F21</f>
        <v>#DIV/0!</v>
      </c>
    </row>
    <row r="22" spans="1:11" s="102" customFormat="1" x14ac:dyDescent="0.25">
      <c r="A22" s="94"/>
      <c r="B22" s="95"/>
      <c r="C22" s="98"/>
      <c r="D22" s="97"/>
      <c r="E22" s="164"/>
      <c r="F22" s="97"/>
      <c r="G22" s="100"/>
    </row>
    <row r="23" spans="1:11" s="102" customFormat="1" x14ac:dyDescent="0.25">
      <c r="A23" s="94" t="s">
        <v>22</v>
      </c>
      <c r="B23" s="94"/>
      <c r="C23" s="159">
        <v>337918</v>
      </c>
      <c r="D23" s="158">
        <v>0</v>
      </c>
      <c r="E23" s="165">
        <f>'Sched 141Y Rates'!J20</f>
        <v>-7.0000000000000007E-2</v>
      </c>
      <c r="F23" s="86">
        <f>D23*C23</f>
        <v>0</v>
      </c>
      <c r="G23" s="85">
        <f t="shared" ref="G23" si="3">(E23-D23)*C23</f>
        <v>-23654.260000000002</v>
      </c>
      <c r="H23" s="5"/>
      <c r="I23" s="101"/>
      <c r="J23" s="104"/>
      <c r="K23" s="105"/>
    </row>
    <row r="24" spans="1:11" s="102" customFormat="1" x14ac:dyDescent="0.25">
      <c r="A24" s="106" t="s">
        <v>24</v>
      </c>
      <c r="B24" s="106"/>
      <c r="C24" s="109"/>
      <c r="D24" s="109"/>
      <c r="E24" s="109"/>
      <c r="F24" s="108">
        <f t="shared" ref="F24:G24" si="4">F21+F23</f>
        <v>0</v>
      </c>
      <c r="G24" s="108">
        <f t="shared" si="4"/>
        <v>-10523996.42901</v>
      </c>
      <c r="H24" s="7" t="e">
        <f t="shared" ref="H24" si="5">G24/F24</f>
        <v>#DIV/0!</v>
      </c>
      <c r="I24" s="101"/>
    </row>
    <row r="25" spans="1:11" x14ac:dyDescent="0.25">
      <c r="F25" s="85"/>
    </row>
    <row r="26" spans="1:11" x14ac:dyDescent="0.25">
      <c r="C26" s="110"/>
      <c r="F26" s="85"/>
    </row>
    <row r="27" spans="1:11" x14ac:dyDescent="0.25">
      <c r="A27" s="128"/>
    </row>
  </sheetData>
  <mergeCells count="3">
    <mergeCell ref="A1:H1"/>
    <mergeCell ref="A2:H2"/>
    <mergeCell ref="A3:H3"/>
  </mergeCells>
  <printOptions horizontalCentered="1"/>
  <pageMargins left="0.7" right="0.7" top="0.75" bottom="0.75" header="0.3" footer="0.3"/>
  <pageSetup scale="90" orientation="landscape" blackAndWhite="1" r:id="rId1"/>
  <headerFooter>
    <oddFooter>&amp;L&amp;F 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05174296350A74B966A14709D15A572" ma:contentTypeVersion="56" ma:contentTypeDescription="" ma:contentTypeScope="" ma:versionID="906494762d0406290ee1c415b09d5f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190221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081B62E-A12D-4A97-A1F5-3139514F02DD}"/>
</file>

<file path=customXml/itemProps2.xml><?xml version="1.0" encoding="utf-8"?>
<ds:datastoreItem xmlns:ds="http://schemas.openxmlformats.org/officeDocument/2006/customXml" ds:itemID="{F2657145-5EC9-46EF-BAEE-A24571223000}"/>
</file>

<file path=customXml/itemProps3.xml><?xml version="1.0" encoding="utf-8"?>
<ds:datastoreItem xmlns:ds="http://schemas.openxmlformats.org/officeDocument/2006/customXml" ds:itemID="{5ACED94D-BCB6-4FA9-9313-23D59327BE01}"/>
</file>

<file path=customXml/itemProps4.xml><?xml version="1.0" encoding="utf-8"?>
<ds:datastoreItem xmlns:ds="http://schemas.openxmlformats.org/officeDocument/2006/customXml" ds:itemID="{4A5F4196-5E26-4A8B-B6CF-325834B91A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Sched 141Y Rates</vt:lpstr>
      <vt:lpstr>Revenue Requirement</vt:lpstr>
      <vt:lpstr>Forecasted Volume</vt:lpstr>
      <vt:lpstr>Rate Impacts--&gt;</vt:lpstr>
      <vt:lpstr>Rate Impacts</vt:lpstr>
      <vt:lpstr>Typical Res Bill</vt:lpstr>
      <vt:lpstr>Schedule 141Y Revenue</vt:lpstr>
      <vt:lpstr>'Forecasted Volume'!Print_Area</vt:lpstr>
      <vt:lpstr>'Rate Impacts'!Print_Area</vt:lpstr>
      <vt:lpstr>'Revenue Requirement'!Print_Area</vt:lpstr>
      <vt:lpstr>'Sched 141Y Rates'!Print_Area</vt:lpstr>
      <vt:lpstr>'Schedule 141Y Revenue'!Print_Area</vt:lpstr>
      <vt:lpstr>'Typical Res Bill'!Print_Area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Xu</dc:creator>
  <cp:lastModifiedBy>Paul Schmidt</cp:lastModifiedBy>
  <cp:lastPrinted>2019-03-17T22:46:31Z</cp:lastPrinted>
  <dcterms:created xsi:type="dcterms:W3CDTF">2012-11-20T18:48:04Z</dcterms:created>
  <dcterms:modified xsi:type="dcterms:W3CDTF">2019-03-20T16:51:13Z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0x0101006E56B4D1795A2E4DB2F0B01679ED314A00C05174296350A74B966A14709D15A572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