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23250" windowHeight="13170" tabRatio="912"/>
  </bookViews>
  <sheets>
    <sheet name="Lead E" sheetId="1" r:id="rId1"/>
    <sheet name="Lead G" sheetId="2" r:id="rId2"/>
    <sheet name="TY Excise Tax 2018" sheetId="20" r:id="rId3"/>
    <sheet name="True-up prior period" sheetId="19" r:id="rId4"/>
    <sheet name="TY Filing Fee 2018" sheetId="21" r:id="rId5"/>
    <sheet name="E Filing Fee Restated" sheetId="14" r:id="rId6"/>
    <sheet name="G Filing Fee Restated" sheetId="13" r:id="rId7"/>
    <sheet name="456 Ord Grp 12ME 12-2018" sheetId="22" r:id="rId8"/>
  </sheets>
  <externalReferences>
    <externalReference r:id="rId9"/>
    <externalReference r:id="rId10"/>
  </externalReferences>
  <calcPr calcId="145621" calcMode="autoNoTable"/>
</workbook>
</file>

<file path=xl/calcChain.xml><?xml version="1.0" encoding="utf-8"?>
<calcChain xmlns="http://schemas.openxmlformats.org/spreadsheetml/2006/main">
  <c r="I3" i="20" l="1"/>
  <c r="H3" i="20"/>
  <c r="H52" i="20" l="1"/>
  <c r="L52" i="20" s="1"/>
  <c r="I52" i="20"/>
  <c r="M52" i="20" s="1"/>
  <c r="I102" i="20" l="1"/>
  <c r="M102" i="20" s="1"/>
  <c r="I103" i="20"/>
  <c r="M103" i="20" s="1"/>
  <c r="I104" i="20"/>
  <c r="M104" i="20" s="1"/>
  <c r="I105" i="20"/>
  <c r="M105" i="20" s="1"/>
  <c r="I106" i="20"/>
  <c r="M106" i="20" s="1"/>
  <c r="I107" i="20"/>
  <c r="M107" i="20" s="1"/>
  <c r="I108" i="20"/>
  <c r="M108" i="20" s="1"/>
  <c r="I109" i="20"/>
  <c r="M109" i="20" s="1"/>
  <c r="I110" i="20"/>
  <c r="M110" i="20" s="1"/>
  <c r="I111" i="20"/>
  <c r="M111" i="20" s="1"/>
  <c r="I112" i="20"/>
  <c r="I113" i="20"/>
  <c r="M113" i="20" s="1"/>
  <c r="I114" i="20"/>
  <c r="M114" i="20" s="1"/>
  <c r="L102" i="20"/>
  <c r="L103" i="20"/>
  <c r="L104" i="20"/>
  <c r="L105" i="20"/>
  <c r="L106" i="20"/>
  <c r="L107" i="20"/>
  <c r="L108" i="20"/>
  <c r="L109" i="20"/>
  <c r="L110" i="20"/>
  <c r="L111" i="20"/>
  <c r="L112" i="20"/>
  <c r="M112" i="20"/>
  <c r="L113" i="20"/>
  <c r="L114" i="20"/>
  <c r="L115" i="20"/>
  <c r="M115" i="20"/>
  <c r="L116" i="20"/>
  <c r="M116" i="20"/>
  <c r="G188" i="20"/>
  <c r="D12" i="13" l="1"/>
  <c r="D12" i="14" l="1"/>
  <c r="L56" i="20" l="1"/>
  <c r="F36" i="21" l="1"/>
  <c r="C13" i="1"/>
  <c r="E47" i="14" l="1"/>
  <c r="E46" i="14" l="1"/>
  <c r="E45" i="14"/>
  <c r="E44" i="14"/>
  <c r="C13" i="2" l="1"/>
  <c r="A5" i="2"/>
  <c r="A4" i="2"/>
  <c r="F33" i="21"/>
  <c r="F16" i="21"/>
  <c r="G54" i="20" l="1"/>
  <c r="G118" i="20"/>
  <c r="F187" i="20"/>
  <c r="E187" i="20"/>
  <c r="D187" i="20"/>
  <c r="C187" i="20"/>
  <c r="B187" i="20"/>
  <c r="J118" i="20"/>
  <c r="H118" i="20"/>
  <c r="K117" i="20"/>
  <c r="M117" i="20" s="1"/>
  <c r="F117" i="20"/>
  <c r="E117" i="20"/>
  <c r="D117" i="20"/>
  <c r="C117" i="20"/>
  <c r="B117" i="20"/>
  <c r="L101" i="20"/>
  <c r="I101" i="20"/>
  <c r="M101" i="20" s="1"/>
  <c r="L100" i="20"/>
  <c r="I100" i="20"/>
  <c r="M100" i="20" s="1"/>
  <c r="L99" i="20"/>
  <c r="I99" i="20"/>
  <c r="M99" i="20" s="1"/>
  <c r="L98" i="20"/>
  <c r="I98" i="20"/>
  <c r="M98" i="20" s="1"/>
  <c r="L97" i="20"/>
  <c r="I97" i="20"/>
  <c r="M97" i="20" s="1"/>
  <c r="L96" i="20"/>
  <c r="I96" i="20"/>
  <c r="M96" i="20" s="1"/>
  <c r="L95" i="20"/>
  <c r="I95" i="20"/>
  <c r="M95" i="20" s="1"/>
  <c r="L94" i="20"/>
  <c r="I94" i="20"/>
  <c r="M94" i="20" s="1"/>
  <c r="L93" i="20"/>
  <c r="I93" i="20"/>
  <c r="M93" i="20" s="1"/>
  <c r="L92" i="20"/>
  <c r="I92" i="20"/>
  <c r="M92" i="20" s="1"/>
  <c r="L91" i="20"/>
  <c r="I91" i="20"/>
  <c r="M91" i="20" s="1"/>
  <c r="L90" i="20"/>
  <c r="I90" i="20"/>
  <c r="M90" i="20" s="1"/>
  <c r="L89" i="20"/>
  <c r="I89" i="20"/>
  <c r="M89" i="20" s="1"/>
  <c r="L88" i="20"/>
  <c r="I88" i="20"/>
  <c r="M88" i="20" s="1"/>
  <c r="L87" i="20"/>
  <c r="I87" i="20"/>
  <c r="M87" i="20" s="1"/>
  <c r="L86" i="20"/>
  <c r="I86" i="20"/>
  <c r="M86" i="20" s="1"/>
  <c r="L85" i="20"/>
  <c r="I85" i="20"/>
  <c r="M85" i="20" s="1"/>
  <c r="L84" i="20"/>
  <c r="I84" i="20"/>
  <c r="M84" i="20" s="1"/>
  <c r="L83" i="20"/>
  <c r="I83" i="20"/>
  <c r="M83" i="20" s="1"/>
  <c r="L82" i="20"/>
  <c r="I82" i="20"/>
  <c r="M82" i="20" s="1"/>
  <c r="L81" i="20"/>
  <c r="I81" i="20"/>
  <c r="M81" i="20" s="1"/>
  <c r="L80" i="20"/>
  <c r="I80" i="20"/>
  <c r="M80" i="20" s="1"/>
  <c r="L79" i="20"/>
  <c r="I79" i="20"/>
  <c r="M79" i="20" s="1"/>
  <c r="L78" i="20"/>
  <c r="I78" i="20"/>
  <c r="M78" i="20" s="1"/>
  <c r="L77" i="20"/>
  <c r="I77" i="20"/>
  <c r="M77" i="20" s="1"/>
  <c r="L76" i="20"/>
  <c r="I76" i="20"/>
  <c r="M76" i="20" s="1"/>
  <c r="L75" i="20"/>
  <c r="I75" i="20"/>
  <c r="M75" i="20" s="1"/>
  <c r="L74" i="20"/>
  <c r="I74" i="20"/>
  <c r="M74" i="20" s="1"/>
  <c r="L73" i="20"/>
  <c r="I73" i="20"/>
  <c r="M73" i="20" s="1"/>
  <c r="L72" i="20"/>
  <c r="I72" i="20"/>
  <c r="M72" i="20" s="1"/>
  <c r="L71" i="20"/>
  <c r="I71" i="20"/>
  <c r="M71" i="20" s="1"/>
  <c r="L70" i="20"/>
  <c r="I70" i="20"/>
  <c r="M70" i="20" s="1"/>
  <c r="L69" i="20"/>
  <c r="I69" i="20"/>
  <c r="M69" i="20" s="1"/>
  <c r="L68" i="20"/>
  <c r="I68" i="20"/>
  <c r="M68" i="20" s="1"/>
  <c r="L67" i="20"/>
  <c r="I67" i="20"/>
  <c r="M67" i="20" s="1"/>
  <c r="L66" i="20"/>
  <c r="I66" i="20"/>
  <c r="M66" i="20" s="1"/>
  <c r="L65" i="20"/>
  <c r="I65" i="20"/>
  <c r="M65" i="20" s="1"/>
  <c r="L64" i="20"/>
  <c r="I64" i="20"/>
  <c r="M64" i="20" s="1"/>
  <c r="L63" i="20"/>
  <c r="I63" i="20"/>
  <c r="M63" i="20" s="1"/>
  <c r="L62" i="20"/>
  <c r="I62" i="20"/>
  <c r="M62" i="20" s="1"/>
  <c r="L61" i="20"/>
  <c r="I61" i="20"/>
  <c r="M61" i="20" s="1"/>
  <c r="L60" i="20"/>
  <c r="I60" i="20"/>
  <c r="M60" i="20" s="1"/>
  <c r="L59" i="20"/>
  <c r="I59" i="20"/>
  <c r="M59" i="20" s="1"/>
  <c r="L58" i="20"/>
  <c r="I58" i="20"/>
  <c r="M58" i="20" s="1"/>
  <c r="L57" i="20"/>
  <c r="I57" i="20"/>
  <c r="M57" i="20" s="1"/>
  <c r="I56" i="20"/>
  <c r="K54" i="20"/>
  <c r="M53" i="20"/>
  <c r="J53" i="20"/>
  <c r="L53" i="20" s="1"/>
  <c r="F53" i="20"/>
  <c r="E53" i="20"/>
  <c r="D53" i="20"/>
  <c r="C53" i="20"/>
  <c r="B53" i="20"/>
  <c r="H51" i="20"/>
  <c r="I51" i="20" s="1"/>
  <c r="M51" i="20" s="1"/>
  <c r="H50" i="20"/>
  <c r="I50" i="20" s="1"/>
  <c r="M50" i="20" s="1"/>
  <c r="H49" i="20"/>
  <c r="I49" i="20" s="1"/>
  <c r="M49" i="20" s="1"/>
  <c r="H48" i="20"/>
  <c r="I48" i="20" s="1"/>
  <c r="M48" i="20" s="1"/>
  <c r="H47" i="20"/>
  <c r="I47" i="20" s="1"/>
  <c r="M47" i="20" s="1"/>
  <c r="H46" i="20"/>
  <c r="I46" i="20" s="1"/>
  <c r="M46" i="20" s="1"/>
  <c r="H45" i="20"/>
  <c r="I45" i="20" s="1"/>
  <c r="M45" i="20" s="1"/>
  <c r="H44" i="20"/>
  <c r="I44" i="20" s="1"/>
  <c r="M44" i="20" s="1"/>
  <c r="H43" i="20"/>
  <c r="I43" i="20" s="1"/>
  <c r="M43" i="20" s="1"/>
  <c r="H42" i="20"/>
  <c r="I42" i="20" s="1"/>
  <c r="M42" i="20" s="1"/>
  <c r="H41" i="20"/>
  <c r="I41" i="20" s="1"/>
  <c r="M41" i="20" s="1"/>
  <c r="H40" i="20"/>
  <c r="I40" i="20" s="1"/>
  <c r="M40" i="20" s="1"/>
  <c r="H39" i="20"/>
  <c r="I39" i="20" s="1"/>
  <c r="M39" i="20" s="1"/>
  <c r="H38" i="20"/>
  <c r="I38" i="20" s="1"/>
  <c r="M38" i="20" s="1"/>
  <c r="H37" i="20"/>
  <c r="I37" i="20" s="1"/>
  <c r="M37" i="20" s="1"/>
  <c r="H36" i="20"/>
  <c r="I36" i="20" s="1"/>
  <c r="M36" i="20" s="1"/>
  <c r="H35" i="20"/>
  <c r="I35" i="20" s="1"/>
  <c r="M35" i="20" s="1"/>
  <c r="H34" i="20"/>
  <c r="I34" i="20" s="1"/>
  <c r="M34" i="20" s="1"/>
  <c r="H33" i="20"/>
  <c r="H32" i="20"/>
  <c r="I32" i="20" s="1"/>
  <c r="M32" i="20" s="1"/>
  <c r="H31" i="20"/>
  <c r="I31" i="20" s="1"/>
  <c r="M31" i="20" s="1"/>
  <c r="H30" i="20"/>
  <c r="I30" i="20" s="1"/>
  <c r="M30" i="20" s="1"/>
  <c r="H29" i="20"/>
  <c r="H28" i="20"/>
  <c r="I28" i="20" s="1"/>
  <c r="M28" i="20" s="1"/>
  <c r="H27" i="20"/>
  <c r="I27" i="20" s="1"/>
  <c r="M27" i="20" s="1"/>
  <c r="H26" i="20"/>
  <c r="I26" i="20" s="1"/>
  <c r="M26" i="20" s="1"/>
  <c r="H25" i="20"/>
  <c r="H24" i="20"/>
  <c r="H23" i="20"/>
  <c r="H22" i="20"/>
  <c r="H21" i="20"/>
  <c r="H20" i="20"/>
  <c r="H19" i="20"/>
  <c r="H18" i="20"/>
  <c r="H17" i="20"/>
  <c r="H16" i="20"/>
  <c r="H15" i="20"/>
  <c r="H14" i="20"/>
  <c r="H13" i="20"/>
  <c r="H12" i="20"/>
  <c r="H11" i="20"/>
  <c r="H10" i="20"/>
  <c r="H9" i="20"/>
  <c r="H8" i="20"/>
  <c r="H7" i="20"/>
  <c r="J7" i="20" l="1"/>
  <c r="L7" i="20"/>
  <c r="K56" i="20"/>
  <c r="K118" i="20" s="1"/>
  <c r="G189" i="20"/>
  <c r="L40" i="20"/>
  <c r="L48" i="20"/>
  <c r="L26" i="20"/>
  <c r="L30" i="20"/>
  <c r="L34" i="20"/>
  <c r="L37" i="20"/>
  <c r="L39" i="20"/>
  <c r="L42" i="20"/>
  <c r="L45" i="20"/>
  <c r="L47" i="20"/>
  <c r="L50" i="20"/>
  <c r="L36" i="20"/>
  <c r="L44" i="20"/>
  <c r="L27" i="20"/>
  <c r="L31" i="20"/>
  <c r="L35" i="20"/>
  <c r="L38" i="20"/>
  <c r="L41" i="20"/>
  <c r="L43" i="20"/>
  <c r="L46" i="20"/>
  <c r="L49" i="20"/>
  <c r="L51" i="20"/>
  <c r="L8" i="20"/>
  <c r="I8" i="20"/>
  <c r="M8" i="20" s="1"/>
  <c r="L10" i="20"/>
  <c r="I10" i="20"/>
  <c r="M10" i="20" s="1"/>
  <c r="L12" i="20"/>
  <c r="I12" i="20"/>
  <c r="M12" i="20" s="1"/>
  <c r="L14" i="20"/>
  <c r="I14" i="20"/>
  <c r="M14" i="20" s="1"/>
  <c r="L16" i="20"/>
  <c r="I16" i="20"/>
  <c r="M16" i="20" s="1"/>
  <c r="L18" i="20"/>
  <c r="I18" i="20"/>
  <c r="M18" i="20" s="1"/>
  <c r="L20" i="20"/>
  <c r="I20" i="20"/>
  <c r="M20" i="20" s="1"/>
  <c r="L22" i="20"/>
  <c r="I22" i="20"/>
  <c r="M22" i="20" s="1"/>
  <c r="L24" i="20"/>
  <c r="I24" i="20"/>
  <c r="M24" i="20" s="1"/>
  <c r="H54" i="20"/>
  <c r="I7" i="20"/>
  <c r="M7" i="20" s="1"/>
  <c r="L9" i="20"/>
  <c r="I9" i="20"/>
  <c r="M9" i="20" s="1"/>
  <c r="L11" i="20"/>
  <c r="I11" i="20"/>
  <c r="M11" i="20" s="1"/>
  <c r="L13" i="20"/>
  <c r="I13" i="20"/>
  <c r="M13" i="20" s="1"/>
  <c r="L15" i="20"/>
  <c r="I15" i="20"/>
  <c r="M15" i="20" s="1"/>
  <c r="L17" i="20"/>
  <c r="I17" i="20"/>
  <c r="M17" i="20" s="1"/>
  <c r="L19" i="20"/>
  <c r="I19" i="20"/>
  <c r="M19" i="20" s="1"/>
  <c r="L21" i="20"/>
  <c r="I21" i="20"/>
  <c r="M21" i="20" s="1"/>
  <c r="L23" i="20"/>
  <c r="I23" i="20"/>
  <c r="M23" i="20" s="1"/>
  <c r="I25" i="20"/>
  <c r="M25" i="20" s="1"/>
  <c r="L25" i="20"/>
  <c r="I29" i="20"/>
  <c r="M29" i="20" s="1"/>
  <c r="L29" i="20"/>
  <c r="I33" i="20"/>
  <c r="M33" i="20" s="1"/>
  <c r="L33" i="20"/>
  <c r="I118" i="20"/>
  <c r="J54" i="20"/>
  <c r="L118" i="20"/>
  <c r="L28" i="20"/>
  <c r="L32" i="20"/>
  <c r="M56" i="20" l="1"/>
  <c r="M118" i="20" s="1"/>
  <c r="L54" i="20"/>
  <c r="O54" i="20" s="1"/>
  <c r="I54" i="20"/>
  <c r="M6" i="20"/>
  <c r="M54" i="20" s="1"/>
  <c r="E48" i="14" l="1"/>
  <c r="F18" i="14" s="1"/>
  <c r="F31" i="14"/>
  <c r="F17" i="14"/>
  <c r="F31" i="13"/>
  <c r="F19" i="14" l="1"/>
  <c r="D24" i="14" s="1"/>
  <c r="F21" i="14" l="1"/>
  <c r="D25" i="14"/>
  <c r="D22" i="14"/>
  <c r="F22" i="14" s="1"/>
  <c r="F25" i="14" l="1"/>
  <c r="D26" i="14"/>
  <c r="F26" i="14" s="1"/>
  <c r="F27" i="14" l="1"/>
  <c r="F34" i="14" l="1"/>
  <c r="F35" i="14" s="1"/>
  <c r="F38" i="14" s="1"/>
  <c r="F17" i="13"/>
  <c r="F19" i="13" s="1"/>
  <c r="D13" i="1" l="1"/>
  <c r="F21" i="13"/>
  <c r="D22" i="13"/>
  <c r="F22" i="13" s="1"/>
  <c r="D24" i="13"/>
  <c r="D25" i="13" l="1"/>
  <c r="F25" i="13" s="1"/>
  <c r="D26" i="13" l="1"/>
  <c r="F26" i="13" s="1"/>
  <c r="F27" i="13" s="1"/>
  <c r="F34" i="13" l="1"/>
  <c r="F35" i="13" s="1"/>
  <c r="F38" i="13" s="1"/>
  <c r="D13" i="2" s="1"/>
  <c r="E13" i="2" l="1"/>
  <c r="E13" i="1" l="1"/>
  <c r="I155" i="20" l="1"/>
  <c r="M155" i="20" s="1"/>
  <c r="I171" i="20"/>
  <c r="M171" i="20" s="1"/>
  <c r="I161" i="20"/>
  <c r="M161" i="20" s="1"/>
  <c r="I162" i="20"/>
  <c r="M162" i="20" s="1"/>
  <c r="I156" i="20"/>
  <c r="M156" i="20" s="1"/>
  <c r="I172" i="20"/>
  <c r="M172" i="20" s="1"/>
  <c r="I157" i="20"/>
  <c r="M157" i="20" s="1"/>
  <c r="I185" i="20"/>
  <c r="M185" i="20" s="1"/>
  <c r="I186" i="20"/>
  <c r="M186" i="20" s="1"/>
  <c r="I122" i="20"/>
  <c r="M122" i="20" s="1"/>
  <c r="I129" i="20"/>
  <c r="M129" i="20" s="1"/>
  <c r="I139" i="20"/>
  <c r="M139" i="20" s="1"/>
  <c r="I146" i="20"/>
  <c r="M146" i="20" s="1"/>
  <c r="I135" i="20"/>
  <c r="M135" i="20" s="1"/>
  <c r="I152" i="20"/>
  <c r="M152" i="20" s="1"/>
  <c r="I142" i="20"/>
  <c r="M142" i="20" s="1"/>
  <c r="I151" i="20"/>
  <c r="M151" i="20" s="1"/>
  <c r="I121" i="20"/>
  <c r="M121" i="20" s="1"/>
  <c r="I175" i="20"/>
  <c r="M175" i="20" s="1"/>
  <c r="I170" i="20"/>
  <c r="M170" i="20" s="1"/>
  <c r="I176" i="20"/>
  <c r="M176" i="20" s="1"/>
  <c r="I153" i="20"/>
  <c r="M153" i="20" s="1"/>
  <c r="I145" i="20"/>
  <c r="M145" i="20" s="1"/>
  <c r="I128" i="20"/>
  <c r="M128" i="20" s="1"/>
  <c r="I133" i="20"/>
  <c r="M133" i="20" s="1"/>
  <c r="I138" i="20"/>
  <c r="M138" i="20" s="1"/>
  <c r="I179" i="20"/>
  <c r="M179" i="20" s="1"/>
  <c r="I178" i="20"/>
  <c r="M178" i="20" s="1"/>
  <c r="I180" i="20"/>
  <c r="M180" i="20" s="1"/>
  <c r="I166" i="20"/>
  <c r="M166" i="20" s="1"/>
  <c r="I132" i="20"/>
  <c r="M132" i="20" s="1"/>
  <c r="I137" i="20"/>
  <c r="M137" i="20" s="1"/>
  <c r="I125" i="20"/>
  <c r="M125" i="20" s="1"/>
  <c r="I149" i="20"/>
  <c r="M149" i="20" s="1"/>
  <c r="I144" i="20"/>
  <c r="M144" i="20" s="1"/>
  <c r="I167" i="20"/>
  <c r="M167" i="20" s="1"/>
  <c r="I183" i="20"/>
  <c r="M183" i="20" s="1"/>
  <c r="I154" i="20"/>
  <c r="M154" i="20" s="1"/>
  <c r="I182" i="20"/>
  <c r="M182" i="20" s="1"/>
  <c r="I168" i="20"/>
  <c r="M168" i="20" s="1"/>
  <c r="I184" i="20"/>
  <c r="M184" i="20" s="1"/>
  <c r="I177" i="20"/>
  <c r="M177" i="20" s="1"/>
  <c r="I174" i="20"/>
  <c r="M174" i="20" s="1"/>
  <c r="I127" i="20"/>
  <c r="M127" i="20" s="1"/>
  <c r="I148" i="20"/>
  <c r="M148" i="20" s="1"/>
  <c r="I143" i="20"/>
  <c r="M143" i="20" s="1"/>
  <c r="I150" i="20"/>
  <c r="M150" i="20" s="1"/>
  <c r="I134" i="20"/>
  <c r="M134" i="20" s="1"/>
  <c r="I136" i="20"/>
  <c r="M136" i="20" s="1"/>
  <c r="M3" i="20"/>
  <c r="K3" i="20"/>
  <c r="K187" i="20" s="1"/>
  <c r="M187" i="20" s="1"/>
  <c r="I141" i="20"/>
  <c r="M141" i="20" s="1"/>
  <c r="I159" i="20"/>
  <c r="M159" i="20" s="1"/>
  <c r="I169" i="20"/>
  <c r="M169" i="20" s="1"/>
  <c r="I160" i="20"/>
  <c r="M160" i="20" s="1"/>
  <c r="I165" i="20"/>
  <c r="M165" i="20" s="1"/>
  <c r="I158" i="20"/>
  <c r="M158" i="20" s="1"/>
  <c r="I123" i="20"/>
  <c r="M123" i="20" s="1"/>
  <c r="I140" i="20"/>
  <c r="M140" i="20" s="1"/>
  <c r="I130" i="20"/>
  <c r="M130" i="20" s="1"/>
  <c r="I147" i="20"/>
  <c r="M147" i="20" s="1"/>
  <c r="I163" i="20"/>
  <c r="M163" i="20" s="1"/>
  <c r="I181" i="20"/>
  <c r="M181" i="20" s="1"/>
  <c r="I164" i="20"/>
  <c r="M164" i="20" s="1"/>
  <c r="I173" i="20"/>
  <c r="M173" i="20" s="1"/>
  <c r="I126" i="20"/>
  <c r="M126" i="20" s="1"/>
  <c r="I120" i="20"/>
  <c r="I131" i="20"/>
  <c r="M131" i="20" s="1"/>
  <c r="I124" i="20"/>
  <c r="M124" i="20" s="1"/>
  <c r="H166" i="20"/>
  <c r="L166" i="20" s="1"/>
  <c r="H182" i="20"/>
  <c r="L182" i="20" s="1"/>
  <c r="H172" i="20"/>
  <c r="L172" i="20" s="1"/>
  <c r="H173" i="20"/>
  <c r="L173" i="20" s="1"/>
  <c r="H159" i="20"/>
  <c r="L159" i="20" s="1"/>
  <c r="H175" i="20"/>
  <c r="L175" i="20" s="1"/>
  <c r="H168" i="20"/>
  <c r="L168" i="20" s="1"/>
  <c r="H169" i="20"/>
  <c r="L169" i="20" s="1"/>
  <c r="H145" i="20"/>
  <c r="L145" i="20" s="1"/>
  <c r="H129" i="20"/>
  <c r="L129" i="20" s="1"/>
  <c r="H143" i="20"/>
  <c r="L143" i="20" s="1"/>
  <c r="J3" i="20"/>
  <c r="J187" i="20" s="1"/>
  <c r="L187" i="20" s="1"/>
  <c r="H126" i="20"/>
  <c r="L126" i="20" s="1"/>
  <c r="H144" i="20"/>
  <c r="L144" i="20" s="1"/>
  <c r="H128" i="20"/>
  <c r="L128" i="20" s="1"/>
  <c r="H154" i="20"/>
  <c r="L154" i="20" s="1"/>
  <c r="H186" i="20"/>
  <c r="L186" i="20" s="1"/>
  <c r="H177" i="20"/>
  <c r="L177" i="20" s="1"/>
  <c r="H179" i="20"/>
  <c r="L179" i="20" s="1"/>
  <c r="H181" i="20"/>
  <c r="L181" i="20" s="1"/>
  <c r="H125" i="20"/>
  <c r="L125" i="20" s="1"/>
  <c r="H122" i="20"/>
  <c r="L122" i="20" s="1"/>
  <c r="H124" i="20"/>
  <c r="L124" i="20" s="1"/>
  <c r="H130" i="20"/>
  <c r="L130" i="20" s="1"/>
  <c r="H174" i="20"/>
  <c r="L174" i="20" s="1"/>
  <c r="H157" i="20"/>
  <c r="L157" i="20" s="1"/>
  <c r="H185" i="20"/>
  <c r="L185" i="20" s="1"/>
  <c r="H183" i="20"/>
  <c r="L183" i="20" s="1"/>
  <c r="H153" i="20"/>
  <c r="L153" i="20" s="1"/>
  <c r="H121" i="20"/>
  <c r="L121" i="20" s="1"/>
  <c r="H142" i="20"/>
  <c r="L142" i="20" s="1"/>
  <c r="H152" i="20"/>
  <c r="L152" i="20" s="1"/>
  <c r="H120" i="20"/>
  <c r="H162" i="20"/>
  <c r="L162" i="20" s="1"/>
  <c r="H178" i="20"/>
  <c r="L178" i="20" s="1"/>
  <c r="H164" i="20"/>
  <c r="L164" i="20" s="1"/>
  <c r="H165" i="20"/>
  <c r="L165" i="20" s="1"/>
  <c r="H155" i="20"/>
  <c r="L155" i="20" s="1"/>
  <c r="H171" i="20"/>
  <c r="L171" i="20" s="1"/>
  <c r="H160" i="20"/>
  <c r="L160" i="20" s="1"/>
  <c r="H161" i="20"/>
  <c r="L161" i="20" s="1"/>
  <c r="H149" i="20"/>
  <c r="L149" i="20" s="1"/>
  <c r="H133" i="20"/>
  <c r="L133" i="20" s="1"/>
  <c r="H147" i="20"/>
  <c r="L147" i="20" s="1"/>
  <c r="L3" i="20"/>
  <c r="H134" i="20"/>
  <c r="L134" i="20" s="1"/>
  <c r="H148" i="20"/>
  <c r="L148" i="20" s="1"/>
  <c r="H132" i="20"/>
  <c r="L132" i="20" s="1"/>
  <c r="H151" i="20"/>
  <c r="L151" i="20" s="1"/>
  <c r="H146" i="20"/>
  <c r="L146" i="20" s="1"/>
  <c r="H139" i="20"/>
  <c r="L139" i="20" s="1"/>
  <c r="H138" i="20"/>
  <c r="L138" i="20" s="1"/>
  <c r="H170" i="20"/>
  <c r="L170" i="20" s="1"/>
  <c r="H180" i="20"/>
  <c r="L180" i="20" s="1"/>
  <c r="H163" i="20"/>
  <c r="L163" i="20" s="1"/>
  <c r="H176" i="20"/>
  <c r="L176" i="20" s="1"/>
  <c r="H141" i="20"/>
  <c r="L141" i="20" s="1"/>
  <c r="H135" i="20"/>
  <c r="L135" i="20" s="1"/>
  <c r="H150" i="20"/>
  <c r="L150" i="20" s="1"/>
  <c r="H140" i="20"/>
  <c r="L140" i="20" s="1"/>
  <c r="H131" i="20"/>
  <c r="L131" i="20" s="1"/>
  <c r="H158" i="20"/>
  <c r="L158" i="20" s="1"/>
  <c r="H156" i="20"/>
  <c r="L156" i="20" s="1"/>
  <c r="H167" i="20"/>
  <c r="L167" i="20" s="1"/>
  <c r="H184" i="20"/>
  <c r="L184" i="20" s="1"/>
  <c r="H137" i="20"/>
  <c r="L137" i="20" s="1"/>
  <c r="H127" i="20"/>
  <c r="L127" i="20" s="1"/>
  <c r="H136" i="20"/>
  <c r="L136" i="20" s="1"/>
  <c r="H123" i="20"/>
  <c r="L123" i="20" s="1"/>
  <c r="K120" i="20" l="1"/>
  <c r="K188" i="20" s="1"/>
  <c r="K189" i="20" s="1"/>
  <c r="I188" i="20"/>
  <c r="I189" i="20" s="1"/>
  <c r="C12" i="2" s="1"/>
  <c r="J120" i="20"/>
  <c r="J188" i="20" s="1"/>
  <c r="J189" i="20" s="1"/>
  <c r="H188" i="20"/>
  <c r="H189" i="20" s="1"/>
  <c r="C12" i="1" s="1"/>
  <c r="M120" i="20" l="1"/>
  <c r="M188" i="20" s="1"/>
  <c r="M189" i="20" s="1"/>
  <c r="D12" i="2" s="1"/>
  <c r="E12" i="2" s="1"/>
  <c r="E14" i="2" s="1"/>
  <c r="E16" i="2" s="1"/>
  <c r="C14" i="2"/>
  <c r="C14" i="1"/>
  <c r="L120" i="20"/>
  <c r="L188" i="20" s="1"/>
  <c r="L189" i="20" s="1"/>
  <c r="D12" i="1" s="1"/>
  <c r="D14" i="2" l="1"/>
  <c r="D14" i="1"/>
  <c r="E12" i="1"/>
  <c r="E14" i="1" s="1"/>
  <c r="E16" i="1" s="1"/>
  <c r="E17" i="1" s="1"/>
  <c r="E18" i="1" s="1"/>
  <c r="E17" i="2"/>
  <c r="E18" i="2" s="1"/>
</calcChain>
</file>

<file path=xl/sharedStrings.xml><?xml version="1.0" encoding="utf-8"?>
<sst xmlns="http://schemas.openxmlformats.org/spreadsheetml/2006/main" count="1309" uniqueCount="212">
  <si>
    <t>LINE</t>
  </si>
  <si>
    <t>NO.</t>
  </si>
  <si>
    <t>DESCRIPTION</t>
  </si>
  <si>
    <t>TEST YEAR</t>
  </si>
  <si>
    <t>RESTATED</t>
  </si>
  <si>
    <t>ADJUSTMENT</t>
  </si>
  <si>
    <t>EXCISE TAXES</t>
  </si>
  <si>
    <t>WUTC FILING FEE</t>
  </si>
  <si>
    <t>INCREASE(DECREASE) EXCISE AND WUTC FILING FEE</t>
  </si>
  <si>
    <t xml:space="preserve">INCREASE(DECREASE) OPERATING EXPENSE </t>
  </si>
  <si>
    <t>INCREASE(DECREASE) FIT @</t>
  </si>
  <si>
    <t>INCREASE(DECREASE) NOI</t>
  </si>
  <si>
    <t>Order</t>
  </si>
  <si>
    <t>Posting Date</t>
  </si>
  <si>
    <t>Val.in rep.cur.</t>
  </si>
  <si>
    <t>92800010</t>
  </si>
  <si>
    <t/>
  </si>
  <si>
    <t>92800310</t>
  </si>
  <si>
    <t>Electric</t>
  </si>
  <si>
    <t>Gas</t>
  </si>
  <si>
    <t>Fiscal Year</t>
  </si>
  <si>
    <t>Period</t>
  </si>
  <si>
    <t>Name</t>
  </si>
  <si>
    <t>State Excise Taxes</t>
  </si>
  <si>
    <t>10</t>
  </si>
  <si>
    <t>Accrue Utility Tax on Unbilled Electric Revenue</t>
  </si>
  <si>
    <t>40810002</t>
  </si>
  <si>
    <t>State Excise Tax True-up - Electric</t>
  </si>
  <si>
    <t>State Excise Tax Accrual - Electric</t>
  </si>
  <si>
    <t>11</t>
  </si>
  <si>
    <t>12</t>
  </si>
  <si>
    <t>1</t>
  </si>
  <si>
    <t>2</t>
  </si>
  <si>
    <t>3</t>
  </si>
  <si>
    <t>4</t>
  </si>
  <si>
    <t>5</t>
  </si>
  <si>
    <t>6</t>
  </si>
  <si>
    <t>7</t>
  </si>
  <si>
    <t>8</t>
  </si>
  <si>
    <t>9</t>
  </si>
  <si>
    <t>Accrue Utility Tax on Unbilled Gas Revenue</t>
  </si>
  <si>
    <t>40810302</t>
  </si>
  <si>
    <t>State Excise Tax True-up - Gas</t>
  </si>
  <si>
    <t>State Excise Tax Accrual - Gas</t>
  </si>
  <si>
    <t>Excise Taxes</t>
  </si>
  <si>
    <t>State Excise Tax True-up - Common</t>
  </si>
  <si>
    <t>40810602</t>
  </si>
  <si>
    <t>Accrue City B&amp;O Taxes</t>
  </si>
  <si>
    <t>State Excise Tax Accrual - Common</t>
  </si>
  <si>
    <t>Restating</t>
  </si>
  <si>
    <t>Test Year</t>
  </si>
  <si>
    <t>Adjustments</t>
  </si>
  <si>
    <t>Restated</t>
  </si>
  <si>
    <t>Reason for</t>
  </si>
  <si>
    <t>Adjustment</t>
  </si>
  <si>
    <t>40810002- State Excise Taxes - Electric</t>
  </si>
  <si>
    <t>Account 40810302 State Excise Taxes - Gas</t>
  </si>
  <si>
    <t>Account 40810602 State Excise Taxes - Common</t>
  </si>
  <si>
    <t>Grand Total Excise Tax</t>
  </si>
  <si>
    <t>WASHINGTON UTILITIES AND TRANSPORTATION COMMISSION</t>
  </si>
  <si>
    <t>INVESTOR OWNED ELECTRICAL UTILITY REGULATORY FEE SCHEDULE 1</t>
  </si>
  <si>
    <t>X</t>
  </si>
  <si>
    <t>Ln</t>
  </si>
  <si>
    <t>1.a</t>
  </si>
  <si>
    <t>Total Sales to Ultimate Customers (from WA State Electrical Annual Report, FERC Form 1, Page 300, Line 10) *</t>
  </si>
  <si>
    <t>1.b</t>
  </si>
  <si>
    <t>Check the box to the right if amount on Line 1 above includes unbilled revenue for this annual report year</t>
  </si>
  <si>
    <t>1.c</t>
  </si>
  <si>
    <t>Check the box to the right if amount on Line 1 above does not include unbilled revenue for this annual report year</t>
  </si>
  <si>
    <t>1.d</t>
  </si>
  <si>
    <t>1.e</t>
  </si>
  <si>
    <t xml:space="preserve">Add lines 1.a and 1.e and enter total </t>
  </si>
  <si>
    <t>.</t>
  </si>
  <si>
    <t>Enter total from Schedule 2</t>
  </si>
  <si>
    <t>Total Gross Intrastate Operating Revenue (add Lines 1 and 2)</t>
  </si>
  <si>
    <t>Regulatory Fee Calculations:</t>
  </si>
  <si>
    <t>4.a</t>
  </si>
  <si>
    <t>4a</t>
  </si>
  <si>
    <t>4.b</t>
  </si>
  <si>
    <t>4b</t>
  </si>
  <si>
    <t>x .001 (.1%)      =</t>
  </si>
  <si>
    <t>4.c</t>
  </si>
  <si>
    <t>4c</t>
  </si>
  <si>
    <t>4.d</t>
  </si>
  <si>
    <t>4d</t>
  </si>
  <si>
    <t>4.e</t>
  </si>
  <si>
    <t>Adjustment of Gross Intrastate Operating Revenue (subtract Line 4d from 4c)</t>
  </si>
  <si>
    <t>4e</t>
  </si>
  <si>
    <t xml:space="preserve">x .002 (.2%) = </t>
  </si>
  <si>
    <t>Total Regulatory Fees owed (enter line 4b, or add 4d and 4e)</t>
  </si>
  <si>
    <t>Agency Use Only</t>
  </si>
  <si>
    <t>001-111-02-68-140-01</t>
  </si>
  <si>
    <t>Complete Lines 6 through 9 if filing after May 2</t>
  </si>
  <si>
    <t>Penalties on Regulatory Fees filed after May 2</t>
  </si>
  <si>
    <t>6.a</t>
  </si>
  <si>
    <t>Total Penalties on Regulatory Fees owed - enter amount from line 5</t>
  </si>
  <si>
    <t>6a</t>
  </si>
  <si>
    <t>x .02 (2 %)        =</t>
  </si>
  <si>
    <t>Interest on Regulatory Fees filed after May 31</t>
  </si>
  <si>
    <t>7.a</t>
  </si>
  <si>
    <t>Number of months past May 31</t>
  </si>
  <si>
    <t>7.b</t>
  </si>
  <si>
    <t>Amount from line 5 __________________ x Number of months past May 31 _________ x .01 (1%) =</t>
  </si>
  <si>
    <t>Total Penalties and Interest owed (add lines 6.a and 7.b)</t>
  </si>
  <si>
    <t>001-111-02-68-140-11</t>
  </si>
  <si>
    <t>Total Regulatory, Penalty and Interest Fees Due (add lines 5 and 8)</t>
  </si>
  <si>
    <t>*</t>
  </si>
  <si>
    <t xml:space="preserve">The total of the following FERC Operating Revenue Accounts: 440 - Residential Sales, 442 - Commercial and Industrial Sales, 444 - Public Street and Highway Lighting, 445 - Other Sales to Public Authorities, 446 - Sales to Railroads and Railways and 448- Interdepartmental Sales. </t>
  </si>
  <si>
    <t>**</t>
  </si>
  <si>
    <t>Unbilled revenues not included in the previous year's annual report must be included in this year's report for calculation of the Commission's regulatory fee. The amount must be the same as Line 1.d in the previous year's annual report.</t>
  </si>
  <si>
    <t xml:space="preserve">          (5) 450 - Forfeited Discounts</t>
  </si>
  <si>
    <t xml:space="preserve">          (5) 451 - Electric Misc Service Revenue</t>
  </si>
  <si>
    <t xml:space="preserve">          (5) 454 - Rent For Electric Property</t>
  </si>
  <si>
    <t xml:space="preserve">In accordance with RCW 80.24.010 "Regulatory Fees", the Commission requires Electric companies to file reports of gross intrastate operating revenue and pay fees on that revenue.  Every company subject </t>
  </si>
  <si>
    <t xml:space="preserve">to regulation shall file with the Commission a statement under oath showing its gross intrastate operating revenue from operations for the preceding year and pay to the Commission a fee as instructed below. </t>
  </si>
  <si>
    <t xml:space="preserve">WAC 480-100-252 (2) requires that each utility must also submit to this commission, in essentially the same format and content as the FERC Form No. 1, a report that documents the costs incurred and the </t>
  </si>
  <si>
    <t xml:space="preserve">property necessary to furnish utility service to its customers and the revenues obtained in the state of Washington. Data entry by the Company, as instructed by Schedule 1 below, is restricted to Lines </t>
  </si>
  <si>
    <t>1.a, 1.b, 1.c, 1.d, 1.e, 6.a and 7.a (highlighted in blue) and Schedule 2, Columns A, B and C (separate worksheet).  When completed, the Company must file both Reg. Fee Schedule 1 and Schedule 2.</t>
  </si>
  <si>
    <t>Company:  Puget Sound Energy</t>
  </si>
  <si>
    <r>
      <t xml:space="preserve">If line 3 is </t>
    </r>
    <r>
      <rPr>
        <b/>
        <sz val="11"/>
        <color theme="1"/>
        <rFont val="Calibri"/>
        <family val="2"/>
        <scheme val="minor"/>
      </rPr>
      <t>UNDER</t>
    </r>
    <r>
      <rPr>
        <sz val="11"/>
        <color theme="1"/>
        <rFont val="Calibri"/>
        <family val="2"/>
        <scheme val="minor"/>
      </rPr>
      <t xml:space="preserve"> $20,000, Enter </t>
    </r>
    <r>
      <rPr>
        <b/>
        <sz val="11"/>
        <color theme="1"/>
        <rFont val="Calibri"/>
        <family val="2"/>
        <scheme val="minor"/>
      </rPr>
      <t>ZERO</t>
    </r>
    <r>
      <rPr>
        <sz val="11"/>
        <color theme="1"/>
        <rFont val="Calibri"/>
        <family val="2"/>
        <scheme val="minor"/>
      </rPr>
      <t xml:space="preserve"> (Filing </t>
    </r>
    <r>
      <rPr>
        <b/>
        <sz val="11"/>
        <color theme="1"/>
        <rFont val="Calibri"/>
        <family val="2"/>
      </rPr>
      <t>ZERO</t>
    </r>
    <r>
      <rPr>
        <sz val="11"/>
        <color theme="1"/>
        <rFont val="Calibri"/>
        <family val="2"/>
        <scheme val="minor"/>
      </rPr>
      <t xml:space="preserve"> indicates schedule is complete)</t>
    </r>
  </si>
  <si>
    <r>
      <t xml:space="preserve">If line 3 is </t>
    </r>
    <r>
      <rPr>
        <b/>
        <sz val="11"/>
        <color theme="1"/>
        <rFont val="Calibri"/>
        <family val="2"/>
      </rPr>
      <t>BETWEEN</t>
    </r>
    <r>
      <rPr>
        <sz val="11"/>
        <color theme="1"/>
        <rFont val="Calibri"/>
        <family val="2"/>
        <scheme val="minor"/>
      </rPr>
      <t xml:space="preserve"> $20,000 and $50,000-enter amount from line 3</t>
    </r>
  </si>
  <si>
    <r>
      <t xml:space="preserve">(Filing </t>
    </r>
    <r>
      <rPr>
        <b/>
        <sz val="11"/>
        <color theme="1"/>
        <rFont val="Calibri"/>
        <family val="2"/>
      </rPr>
      <t>BETWEEN</t>
    </r>
    <r>
      <rPr>
        <sz val="11"/>
        <color theme="1"/>
        <rFont val="Calibri"/>
        <family val="2"/>
        <scheme val="minor"/>
      </rPr>
      <t xml:space="preserve"> $20,000 and $50,000 indicates schedule is complete.  If filing after May 1st go to Line 6)</t>
    </r>
  </si>
  <si>
    <r>
      <t xml:space="preserve">If line 3 is </t>
    </r>
    <r>
      <rPr>
        <b/>
        <sz val="11"/>
        <color theme="1"/>
        <rFont val="Calibri"/>
        <family val="2"/>
      </rPr>
      <t>OVER</t>
    </r>
    <r>
      <rPr>
        <sz val="11"/>
        <color theme="1"/>
        <rFont val="Calibri"/>
        <family val="2"/>
        <scheme val="minor"/>
      </rPr>
      <t xml:space="preserve"> $50,000-enter amount from line 3</t>
    </r>
  </si>
  <si>
    <r>
      <rPr>
        <b/>
        <sz val="11"/>
        <color theme="1"/>
        <rFont val="Calibri"/>
        <family val="2"/>
      </rPr>
      <t>First</t>
    </r>
    <r>
      <rPr>
        <sz val="11"/>
        <color theme="1"/>
        <rFont val="Calibri"/>
        <family val="2"/>
        <scheme val="minor"/>
      </rPr>
      <t xml:space="preserve"> $50,000 is subject to .1% regulatory fee</t>
    </r>
  </si>
  <si>
    <r>
      <t xml:space="preserve">     If box in 1.c has been checked, enter unbilled revenue amount  for </t>
    </r>
    <r>
      <rPr>
        <b/>
        <u/>
        <sz val="11"/>
        <color theme="1"/>
        <rFont val="Calibri"/>
        <family val="2"/>
      </rPr>
      <t>this annual report year</t>
    </r>
  </si>
  <si>
    <r>
      <t xml:space="preserve">     If box in 1.c has been checked, enter unbilled revenue amount  for the </t>
    </r>
    <r>
      <rPr>
        <b/>
        <u/>
        <sz val="11"/>
        <color theme="1"/>
        <rFont val="Calibri"/>
        <family val="2"/>
      </rPr>
      <t>last annual report year**</t>
    </r>
  </si>
  <si>
    <t>(see components of below)</t>
  </si>
  <si>
    <t>Components of Line 2 "Other Operating Revenue"</t>
  </si>
  <si>
    <t xml:space="preserve">               Grand Total Other Operation Revenue on Line 2 Above</t>
  </si>
  <si>
    <t xml:space="preserve">  Pages:                      0</t>
  </si>
  <si>
    <t>45600026  INTOLIGHT Service Revenue</t>
  </si>
  <si>
    <t>45600028  4210 DBU-Other Electric Revenues</t>
  </si>
  <si>
    <t>45600073  3545 - Green Energy Option</t>
  </si>
  <si>
    <t>45600080  Othr Elect Rev - Sale of Non-Core Gas</t>
  </si>
  <si>
    <t>45600081  Othr Elect Rev - Cost Non-Core Gas sold</t>
  </si>
  <si>
    <t>45600082  Oth Elec Rev- Cedar Hills Facility Fee</t>
  </si>
  <si>
    <t>45600088  1143 - Other Electric Rev -Summit Buyout</t>
  </si>
  <si>
    <t>45600089  1143 - REC Revenue per Tariff Schedule-E</t>
  </si>
  <si>
    <t>45600160  5019 - Sumas DeMinrlzd  H2O Sale - Socco</t>
  </si>
  <si>
    <t>45600321  9900-Electric Residential Decoupling Rev</t>
  </si>
  <si>
    <t>45600322  9900 - Electric ROR Accrual-Residential</t>
  </si>
  <si>
    <t>45600325  Electric Schedule 26 Decoupling Revenue</t>
  </si>
  <si>
    <t>45600326  Electric Schedule 31 Decoupling Revenue</t>
  </si>
  <si>
    <t>45600329  9900 - Other Elec Rev - QRE Annual Fees</t>
  </si>
  <si>
    <t>45600330  9900 - Electric ROR Accrual-Industrial</t>
  </si>
  <si>
    <t>45600332  9900 - Electric ROR Refund-Commercial</t>
  </si>
  <si>
    <t>45600335  Amort of Sch 142 Electric Sch26 in Rates</t>
  </si>
  <si>
    <t>45600336  Amort of Sch 142 Electric Sch31 in Rates</t>
  </si>
  <si>
    <t>45600337  9900 - Electric ROR Refund-Industrial</t>
  </si>
  <si>
    <t>45600338  9900 - Electric ROR Accrual-Commercial</t>
  </si>
  <si>
    <t>45600351  9900-Lifetime O&amp;M Revenue - Elec</t>
  </si>
  <si>
    <t>45600361  9900-Amort of Sch 142 Elec Resid in rate</t>
  </si>
  <si>
    <t>45600371  9900-Amort of Sch 142 Ele NonRes in rate</t>
  </si>
  <si>
    <t>45600381  9900 - Electric ROR Refund-Residential</t>
  </si>
  <si>
    <t xml:space="preserve">          Order group 456</t>
  </si>
  <si>
    <t xml:space="preserve">In accordance with RCW 80.24.010 "Regulatory Fees", the Commission requires Gas companies to file reports of gross intrastate operating revenue and pay fees on that revenue.  Every company subject to </t>
  </si>
  <si>
    <t xml:space="preserve">regulation shall file with the Commission a statement under oath showing its gross intrastate operating revenue from operations for the preceding year and pay to the Commission a fee as instructed below. </t>
  </si>
  <si>
    <t xml:space="preserve">WAC 480-90-252 (2) requires that each utility must also submit to this commission, in essentially the same format and content as the FERC Form No. 2, a report that documents the costs incurred and the property </t>
  </si>
  <si>
    <t>1.a, 1.b, 1.c, 1.d, 1.e, 6.a and 7.a (highlighted in blue below) and Schedule 2, Columns A, B and C (separate worksheet). When completed, the Company must file both Reg. Fee Schedule 1 and Schedule 2.</t>
  </si>
  <si>
    <t>Total Sales to Ultimate Customers (from WA State Gas Annual Report, FERC Form 2, Page 300, Line 21, Column (h)) *</t>
  </si>
  <si>
    <t>Enter total from Schedule 2; Non-Fee Paying Revenue</t>
  </si>
  <si>
    <t>Total Regulatory, Penalty and Interest Fees Due (add lines 4b, 5 and 8)</t>
  </si>
  <si>
    <t>The total of the following FERC Gas Operating Revenue Accounts: 480 Residential Sales, 481 Commercial and Industrial Sales, 482 Other Sales to Public Authorities, 483 Sales for Resale, 484 Interdepartmental Sales, 485 lntracompany Transfers, 487 Forfeited Discounts, 488 Miscellaneous Service Revenues, 489.1 Revenues from Transportation of Gas of Others Through Gathering Facilities, 489.2 Revenues from Transportation of Gas of Others Through Transmission Facilities, 489.3 Revenues from Transportation of Gas of Others Through Distribution Facilities, 489.4 Revenues from Storing Gas of Others, 490 Sales of Prod. Ext. from Natural Gas, 491 Revenues from Natural Gas Proc. by Others, 492 Incidental Gasoline and Oil Sales, 493 Rent from Gas Property, 494 Interdepartmental Rents, 495 Other Gas Revenues and 496 (Less) Provision for Rate Refunds.</t>
  </si>
  <si>
    <t>INVESTOR OWNED GAS UTILITY REGULATORY FEE CALCULATION SCHEDULE 1</t>
  </si>
  <si>
    <t>PUGET SOUND ENERGY-ELECTRIC</t>
  </si>
  <si>
    <t>WUTC FILING FEE &amp; EXCISE TAX</t>
  </si>
  <si>
    <t>PUGET SOUND ENERGY-GAS</t>
  </si>
  <si>
    <t>CO object name</t>
  </si>
  <si>
    <t>&lt;= Need to Add Back</t>
  </si>
  <si>
    <t>Accrue Wutc Electric Utility Fee</t>
  </si>
  <si>
    <t>Accrue Wutc Gas Utility Fee</t>
  </si>
  <si>
    <t>Act. Costs</t>
  </si>
  <si>
    <t>45600102  E Decoup Rev Sch 8 &amp; 24</t>
  </si>
  <si>
    <t>45600103  E Decoup Rev Sch 7A, 11, 25, 29, 35 &amp; 43</t>
  </si>
  <si>
    <t>45600104  E Decoup Rev Sch 40</t>
  </si>
  <si>
    <t>45600105  E Decoup Rev Sch 7 FPC</t>
  </si>
  <si>
    <t>45600106  E Decoup Rev Sch 8 &amp; 24 FPC</t>
  </si>
  <si>
    <t>45600107  E Dcp Rev Sc 7A, 11, 25, 29, 35 &amp; 43 FPC</t>
  </si>
  <si>
    <t>45600108  E Decoup Rev Sch 40 FPC</t>
  </si>
  <si>
    <t>45600109  E Decoup Rev Sch 12 &amp; 26 FPC</t>
  </si>
  <si>
    <t>45600110  E Decoup Rev Sch 10 &amp; 31 FPC</t>
  </si>
  <si>
    <t>45600139  E Decoup Amort of Sch 142 - Sch 8 &amp; 24</t>
  </si>
  <si>
    <t>45600141  E Dcp Amort Sch 142-Sc 7A,11,25,29,35,43</t>
  </si>
  <si>
    <t>45600142  E Decoup Amort of Sch 142 - Sch 40 in Ra</t>
  </si>
  <si>
    <t>45600147  E FPC Decoup Amort Sch 142 - Sch 12 &amp; 26</t>
  </si>
  <si>
    <t>45600149  E Decoup Amort Sch 142 - Sch 46 &amp; 49 in</t>
  </si>
  <si>
    <t>2018</t>
  </si>
  <si>
    <t>TINGTING LU X 3438</t>
  </si>
  <si>
    <t>STATE USE TAX RATE ON ALL GAS USE</t>
  </si>
  <si>
    <t>WA DEPT. OF REVENUE||||||-Park,Monica</t>
  </si>
  <si>
    <t>OPC WA DEPT. OF REVENUE||-Park,Monica</t>
  </si>
  <si>
    <t>REI MATTHEW BENDER &amp;CO|||-Park,Monica</t>
  </si>
  <si>
    <t>FOR THE TWELVE MONTHS ENDED DEC 31, 2018</t>
  </si>
  <si>
    <t>DECEMBER 2018 CBR</t>
  </si>
  <si>
    <t>Ref 3.09E</t>
  </si>
  <si>
    <t>Ref 3.09G</t>
  </si>
  <si>
    <t>2.  Add True-ups related to December 2018 (reported in January 2019)</t>
  </si>
  <si>
    <t xml:space="preserve">1.  Remove True-ups related to Dec 2017 (reported in Jan 2018) </t>
  </si>
  <si>
    <t xml:space="preserve">  ZO12                      Orders: Actual 12 Month Ended 12-2018</t>
  </si>
  <si>
    <t xml:space="preserve">  Date:                     01/28/2019</t>
  </si>
  <si>
    <t>Orders</t>
  </si>
  <si>
    <t>45600077  3515- Other Revenue- Wireless</t>
  </si>
  <si>
    <t>45600078  Other Elect Revenue-Maintenance Contract</t>
  </si>
  <si>
    <t>45600143  E FPC Decoup Amort Sch 142  - Sch 7 in R</t>
  </si>
  <si>
    <t>45600144  E FPC Decoup Amort Sch 142 - Sch 8 &amp; 24</t>
  </si>
  <si>
    <t>45600146  E FPC Decoup Amort Sch 142 - Sch 40 in R</t>
  </si>
  <si>
    <t>45600148  E FPC Decoup Amort Sch 142 - Sch 10 &amp; 31</t>
  </si>
  <si>
    <t>45600151  E FPC Decoup Amort Sch 142 - Sch 46&amp;49</t>
  </si>
  <si>
    <t>45600154  24M GAAP - E Non-Res Sch 40</t>
  </si>
  <si>
    <t>45600382  3515 - Wireline Non-Rent Revenue</t>
  </si>
  <si>
    <t>45600383  3515 - Street Light Non-Reg Revenue</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</si>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</sst>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_);[Red]\(#,##0\);&quot; &quot;"/>
    <numFmt numFmtId="167" formatCode="_(* #,##0.000_);_(* \(#,##0.000\);_(* &quot;-&quot;??_);_(@_)"/>
  </numFmts>
  <fonts count="21" x14ac:knownFonts="1">
    <font>
      <sz val="11"/>
      <color theme="1"/>
      <name val="Calibri"/>
      <family val="2"/>
      <scheme val="minor"/>
    </font>
    <font>
      <sz val="11"/>
      <color theme="1"/>
      <name val="Calibri"/>
      <family val="2"/>
      <scheme val="minor"/>
    </font>
    <font>
      <sz val="10"/>
      <name val="Arial"/>
      <family val="2"/>
    </font>
    <font>
      <sz val="10"/>
      <name val="Times New Roman"/>
      <family val="1"/>
    </font>
    <font>
      <b/>
      <sz val="10"/>
      <name val="Times New Roman"/>
      <family val="1"/>
    </font>
    <font>
      <sz val="11"/>
      <name val="Arial"/>
      <family val="2"/>
    </font>
    <font>
      <sz val="11"/>
      <name val="Times New Roman"/>
      <family val="1"/>
    </font>
    <font>
      <sz val="10"/>
      <name val="Arial"/>
      <family val="2"/>
    </font>
    <font>
      <b/>
      <u/>
      <sz val="10"/>
      <name val="Arial"/>
      <family val="2"/>
    </font>
    <font>
      <b/>
      <u/>
      <sz val="10"/>
      <color theme="1"/>
      <name val="Arial"/>
      <family val="2"/>
    </font>
    <font>
      <b/>
      <sz val="10"/>
      <name val="Arial"/>
      <family val="2"/>
    </font>
    <font>
      <sz val="9"/>
      <name val="Arial"/>
      <family val="2"/>
    </font>
    <font>
      <sz val="8"/>
      <name val="Arial"/>
      <family val="2"/>
    </font>
    <font>
      <sz val="7.5"/>
      <name val="Arial"/>
      <family val="2"/>
    </font>
    <font>
      <u/>
      <sz val="10"/>
      <color indexed="12"/>
      <name val="Arial"/>
      <family val="2"/>
    </font>
    <font>
      <sz val="9"/>
      <color theme="1"/>
      <name val="Arial"/>
      <family val="2"/>
    </font>
    <font>
      <b/>
      <sz val="11"/>
      <color theme="1"/>
      <name val="Calibri"/>
      <family val="2"/>
      <scheme val="minor"/>
    </font>
    <font>
      <b/>
      <sz val="11"/>
      <color theme="1"/>
      <name val="Calibri"/>
      <family val="2"/>
    </font>
    <font>
      <b/>
      <u/>
      <sz val="11"/>
      <color theme="1"/>
      <name val="Calibri"/>
      <family val="2"/>
    </font>
    <font>
      <sz val="10"/>
      <name val="Arial"/>
      <family val="2"/>
    </font>
    <font>
      <b/>
      <sz val="10"/>
      <color rgb="FFFF0000"/>
      <name val="Arial"/>
      <family val="2"/>
    </font>
  </fonts>
  <fills count="3">
    <fill>
      <patternFill patternType="none"/>
    </fill>
    <fill>
      <patternFill patternType="gray125"/>
    </fill>
    <fill>
      <patternFill patternType="solid">
        <fgColor indexed="22"/>
        <bgColor indexed="64"/>
      </patternFill>
    </fill>
  </fills>
  <borders count="26">
    <border>
      <left/>
      <right/>
      <top/>
      <bottom/>
      <diagonal/>
    </border>
    <border>
      <left style="thick">
        <color indexed="64"/>
      </left>
      <right style="thick">
        <color indexed="64"/>
      </right>
      <top style="thick">
        <color indexed="64"/>
      </top>
      <bottom style="thick">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7" fillId="0" borderId="0"/>
    <xf numFmtId="43" fontId="7" fillId="0" borderId="0" applyFont="0" applyFill="0" applyBorder="0" applyAlignment="0" applyProtection="0"/>
    <xf numFmtId="0" fontId="2" fillId="0" borderId="0"/>
    <xf numFmtId="0" fontId="7" fillId="0" borderId="0"/>
    <xf numFmtId="44" fontId="1" fillId="0" borderId="0" applyFont="0" applyFill="0" applyBorder="0" applyAlignment="0" applyProtection="0"/>
    <xf numFmtId="44" fontId="2" fillId="0" borderId="0" applyFont="0" applyFill="0" applyBorder="0" applyAlignment="0" applyProtection="0"/>
    <xf numFmtId="0" fontId="14" fillId="0" borderId="0" applyNumberFormat="0" applyFill="0" applyBorder="0" applyAlignment="0" applyProtection="0">
      <alignment vertical="top"/>
      <protection locked="0"/>
    </xf>
    <xf numFmtId="0" fontId="1" fillId="0" borderId="0"/>
    <xf numFmtId="9" fontId="2" fillId="0" borderId="0" applyFont="0" applyFill="0" applyBorder="0" applyAlignment="0" applyProtection="0"/>
    <xf numFmtId="0" fontId="5" fillId="0" borderId="0"/>
    <xf numFmtId="0" fontId="19" fillId="0" borderId="0"/>
  </cellStyleXfs>
  <cellXfs count="176">
    <xf numFmtId="0" fontId="0" fillId="0" borderId="0" xfId="0"/>
    <xf numFmtId="3" fontId="3" fillId="0" borderId="0" xfId="1" applyNumberFormat="1" applyFont="1" applyFill="1" applyBorder="1" applyAlignment="1"/>
    <xf numFmtId="41" fontId="3" fillId="0" borderId="0" xfId="0" applyNumberFormat="1" applyFont="1" applyFill="1" applyBorder="1"/>
    <xf numFmtId="0" fontId="3" fillId="0" borderId="0" xfId="0" applyFont="1" applyFill="1" applyBorder="1" applyAlignment="1"/>
    <xf numFmtId="0" fontId="5" fillId="0" borderId="0" xfId="0" applyFont="1" applyFill="1" applyBorder="1"/>
    <xf numFmtId="0" fontId="4" fillId="0" borderId="0" xfId="0" applyFont="1" applyFill="1" applyBorder="1" applyAlignment="1"/>
    <xf numFmtId="0" fontId="6" fillId="0" borderId="0" xfId="0" applyFont="1" applyFill="1" applyBorder="1"/>
    <xf numFmtId="0" fontId="4" fillId="0" borderId="1" xfId="0" applyFont="1" applyFill="1" applyBorder="1" applyAlignment="1">
      <alignment horizontal="right"/>
    </xf>
    <xf numFmtId="42" fontId="3" fillId="0" borderId="0" xfId="0" applyNumberFormat="1" applyFont="1" applyFill="1" applyBorder="1"/>
    <xf numFmtId="0" fontId="4" fillId="0" borderId="0" xfId="0" applyFont="1" applyFill="1" applyBorder="1" applyAlignment="1">
      <alignment horizontal="centerContinuous" vertical="center" wrapText="1"/>
    </xf>
    <xf numFmtId="0" fontId="4" fillId="0" borderId="0" xfId="0" applyFont="1" applyFill="1" applyBorder="1" applyAlignment="1" applyProtection="1">
      <protection locked="0"/>
    </xf>
    <xf numFmtId="0" fontId="4" fillId="0" borderId="0" xfId="0" applyFont="1" applyFill="1" applyBorder="1" applyAlignment="1">
      <alignment horizontal="center"/>
    </xf>
    <xf numFmtId="41" fontId="4" fillId="0" borderId="0" xfId="0" applyNumberFormat="1" applyFont="1" applyFill="1" applyBorder="1" applyAlignment="1">
      <alignment horizontal="center"/>
    </xf>
    <xf numFmtId="0" fontId="4" fillId="0" borderId="2" xfId="0" applyFont="1" applyFill="1" applyBorder="1" applyAlignment="1">
      <alignment horizontal="center"/>
    </xf>
    <xf numFmtId="0" fontId="4" fillId="0" borderId="2" xfId="0" applyFont="1" applyFill="1" applyBorder="1" applyAlignment="1" applyProtection="1">
      <protection locked="0"/>
    </xf>
    <xf numFmtId="41" fontId="4" fillId="0" borderId="2" xfId="0" applyNumberFormat="1" applyFont="1" applyFill="1" applyBorder="1" applyAlignment="1">
      <alignment horizontal="center"/>
    </xf>
    <xf numFmtId="0" fontId="3" fillId="0" borderId="0" xfId="0" applyFont="1" applyFill="1" applyBorder="1"/>
    <xf numFmtId="0" fontId="3" fillId="0" borderId="0" xfId="0" applyFont="1" applyFill="1" applyBorder="1" applyAlignment="1">
      <alignment horizontal="center"/>
    </xf>
    <xf numFmtId="0" fontId="3" fillId="0" borderId="0" xfId="2" applyNumberFormat="1" applyFont="1" applyFill="1" applyBorder="1" applyAlignment="1" applyProtection="1">
      <protection locked="0"/>
    </xf>
    <xf numFmtId="164" fontId="3" fillId="0" borderId="0" xfId="0" applyNumberFormat="1" applyFont="1" applyFill="1" applyBorder="1"/>
    <xf numFmtId="0" fontId="3" fillId="0" borderId="0" xfId="0" applyNumberFormat="1" applyFont="1" applyFill="1" applyBorder="1" applyAlignment="1" applyProtection="1">
      <protection locked="0"/>
    </xf>
    <xf numFmtId="164" fontId="3" fillId="0" borderId="2" xfId="0" applyNumberFormat="1" applyFont="1" applyFill="1" applyBorder="1"/>
    <xf numFmtId="41" fontId="3" fillId="0" borderId="0" xfId="2" applyNumberFormat="1" applyFont="1" applyFill="1" applyBorder="1" applyProtection="1">
      <protection locked="0"/>
    </xf>
    <xf numFmtId="164" fontId="6" fillId="0" borderId="0" xfId="0" applyNumberFormat="1" applyFont="1" applyFill="1" applyBorder="1"/>
    <xf numFmtId="0" fontId="3" fillId="0" borderId="0" xfId="0" applyFont="1" applyFill="1" applyBorder="1" applyAlignment="1">
      <alignment horizontal="left"/>
    </xf>
    <xf numFmtId="41" fontId="3" fillId="0" borderId="0" xfId="0" applyNumberFormat="1" applyFont="1" applyFill="1" applyBorder="1" applyAlignment="1"/>
    <xf numFmtId="9" fontId="3" fillId="0" borderId="0" xfId="0" applyNumberFormat="1" applyFont="1" applyFill="1" applyBorder="1" applyAlignment="1">
      <alignment horizontal="center"/>
    </xf>
    <xf numFmtId="41" fontId="3" fillId="0" borderId="0" xfId="0" applyNumberFormat="1" applyFont="1" applyFill="1" applyBorder="1" applyAlignment="1" applyProtection="1">
      <protection locked="0"/>
    </xf>
    <xf numFmtId="42" fontId="3" fillId="0" borderId="3" xfId="0" applyNumberFormat="1" applyFont="1" applyFill="1" applyBorder="1" applyAlignment="1"/>
    <xf numFmtId="0" fontId="0" fillId="0" borderId="0" xfId="0" applyFill="1"/>
    <xf numFmtId="0" fontId="0" fillId="0" borderId="0" xfId="0" applyFill="1" applyAlignment="1">
      <alignment vertical="top"/>
    </xf>
    <xf numFmtId="43" fontId="0" fillId="0" borderId="0" xfId="1" applyFont="1" applyFill="1" applyAlignment="1">
      <alignment vertical="top"/>
    </xf>
    <xf numFmtId="0" fontId="7" fillId="0" borderId="0" xfId="9" applyFill="1" applyBorder="1" applyAlignment="1">
      <alignment vertical="top"/>
    </xf>
    <xf numFmtId="43" fontId="0" fillId="0" borderId="0" xfId="10" applyFont="1" applyFill="1" applyBorder="1" applyAlignment="1">
      <alignment vertical="top"/>
    </xf>
    <xf numFmtId="0" fontId="10" fillId="0" borderId="0" xfId="12" applyFont="1" applyFill="1" applyBorder="1"/>
    <xf numFmtId="14" fontId="10" fillId="0" borderId="0" xfId="12" applyNumberFormat="1" applyFont="1" applyFill="1" applyBorder="1" applyAlignment="1">
      <alignment horizontal="right"/>
    </xf>
    <xf numFmtId="0" fontId="7" fillId="0" borderId="0" xfId="9" applyFill="1" applyAlignment="1">
      <alignment vertical="top"/>
    </xf>
    <xf numFmtId="43" fontId="0" fillId="0" borderId="0" xfId="10" applyFont="1" applyFill="1" applyAlignment="1">
      <alignment vertical="top"/>
    </xf>
    <xf numFmtId="43" fontId="2" fillId="0" borderId="5" xfId="1" applyFont="1" applyFill="1" applyBorder="1"/>
    <xf numFmtId="43" fontId="2" fillId="0" borderId="6" xfId="1" applyFont="1" applyFill="1" applyBorder="1"/>
    <xf numFmtId="43" fontId="2" fillId="0" borderId="5" xfId="1" applyFont="1" applyFill="1" applyBorder="1" applyAlignment="1">
      <alignment horizontal="centerContinuous"/>
    </xf>
    <xf numFmtId="43" fontId="2" fillId="0" borderId="6" xfId="1" applyFont="1" applyFill="1" applyBorder="1" applyAlignment="1">
      <alignment horizontal="centerContinuous"/>
    </xf>
    <xf numFmtId="43" fontId="2" fillId="0" borderId="5" xfId="1" applyFont="1" applyFill="1" applyBorder="1" applyAlignment="1">
      <alignment horizontal="left"/>
    </xf>
    <xf numFmtId="0" fontId="2" fillId="0" borderId="0" xfId="11" applyFont="1" applyFill="1"/>
    <xf numFmtId="43" fontId="2" fillId="0" borderId="7" xfId="1" applyFont="1" applyFill="1" applyBorder="1" applyAlignment="1">
      <alignment horizontal="centerContinuous"/>
    </xf>
    <xf numFmtId="43" fontId="2" fillId="0" borderId="8" xfId="1" applyFont="1" applyFill="1" applyBorder="1" applyAlignment="1">
      <alignment horizontal="centerContinuous"/>
    </xf>
    <xf numFmtId="0" fontId="7" fillId="0" borderId="4" xfId="9" applyFill="1" applyBorder="1" applyAlignment="1">
      <alignment vertical="top"/>
    </xf>
    <xf numFmtId="43" fontId="0" fillId="0" borderId="4" xfId="10" applyFont="1" applyFill="1" applyBorder="1" applyAlignment="1">
      <alignment vertical="top"/>
    </xf>
    <xf numFmtId="10" fontId="2" fillId="0" borderId="9" xfId="8" applyNumberFormat="1" applyFont="1" applyFill="1" applyBorder="1" applyAlignment="1">
      <alignment horizontal="center"/>
    </xf>
    <xf numFmtId="10" fontId="2" fillId="0" borderId="10" xfId="8" applyNumberFormat="1" applyFont="1" applyFill="1" applyBorder="1" applyAlignment="1">
      <alignment horizontal="center"/>
    </xf>
    <xf numFmtId="0" fontId="8" fillId="0" borderId="0" xfId="12" applyFont="1" applyFill="1"/>
    <xf numFmtId="0" fontId="2" fillId="0" borderId="0" xfId="12" applyFont="1" applyFill="1"/>
    <xf numFmtId="14" fontId="7" fillId="0" borderId="0" xfId="9" applyNumberFormat="1" applyFill="1" applyAlignment="1">
      <alignment horizontal="right" vertical="top"/>
    </xf>
    <xf numFmtId="43" fontId="0" fillId="0" borderId="0" xfId="10" applyFont="1" applyFill="1" applyAlignment="1">
      <alignment horizontal="right" vertical="top"/>
    </xf>
    <xf numFmtId="0" fontId="9" fillId="0" borderId="0" xfId="0" applyFont="1" applyFill="1"/>
    <xf numFmtId="0" fontId="10" fillId="0" borderId="0" xfId="12" applyFont="1" applyFill="1"/>
    <xf numFmtId="10" fontId="2" fillId="0" borderId="12" xfId="8" applyNumberFormat="1" applyFont="1" applyFill="1" applyBorder="1" applyAlignment="1">
      <alignment horizontal="center"/>
    </xf>
    <xf numFmtId="43" fontId="2" fillId="0" borderId="0" xfId="1" applyFont="1" applyFill="1" applyBorder="1" applyAlignment="1">
      <alignment horizontal="center"/>
    </xf>
    <xf numFmtId="0" fontId="2" fillId="0" borderId="13" xfId="11" applyFont="1" applyFill="1" applyBorder="1" applyAlignment="1">
      <alignment horizontal="center"/>
    </xf>
    <xf numFmtId="43" fontId="2" fillId="0" borderId="14" xfId="1" applyFont="1" applyFill="1" applyBorder="1" applyAlignment="1">
      <alignment horizontal="center"/>
    </xf>
    <xf numFmtId="43" fontId="7" fillId="0" borderId="15" xfId="9" applyNumberFormat="1" applyFill="1" applyBorder="1" applyAlignment="1">
      <alignment vertical="top"/>
    </xf>
    <xf numFmtId="0" fontId="7" fillId="0" borderId="11" xfId="9" applyFill="1" applyBorder="1" applyAlignment="1">
      <alignment vertical="top"/>
    </xf>
    <xf numFmtId="0" fontId="7" fillId="0" borderId="15" xfId="9" applyFill="1" applyBorder="1" applyAlignment="1">
      <alignment vertical="top"/>
    </xf>
    <xf numFmtId="0" fontId="0" fillId="0" borderId="11" xfId="0" applyFill="1" applyBorder="1"/>
    <xf numFmtId="0" fontId="0" fillId="0" borderId="15" xfId="0" applyFill="1" applyBorder="1"/>
    <xf numFmtId="43" fontId="0" fillId="0" borderId="11" xfId="0" applyNumberFormat="1" applyFill="1" applyBorder="1"/>
    <xf numFmtId="43" fontId="0" fillId="0" borderId="15" xfId="1" applyFont="1" applyFill="1" applyBorder="1"/>
    <xf numFmtId="43" fontId="0" fillId="0" borderId="11" xfId="1" applyFont="1" applyFill="1" applyBorder="1"/>
    <xf numFmtId="10" fontId="2" fillId="0" borderId="4" xfId="8" applyNumberFormat="1" applyFont="1" applyFill="1" applyBorder="1" applyAlignment="1">
      <alignment horizontal="center"/>
    </xf>
    <xf numFmtId="43" fontId="7" fillId="0" borderId="15" xfId="1" applyFont="1" applyFill="1" applyBorder="1" applyAlignment="1">
      <alignment vertical="top"/>
    </xf>
    <xf numFmtId="43" fontId="7" fillId="0" borderId="11" xfId="1" applyFont="1" applyFill="1" applyBorder="1" applyAlignment="1">
      <alignment vertical="top"/>
    </xf>
    <xf numFmtId="43" fontId="0" fillId="0" borderId="15" xfId="0" applyNumberFormat="1" applyFill="1" applyBorder="1"/>
    <xf numFmtId="43" fontId="7" fillId="0" borderId="11" xfId="9" applyNumberFormat="1" applyFill="1" applyBorder="1" applyAlignment="1">
      <alignment vertical="top"/>
    </xf>
    <xf numFmtId="43" fontId="2" fillId="0" borderId="5" xfId="1" applyFont="1" applyFill="1" applyBorder="1" applyAlignment="1">
      <alignment horizontal="center"/>
    </xf>
    <xf numFmtId="43" fontId="2" fillId="0" borderId="6" xfId="1" applyFont="1" applyFill="1" applyBorder="1" applyAlignment="1">
      <alignment horizontal="center"/>
    </xf>
    <xf numFmtId="43" fontId="2" fillId="0" borderId="15" xfId="1" applyFont="1" applyFill="1" applyBorder="1" applyAlignment="1">
      <alignment horizontal="center"/>
    </xf>
    <xf numFmtId="43" fontId="2" fillId="0" borderId="11" xfId="1" applyFont="1" applyFill="1" applyBorder="1" applyAlignment="1">
      <alignment horizontal="center"/>
    </xf>
    <xf numFmtId="43" fontId="2" fillId="0" borderId="13" xfId="1" applyFont="1" applyFill="1" applyBorder="1" applyAlignment="1">
      <alignment horizontal="center"/>
    </xf>
    <xf numFmtId="164" fontId="15" fillId="0" borderId="0" xfId="1" applyNumberFormat="1" applyFont="1" applyFill="1" applyAlignment="1">
      <alignment horizontal="right"/>
    </xf>
    <xf numFmtId="166" fontId="11" fillId="0" borderId="0" xfId="18" applyNumberFormat="1" applyFont="1" applyFill="1" applyAlignment="1">
      <alignment horizontal="left"/>
    </xf>
    <xf numFmtId="165" fontId="11" fillId="0" borderId="16" xfId="3" applyNumberFormat="1" applyFont="1" applyFill="1" applyBorder="1"/>
    <xf numFmtId="43" fontId="2" fillId="0" borderId="17" xfId="1" applyFont="1" applyFill="1" applyBorder="1" applyAlignment="1">
      <alignment horizontal="center"/>
    </xf>
    <xf numFmtId="0" fontId="7" fillId="0" borderId="17" xfId="9" applyFill="1" applyBorder="1" applyAlignment="1">
      <alignment vertical="top"/>
    </xf>
    <xf numFmtId="0" fontId="7" fillId="0" borderId="17" xfId="9" applyFill="1" applyBorder="1" applyAlignment="1">
      <alignment horizontal="center" vertical="top"/>
    </xf>
    <xf numFmtId="0" fontId="7" fillId="0" borderId="14" xfId="9" applyFill="1" applyBorder="1" applyAlignment="1">
      <alignment vertical="top"/>
    </xf>
    <xf numFmtId="3" fontId="4" fillId="0" borderId="0" xfId="1" applyNumberFormat="1" applyFont="1" applyFill="1" applyBorder="1" applyAlignment="1">
      <alignment horizontal="centerContinuous"/>
    </xf>
    <xf numFmtId="3" fontId="3" fillId="0" borderId="0" xfId="1" applyNumberFormat="1" applyFont="1" applyFill="1" applyBorder="1" applyAlignment="1">
      <alignment horizontal="centerContinuous"/>
    </xf>
    <xf numFmtId="41" fontId="3" fillId="0" borderId="0" xfId="0" applyNumberFormat="1" applyFont="1" applyFill="1" applyBorder="1" applyAlignment="1">
      <alignment horizontal="centerContinuous"/>
    </xf>
    <xf numFmtId="0" fontId="3" fillId="0" borderId="0" xfId="0" applyFont="1" applyFill="1" applyBorder="1" applyAlignment="1">
      <alignment horizontal="centerContinuous"/>
    </xf>
    <xf numFmtId="0" fontId="4" fillId="0" borderId="0" xfId="0" applyFont="1" applyFill="1" applyBorder="1" applyAlignment="1">
      <alignment horizontal="centerContinuous"/>
    </xf>
    <xf numFmtId="0" fontId="6" fillId="0" borderId="0" xfId="0" applyFont="1" applyFill="1" applyBorder="1" applyAlignment="1">
      <alignment horizontal="centerContinuous"/>
    </xf>
    <xf numFmtId="0" fontId="0" fillId="0" borderId="0" xfId="0" applyAlignment="1">
      <alignment horizontal="centerContinuous"/>
    </xf>
    <xf numFmtId="42" fontId="3" fillId="0" borderId="0" xfId="0" applyNumberFormat="1" applyFont="1" applyFill="1" applyBorder="1" applyAlignment="1">
      <alignment horizontal="centerContinuous"/>
    </xf>
    <xf numFmtId="0" fontId="5" fillId="0" borderId="0" xfId="0" applyFont="1" applyFill="1" applyBorder="1" applyAlignment="1">
      <alignment horizontal="centerContinuous"/>
    </xf>
    <xf numFmtId="0" fontId="19" fillId="0" borderId="0" xfId="19" applyAlignment="1">
      <alignment vertical="top"/>
    </xf>
    <xf numFmtId="0" fontId="19" fillId="2" borderId="13" xfId="19" applyFill="1" applyBorder="1" applyAlignment="1">
      <alignment vertical="top"/>
    </xf>
    <xf numFmtId="0" fontId="20" fillId="0" borderId="0" xfId="19" applyFont="1" applyAlignment="1">
      <alignment vertical="top"/>
    </xf>
    <xf numFmtId="0" fontId="0" fillId="0" borderId="18" xfId="0" applyBorder="1" applyAlignment="1">
      <alignment vertical="top"/>
    </xf>
    <xf numFmtId="0" fontId="0" fillId="0" borderId="19" xfId="0" applyBorder="1" applyAlignment="1">
      <alignment vertical="top"/>
    </xf>
    <xf numFmtId="14" fontId="0" fillId="0" borderId="19" xfId="0" applyNumberFormat="1" applyBorder="1" applyAlignment="1">
      <alignment horizontal="right" vertical="top"/>
    </xf>
    <xf numFmtId="0" fontId="0" fillId="0" borderId="21" xfId="0" applyBorder="1" applyAlignment="1">
      <alignment vertical="top"/>
    </xf>
    <xf numFmtId="0" fontId="0" fillId="0" borderId="0" xfId="0" applyBorder="1" applyAlignment="1">
      <alignment vertical="top"/>
    </xf>
    <xf numFmtId="14" fontId="0" fillId="0" borderId="0" xfId="0" applyNumberFormat="1" applyBorder="1" applyAlignment="1">
      <alignment horizontal="right" vertical="top"/>
    </xf>
    <xf numFmtId="4" fontId="0" fillId="0" borderId="22" xfId="0" applyNumberFormat="1" applyBorder="1" applyAlignment="1">
      <alignment horizontal="right" vertical="top"/>
    </xf>
    <xf numFmtId="0" fontId="0" fillId="0" borderId="23" xfId="0" applyBorder="1" applyAlignment="1">
      <alignment vertical="top"/>
    </xf>
    <xf numFmtId="0" fontId="0" fillId="0" borderId="24" xfId="0" applyBorder="1" applyAlignment="1">
      <alignment vertical="top"/>
    </xf>
    <xf numFmtId="14" fontId="0" fillId="0" borderId="24" xfId="0" applyNumberFormat="1" applyBorder="1" applyAlignment="1">
      <alignment horizontal="right" vertical="top"/>
    </xf>
    <xf numFmtId="4" fontId="0" fillId="0" borderId="25" xfId="0" applyNumberFormat="1" applyBorder="1" applyAlignment="1">
      <alignment horizontal="right" vertical="top"/>
    </xf>
    <xf numFmtId="0" fontId="7" fillId="0" borderId="0" xfId="9" applyFill="1" applyAlignment="1">
      <alignment horizontal="left" vertical="top"/>
    </xf>
    <xf numFmtId="43" fontId="7" fillId="0" borderId="0" xfId="9" applyNumberFormat="1" applyFill="1" applyBorder="1" applyAlignment="1">
      <alignment vertical="top"/>
    </xf>
    <xf numFmtId="43" fontId="7" fillId="0" borderId="0" xfId="9" applyNumberFormat="1" applyFill="1" applyAlignment="1">
      <alignment vertical="top"/>
    </xf>
    <xf numFmtId="167" fontId="3" fillId="0" borderId="0" xfId="1" applyNumberFormat="1" applyFont="1" applyFill="1" applyBorder="1"/>
    <xf numFmtId="167" fontId="0" fillId="0" borderId="0" xfId="1" applyNumberFormat="1" applyFont="1" applyFill="1"/>
    <xf numFmtId="167" fontId="6" fillId="0" borderId="0" xfId="1" applyNumberFormat="1" applyFont="1" applyFill="1" applyBorder="1"/>
    <xf numFmtId="167" fontId="0" fillId="0" borderId="0" xfId="1" applyNumberFormat="1" applyFont="1"/>
    <xf numFmtId="164" fontId="3" fillId="0" borderId="0" xfId="1" applyNumberFormat="1" applyFont="1" applyFill="1" applyBorder="1"/>
    <xf numFmtId="164" fontId="3" fillId="0" borderId="2" xfId="1" applyNumberFormat="1" applyFont="1" applyFill="1" applyBorder="1"/>
    <xf numFmtId="164" fontId="3" fillId="0" borderId="0" xfId="1" applyNumberFormat="1" applyFont="1" applyFill="1" applyBorder="1" applyProtection="1">
      <protection locked="0"/>
    </xf>
    <xf numFmtId="164" fontId="6" fillId="0" borderId="0" xfId="1" applyNumberFormat="1" applyFont="1" applyFill="1" applyBorder="1"/>
    <xf numFmtId="164" fontId="3" fillId="0" borderId="0" xfId="1" applyNumberFormat="1" applyFont="1" applyFill="1" applyBorder="1" applyAlignment="1"/>
    <xf numFmtId="164" fontId="3" fillId="0" borderId="0" xfId="1" applyNumberFormat="1" applyFont="1" applyFill="1" applyBorder="1" applyAlignment="1" applyProtection="1">
      <protection locked="0"/>
    </xf>
    <xf numFmtId="164" fontId="3" fillId="0" borderId="3" xfId="1" applyNumberFormat="1" applyFont="1" applyFill="1" applyBorder="1" applyAlignment="1"/>
    <xf numFmtId="14" fontId="7" fillId="0" borderId="4" xfId="9" applyNumberFormat="1" applyFill="1" applyBorder="1" applyAlignment="1">
      <alignment horizontal="right" vertical="top"/>
    </xf>
    <xf numFmtId="43" fontId="0" fillId="0" borderId="9" xfId="10" applyFont="1" applyFill="1" applyBorder="1" applyAlignment="1">
      <alignment horizontal="right" vertical="top"/>
    </xf>
    <xf numFmtId="14" fontId="0" fillId="0" borderId="0" xfId="0" applyNumberFormat="1" applyFill="1" applyAlignment="1">
      <alignment horizontal="right" vertical="top"/>
    </xf>
    <xf numFmtId="4" fontId="0" fillId="0" borderId="0" xfId="0" applyNumberFormat="1" applyFill="1" applyAlignment="1">
      <alignment horizontal="right" vertical="top"/>
    </xf>
    <xf numFmtId="43" fontId="0" fillId="0" borderId="4" xfId="10" applyFont="1" applyFill="1" applyBorder="1" applyAlignment="1">
      <alignment horizontal="right" vertical="top"/>
    </xf>
    <xf numFmtId="0" fontId="0" fillId="0" borderId="4" xfId="0" applyFill="1" applyBorder="1" applyAlignment="1">
      <alignment vertical="top"/>
    </xf>
    <xf numFmtId="14" fontId="0" fillId="0" borderId="4" xfId="0" applyNumberFormat="1" applyFill="1" applyBorder="1" applyAlignment="1">
      <alignment horizontal="right" vertical="top"/>
    </xf>
    <xf numFmtId="4" fontId="0" fillId="0" borderId="4" xfId="0" applyNumberFormat="1" applyFill="1" applyBorder="1" applyAlignment="1">
      <alignment horizontal="right" vertical="top"/>
    </xf>
    <xf numFmtId="0" fontId="16" fillId="0" borderId="0" xfId="0" applyFont="1" applyFill="1" applyAlignment="1">
      <alignment horizontal="centerContinuous"/>
    </xf>
    <xf numFmtId="0" fontId="0" fillId="0" borderId="0" xfId="0" applyFill="1" applyAlignment="1">
      <alignment horizontal="centerContinuous"/>
    </xf>
    <xf numFmtId="0" fontId="0" fillId="0" borderId="0" xfId="0" applyFill="1" applyAlignment="1"/>
    <xf numFmtId="0" fontId="0" fillId="0" borderId="0" xfId="0" applyFill="1" applyAlignment="1">
      <alignment horizontal="left"/>
    </xf>
    <xf numFmtId="0" fontId="0" fillId="0" borderId="0" xfId="0" applyFill="1" applyAlignment="1">
      <alignment horizontal="center"/>
    </xf>
    <xf numFmtId="0" fontId="11" fillId="0" borderId="0" xfId="3" applyFont="1" applyFill="1" applyAlignment="1">
      <alignment horizontal="right"/>
    </xf>
    <xf numFmtId="42" fontId="11" fillId="0" borderId="4" xfId="3" applyNumberFormat="1" applyFont="1" applyFill="1" applyBorder="1" applyProtection="1">
      <protection locked="0"/>
    </xf>
    <xf numFmtId="0" fontId="11" fillId="0" borderId="4" xfId="3" applyFont="1" applyFill="1" applyBorder="1" applyAlignment="1" applyProtection="1">
      <alignment horizontal="center"/>
      <protection locked="0"/>
    </xf>
    <xf numFmtId="0" fontId="16" fillId="0" borderId="0" xfId="0" applyFont="1" applyFill="1"/>
    <xf numFmtId="165" fontId="11" fillId="0" borderId="14" xfId="3" applyNumberFormat="1" applyFont="1" applyFill="1" applyBorder="1"/>
    <xf numFmtId="0" fontId="11" fillId="0" borderId="9" xfId="3" applyFont="1" applyFill="1" applyBorder="1"/>
    <xf numFmtId="0" fontId="0" fillId="0" borderId="0" xfId="0" applyFill="1" applyAlignment="1">
      <alignment horizontal="right"/>
    </xf>
    <xf numFmtId="165" fontId="11" fillId="0" borderId="4" xfId="3" applyNumberFormat="1" applyFont="1" applyFill="1" applyBorder="1" applyAlignment="1">
      <alignment horizontal="center"/>
    </xf>
    <xf numFmtId="165" fontId="11" fillId="0" borderId="4" xfId="3" applyNumberFormat="1" applyFont="1" applyFill="1" applyBorder="1"/>
    <xf numFmtId="44" fontId="11" fillId="0" borderId="4" xfId="3" applyNumberFormat="1" applyFont="1" applyFill="1" applyBorder="1"/>
    <xf numFmtId="0" fontId="12" fillId="0" borderId="4" xfId="3" applyFont="1" applyFill="1" applyBorder="1" applyAlignment="1">
      <alignment horizontal="center"/>
    </xf>
    <xf numFmtId="0" fontId="13" fillId="0" borderId="4" xfId="3" applyFont="1" applyFill="1" applyBorder="1" applyAlignment="1">
      <alignment horizontal="center"/>
    </xf>
    <xf numFmtId="44" fontId="11" fillId="0" borderId="4" xfId="3" applyNumberFormat="1" applyFont="1" applyFill="1" applyBorder="1" applyProtection="1">
      <protection locked="0"/>
    </xf>
    <xf numFmtId="1" fontId="11" fillId="0" borderId="4" xfId="3" applyNumberFormat="1" applyFont="1" applyFill="1" applyBorder="1" applyProtection="1">
      <protection locked="0"/>
    </xf>
    <xf numFmtId="43" fontId="0" fillId="0" borderId="0" xfId="1" applyFont="1" applyFill="1"/>
    <xf numFmtId="0" fontId="0" fillId="0" borderId="0" xfId="0" applyFill="1" applyAlignment="1">
      <alignment wrapText="1"/>
    </xf>
    <xf numFmtId="43" fontId="16" fillId="0" borderId="0" xfId="1" applyFont="1" applyFill="1"/>
    <xf numFmtId="164" fontId="0" fillId="0" borderId="3" xfId="0" applyNumberFormat="1" applyFill="1" applyBorder="1"/>
    <xf numFmtId="0" fontId="0" fillId="0" borderId="0" xfId="0" applyFill="1" applyBorder="1"/>
    <xf numFmtId="43" fontId="0" fillId="0" borderId="0" xfId="0" applyNumberFormat="1" applyFill="1" applyAlignment="1">
      <alignment horizontal="right" vertical="top"/>
    </xf>
    <xf numFmtId="43" fontId="0" fillId="0" borderId="4" xfId="0" applyNumberFormat="1" applyFill="1" applyBorder="1" applyAlignment="1">
      <alignment horizontal="right" vertical="top"/>
    </xf>
    <xf numFmtId="0" fontId="16" fillId="0" borderId="0" xfId="0" applyFont="1"/>
    <xf numFmtId="43" fontId="0" fillId="0" borderId="0" xfId="0" applyNumberFormat="1"/>
    <xf numFmtId="43" fontId="16" fillId="0" borderId="0" xfId="0" applyNumberFormat="1" applyFont="1"/>
    <xf numFmtId="43" fontId="0" fillId="0" borderId="2" xfId="0" applyNumberFormat="1" applyBorder="1"/>
    <xf numFmtId="0" fontId="16" fillId="0" borderId="0" xfId="0" applyFont="1" applyAlignment="1">
      <alignment horizontal="center"/>
    </xf>
    <xf numFmtId="41" fontId="3" fillId="0" borderId="2" xfId="0" applyNumberFormat="1" applyFont="1" applyFill="1" applyBorder="1"/>
    <xf numFmtId="43" fontId="0" fillId="0" borderId="0" xfId="0" applyNumberFormat="1" applyFill="1"/>
    <xf numFmtId="0" fontId="0" fillId="0" borderId="19" xfId="0" applyBorder="1" applyAlignment="1">
      <alignment horizontal="left" vertical="top"/>
    </xf>
    <xf numFmtId="43" fontId="0" fillId="0" borderId="22" xfId="0" applyNumberFormat="1" applyBorder="1" applyAlignment="1">
      <alignment horizontal="right" vertical="top"/>
    </xf>
    <xf numFmtId="43" fontId="0" fillId="0" borderId="20" xfId="0" applyNumberFormat="1" applyBorder="1" applyAlignment="1">
      <alignment horizontal="right" vertical="top"/>
    </xf>
    <xf numFmtId="0" fontId="19" fillId="0" borderId="23" xfId="19" applyFill="1" applyBorder="1" applyAlignment="1">
      <alignment vertical="top"/>
    </xf>
    <xf numFmtId="0" fontId="19" fillId="0" borderId="24" xfId="19" applyFill="1" applyBorder="1" applyAlignment="1">
      <alignment vertical="top"/>
    </xf>
    <xf numFmtId="14" fontId="19" fillId="0" borderId="24" xfId="19" applyNumberFormat="1" applyFill="1" applyBorder="1" applyAlignment="1">
      <alignment horizontal="right" vertical="top"/>
    </xf>
    <xf numFmtId="43" fontId="0" fillId="0" borderId="25" xfId="0" applyNumberFormat="1" applyBorder="1" applyAlignment="1">
      <alignment horizontal="right" vertical="top"/>
    </xf>
    <xf numFmtId="0" fontId="0" fillId="0" borderId="0" xfId="0" applyBorder="1" applyAlignment="1">
      <alignment horizontal="left" vertical="top"/>
    </xf>
    <xf numFmtId="0" fontId="0" fillId="0" borderId="24" xfId="0" applyBorder="1" applyAlignment="1">
      <alignment horizontal="left" vertical="top"/>
    </xf>
    <xf numFmtId="43" fontId="0" fillId="0" borderId="17" xfId="0" applyNumberFormat="1" applyFill="1" applyBorder="1"/>
    <xf numFmtId="43" fontId="0" fillId="0" borderId="14" xfId="0" applyNumberFormat="1" applyFill="1" applyBorder="1"/>
    <xf numFmtId="14" fontId="7" fillId="0" borderId="2" xfId="9" applyNumberFormat="1" applyFill="1" applyBorder="1" applyAlignment="1">
      <alignment horizontal="right" vertical="top"/>
    </xf>
    <xf numFmtId="0" fontId="19" fillId="0" borderId="24" xfId="19" applyFill="1" applyBorder="1" applyAlignment="1">
      <alignment horizontal="left" vertical="top"/>
    </xf>
  </cellXfs>
  <cellStyles count="20">
    <cellStyle name="Comma" xfId="1" builtinId="3"/>
    <cellStyle name="Comma 15" xfId="6"/>
    <cellStyle name="Comma 2" xfId="10"/>
    <cellStyle name="Currency" xfId="2" builtinId="4"/>
    <cellStyle name="Currency 12" xfId="5"/>
    <cellStyle name="Currency 2" xfId="14"/>
    <cellStyle name="Currency 5" xfId="13"/>
    <cellStyle name="Hyperlink 2" xfId="15"/>
    <cellStyle name="Normal" xfId="0" builtinId="0"/>
    <cellStyle name="Normal 2" xfId="9"/>
    <cellStyle name="Normal 2 2" xfId="3"/>
    <cellStyle name="Normal 3" xfId="16"/>
    <cellStyle name="Normal 4" xfId="19"/>
    <cellStyle name="Normal 48" xfId="12"/>
    <cellStyle name="Normal 50" xfId="4"/>
    <cellStyle name="Normal_Detail" xfId="18"/>
    <cellStyle name="Normal_Excise Taxes - TY Activity in Orders" xfId="11"/>
    <cellStyle name="Percent" xfId="8" builtinId="5"/>
    <cellStyle name="Percent 2" xfId="17"/>
    <cellStyle name="Percent 9" xfId="7"/>
  </cellStyles>
  <dxfs count="0"/>
  <tableStyles count="0" defaultTableStyle="TableStyleMedium2" defaultPivotStyle="PivotStyleLight16"/>
  <colors>
    <mruColors>
      <color rgb="FFCCFF33"/>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5%20Allocation%20Method%20CBR%20Dec%202018%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20Income%20Statement%20De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E &amp; G RB"/>
      <sheetName val="2018 Dec IS "/>
      <sheetName val="SAP DL Downld"/>
      <sheetName val="12ME Dec 18 ZRW_DLF1"/>
      <sheetName val="Meter count Updated"/>
      <sheetName val="Electric"/>
      <sheetName val="Gas"/>
      <sheetName val="Combined-2018"/>
      <sheetName val="Elect. Customer Counts Pg 10a  "/>
      <sheetName val="Gas Customer Counts Pg 10b"/>
      <sheetName val="Allocations"/>
      <sheetName val="DLReconBBS"/>
      <sheetName val="2018 March IS "/>
      <sheetName val="FERC.P354,5"/>
      <sheetName val="2017 GRC WC Det Format"/>
      <sheetName val="SAP DL DownldJAMES"/>
      <sheetName val="2"/>
    </sheetNames>
    <sheetDataSet>
      <sheetData sheetId="0">
        <row r="8">
          <cell r="E8">
            <v>1149789</v>
          </cell>
        </row>
        <row r="35">
          <cell r="E35">
            <v>0.66190000000000004</v>
          </cell>
          <cell r="F35">
            <v>0.33810000000000001</v>
          </cell>
        </row>
      </sheetData>
      <sheetData sheetId="1"/>
      <sheetData sheetId="2"/>
      <sheetData sheetId="3"/>
      <sheetData sheetId="4"/>
      <sheetData sheetId="5"/>
      <sheetData sheetId="6"/>
      <sheetData sheetId="7"/>
      <sheetData sheetId="8"/>
      <sheetData sheetId="9"/>
      <sheetData sheetId="10"/>
      <sheetData sheetId="11">
        <row r="78">
          <cell r="BA78">
            <v>0.49997132880489842</v>
          </cell>
        </row>
      </sheetData>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ed (CBR)"/>
      <sheetName val="Unallocated Summary (CBR)"/>
      <sheetName val="Unallocated Detail (CBR)"/>
      <sheetName val="Common by Account (CBR)"/>
    </sheetNames>
    <sheetDataSet>
      <sheetData sheetId="0">
        <row r="9">
          <cell r="B9">
            <v>2165233766.8899999</v>
          </cell>
          <cell r="C9">
            <v>876657675.66999984</v>
          </cell>
        </row>
      </sheetData>
      <sheetData sheetId="1"/>
      <sheetData sheetId="2">
        <row r="29">
          <cell r="G29">
            <v>2451377.19</v>
          </cell>
        </row>
        <row r="30">
          <cell r="G30">
            <v>12237816.219999999</v>
          </cell>
        </row>
        <row r="31">
          <cell r="G31">
            <v>18352787.670000002</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tabSelected="1" workbookViewId="0">
      <selection activeCell="D12" sqref="D12"/>
    </sheetView>
  </sheetViews>
  <sheetFormatPr defaultRowHeight="15" x14ac:dyDescent="0.25"/>
  <cols>
    <col min="2" max="2" width="56.7109375" customWidth="1"/>
    <col min="3" max="3" width="11.7109375" bestFit="1" customWidth="1"/>
    <col min="4" max="4" width="14.28515625" bestFit="1" customWidth="1"/>
    <col min="5" max="5" width="13.5703125" bestFit="1" customWidth="1"/>
  </cols>
  <sheetData>
    <row r="1" spans="1:6" ht="15.6" thickTop="1" thickBot="1" x14ac:dyDescent="0.35">
      <c r="A1" s="1"/>
      <c r="B1" s="1"/>
      <c r="C1" s="2"/>
      <c r="D1" s="3"/>
      <c r="E1" s="7" t="s">
        <v>194</v>
      </c>
      <c r="F1" s="4"/>
    </row>
    <row r="2" spans="1:6" thickTop="1" x14ac:dyDescent="0.3">
      <c r="A2" s="85" t="s">
        <v>164</v>
      </c>
      <c r="B2" s="86"/>
      <c r="C2" s="87"/>
      <c r="D2" s="88"/>
      <c r="E2" s="89"/>
      <c r="F2" s="4"/>
    </row>
    <row r="3" spans="1:6" ht="14.45" x14ac:dyDescent="0.3">
      <c r="A3" s="89" t="s">
        <v>165</v>
      </c>
      <c r="B3" s="89"/>
      <c r="C3" s="87"/>
      <c r="D3" s="90"/>
      <c r="E3" s="91"/>
      <c r="F3" s="4"/>
    </row>
    <row r="4" spans="1:6" ht="14.45" x14ac:dyDescent="0.3">
      <c r="A4" s="85" t="s">
        <v>192</v>
      </c>
      <c r="B4" s="86"/>
      <c r="C4" s="92"/>
      <c r="D4" s="93"/>
      <c r="E4" s="93"/>
      <c r="F4" s="4"/>
    </row>
    <row r="5" spans="1:6" ht="14.45" x14ac:dyDescent="0.3">
      <c r="A5" s="85" t="s">
        <v>193</v>
      </c>
      <c r="B5" s="9"/>
      <c r="C5" s="92"/>
      <c r="D5" s="93"/>
      <c r="E5" s="93"/>
      <c r="F5" s="4"/>
    </row>
    <row r="6" spans="1:6" ht="14.45" x14ac:dyDescent="0.3">
      <c r="A6" s="1"/>
      <c r="B6" s="9"/>
      <c r="C6" s="8"/>
      <c r="D6" s="4"/>
      <c r="E6" s="4"/>
      <c r="F6" s="4"/>
    </row>
    <row r="7" spans="1:6" ht="14.45" x14ac:dyDescent="0.3">
      <c r="A7" s="1"/>
      <c r="B7" s="9"/>
      <c r="C7" s="8"/>
      <c r="D7" s="4"/>
      <c r="E7" s="4"/>
      <c r="F7" s="4"/>
    </row>
    <row r="8" spans="1:6" ht="14.45" x14ac:dyDescent="0.3">
      <c r="A8" s="5"/>
      <c r="B8" s="10"/>
      <c r="C8" s="2"/>
      <c r="D8" s="6"/>
      <c r="E8" s="6"/>
      <c r="F8" s="4"/>
    </row>
    <row r="9" spans="1:6" ht="14.45" x14ac:dyDescent="0.3">
      <c r="A9" s="11" t="s">
        <v>0</v>
      </c>
      <c r="B9" s="5"/>
      <c r="C9" s="12"/>
      <c r="D9" s="6"/>
      <c r="E9" s="6"/>
      <c r="F9" s="4"/>
    </row>
    <row r="10" spans="1:6" ht="14.45" x14ac:dyDescent="0.3">
      <c r="A10" s="13" t="s">
        <v>1</v>
      </c>
      <c r="B10" s="14" t="s">
        <v>2</v>
      </c>
      <c r="C10" s="15" t="s">
        <v>3</v>
      </c>
      <c r="D10" s="13" t="s">
        <v>4</v>
      </c>
      <c r="E10" s="13" t="s">
        <v>5</v>
      </c>
      <c r="F10" s="4"/>
    </row>
    <row r="11" spans="1:6" ht="14.45" x14ac:dyDescent="0.3">
      <c r="A11" s="3"/>
      <c r="B11" s="3"/>
      <c r="C11" s="2"/>
      <c r="D11" s="6"/>
      <c r="E11" s="16"/>
      <c r="F11" s="4"/>
    </row>
    <row r="12" spans="1:6" ht="14.45" x14ac:dyDescent="0.3">
      <c r="A12" s="17">
        <v>1</v>
      </c>
      <c r="B12" s="18" t="s">
        <v>6</v>
      </c>
      <c r="C12" s="2">
        <f>'TY Excise Tax 2018'!H189</f>
        <v>84579618.501786992</v>
      </c>
      <c r="D12" s="19">
        <f>'TY Excise Tax 2018'!L189</f>
        <v>84593680.499568984</v>
      </c>
      <c r="E12" s="19">
        <f>D12-C12</f>
        <v>14061.997781991959</v>
      </c>
      <c r="F12" s="4"/>
    </row>
    <row r="13" spans="1:6" ht="14.45" x14ac:dyDescent="0.3">
      <c r="A13" s="17">
        <v>2</v>
      </c>
      <c r="B13" s="20" t="s">
        <v>7</v>
      </c>
      <c r="C13" s="161">
        <f>'TY Filing Fee 2018'!F16</f>
        <v>4669751.78</v>
      </c>
      <c r="D13" s="21">
        <f>+'E Filing Fee Restated'!F38</f>
        <v>4564759.7001399994</v>
      </c>
      <c r="E13" s="21">
        <f>D13-C13</f>
        <v>-104992.07986000087</v>
      </c>
      <c r="F13" s="4"/>
    </row>
    <row r="14" spans="1:6" ht="14.45" x14ac:dyDescent="0.3">
      <c r="A14" s="17">
        <v>3</v>
      </c>
      <c r="B14" s="18" t="s">
        <v>8</v>
      </c>
      <c r="C14" s="22">
        <f>C12+C13</f>
        <v>89249370.281786993</v>
      </c>
      <c r="D14" s="22">
        <f>D12+D13</f>
        <v>89158440.199708983</v>
      </c>
      <c r="E14" s="22">
        <f>E12+E13</f>
        <v>-90930.082078008913</v>
      </c>
      <c r="F14" s="4"/>
    </row>
    <row r="15" spans="1:6" ht="14.45" x14ac:dyDescent="0.3">
      <c r="A15" s="17">
        <v>4</v>
      </c>
      <c r="B15" s="18"/>
      <c r="C15" s="2"/>
      <c r="D15" s="23"/>
      <c r="E15" s="23"/>
      <c r="F15" s="4"/>
    </row>
    <row r="16" spans="1:6" ht="14.45" x14ac:dyDescent="0.3">
      <c r="A16" s="17">
        <v>5</v>
      </c>
      <c r="B16" s="24" t="s">
        <v>9</v>
      </c>
      <c r="C16" s="2"/>
      <c r="D16" s="23"/>
      <c r="E16" s="25">
        <f>E14</f>
        <v>-90930.082078008913</v>
      </c>
      <c r="F16" s="4"/>
    </row>
    <row r="17" spans="1:6" ht="14.45" x14ac:dyDescent="0.3">
      <c r="A17" s="17">
        <v>6</v>
      </c>
      <c r="B17" s="24" t="s">
        <v>10</v>
      </c>
      <c r="C17" s="26">
        <v>0.21</v>
      </c>
      <c r="D17" s="23"/>
      <c r="E17" s="27">
        <f>ROUND(-E16*C17,0)</f>
        <v>19095</v>
      </c>
      <c r="F17" s="4"/>
    </row>
    <row r="18" spans="1:6" thickBot="1" x14ac:dyDescent="0.35">
      <c r="A18" s="17">
        <v>7</v>
      </c>
      <c r="B18" s="24" t="s">
        <v>11</v>
      </c>
      <c r="C18" s="2"/>
      <c r="D18" s="23"/>
      <c r="E18" s="28">
        <f>-E16-E17</f>
        <v>71835.082078008913</v>
      </c>
      <c r="F18" s="4"/>
    </row>
    <row r="19" spans="1:6" thickTop="1" x14ac:dyDescent="0.3">
      <c r="A19" s="17"/>
      <c r="B19" s="1"/>
      <c r="C19" s="2"/>
      <c r="D19" s="6"/>
      <c r="E19" s="6"/>
      <c r="F19" s="4"/>
    </row>
  </sheetData>
  <pageMargins left="0.7" right="0.7" top="0.75" bottom="0.75" header="0.3" footer="0.3"/>
  <pageSetup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topLeftCell="A2" workbookViewId="0">
      <selection activeCell="B21" sqref="B21"/>
    </sheetView>
  </sheetViews>
  <sheetFormatPr defaultRowHeight="15" x14ac:dyDescent="0.25"/>
  <cols>
    <col min="2" max="2" width="47.140625" bestFit="1" customWidth="1"/>
    <col min="3" max="4" width="12.85546875" bestFit="1" customWidth="1"/>
    <col min="5" max="5" width="13.42578125" bestFit="1" customWidth="1"/>
  </cols>
  <sheetData>
    <row r="1" spans="1:6" ht="15.6" thickTop="1" thickBot="1" x14ac:dyDescent="0.35">
      <c r="A1" s="1"/>
      <c r="B1" s="1"/>
      <c r="C1" s="2"/>
      <c r="D1" s="3"/>
      <c r="E1" s="7" t="s">
        <v>195</v>
      </c>
    </row>
    <row r="2" spans="1:6" thickTop="1" x14ac:dyDescent="0.3">
      <c r="A2" s="85" t="s">
        <v>166</v>
      </c>
      <c r="B2" s="86"/>
      <c r="C2" s="87"/>
      <c r="D2" s="88"/>
      <c r="E2" s="89"/>
    </row>
    <row r="3" spans="1:6" ht="14.45" x14ac:dyDescent="0.3">
      <c r="A3" s="89" t="s">
        <v>165</v>
      </c>
      <c r="B3" s="89"/>
      <c r="C3" s="87"/>
      <c r="D3" s="90"/>
      <c r="E3" s="91"/>
    </row>
    <row r="4" spans="1:6" ht="14.45" x14ac:dyDescent="0.3">
      <c r="A4" s="85" t="str">
        <f>'Lead E'!A4</f>
        <v>FOR THE TWELVE MONTHS ENDED DEC 31, 2018</v>
      </c>
      <c r="B4" s="86"/>
      <c r="C4" s="92"/>
      <c r="D4" s="93"/>
      <c r="E4" s="93"/>
    </row>
    <row r="5" spans="1:6" ht="14.45" x14ac:dyDescent="0.3">
      <c r="A5" s="85" t="str">
        <f>'Lead E'!A5</f>
        <v>DECEMBER 2018 CBR</v>
      </c>
      <c r="B5" s="9"/>
      <c r="C5" s="92"/>
      <c r="D5" s="93"/>
      <c r="E5" s="93"/>
    </row>
    <row r="6" spans="1:6" ht="14.45" x14ac:dyDescent="0.3">
      <c r="A6" s="1"/>
      <c r="B6" s="9"/>
      <c r="C6" s="8"/>
      <c r="D6" s="4"/>
      <c r="E6" s="4"/>
    </row>
    <row r="7" spans="1:6" ht="14.45" x14ac:dyDescent="0.3">
      <c r="A7" s="1"/>
      <c r="B7" s="9"/>
      <c r="C7" s="8"/>
      <c r="D7" s="4"/>
      <c r="E7" s="4"/>
    </row>
    <row r="8" spans="1:6" ht="14.45" x14ac:dyDescent="0.3">
      <c r="A8" s="5"/>
      <c r="B8" s="10"/>
      <c r="C8" s="2"/>
      <c r="D8" s="6"/>
      <c r="E8" s="6"/>
    </row>
    <row r="9" spans="1:6" ht="14.45" x14ac:dyDescent="0.3">
      <c r="A9" s="11" t="s">
        <v>0</v>
      </c>
      <c r="B9" s="5"/>
      <c r="C9" s="12"/>
      <c r="D9" s="6"/>
      <c r="E9" s="6"/>
    </row>
    <row r="10" spans="1:6" ht="14.45" x14ac:dyDescent="0.3">
      <c r="A10" s="13" t="s">
        <v>1</v>
      </c>
      <c r="B10" s="14" t="s">
        <v>2</v>
      </c>
      <c r="C10" s="15" t="s">
        <v>3</v>
      </c>
      <c r="D10" s="13" t="s">
        <v>4</v>
      </c>
      <c r="E10" s="13" t="s">
        <v>5</v>
      </c>
    </row>
    <row r="11" spans="1:6" ht="14.45" x14ac:dyDescent="0.3">
      <c r="A11" s="3"/>
      <c r="B11" s="3"/>
      <c r="C11" s="2"/>
      <c r="D11" s="6"/>
      <c r="E11" s="16"/>
      <c r="F11" s="29"/>
    </row>
    <row r="12" spans="1:6" ht="14.45" x14ac:dyDescent="0.3">
      <c r="A12" s="17">
        <v>1</v>
      </c>
      <c r="B12" s="18" t="s">
        <v>6</v>
      </c>
      <c r="C12" s="115">
        <f>'TY Excise Tax 2018'!I189</f>
        <v>34660463.048212998</v>
      </c>
      <c r="D12" s="115">
        <f>'TY Excise Tax 2018'!M189</f>
        <v>34517801.980430998</v>
      </c>
      <c r="E12" s="115">
        <f>D12-C12</f>
        <v>-142661.06778199971</v>
      </c>
      <c r="F12" s="112"/>
    </row>
    <row r="13" spans="1:6" ht="14.45" x14ac:dyDescent="0.3">
      <c r="A13" s="17">
        <v>2</v>
      </c>
      <c r="B13" s="20" t="s">
        <v>7</v>
      </c>
      <c r="C13" s="116">
        <f>'TY Filing Fee 2018'!F33</f>
        <v>1699067.74</v>
      </c>
      <c r="D13" s="116">
        <f>+'G Filing Fee Restated'!F38</f>
        <v>1753265.3513399998</v>
      </c>
      <c r="E13" s="116">
        <f>D13-C13</f>
        <v>54197.611339999828</v>
      </c>
      <c r="F13" s="112"/>
    </row>
    <row r="14" spans="1:6" ht="14.45" x14ac:dyDescent="0.3">
      <c r="A14" s="17">
        <v>3</v>
      </c>
      <c r="B14" s="18" t="s">
        <v>8</v>
      </c>
      <c r="C14" s="117">
        <f>C12+C13</f>
        <v>36359530.788213</v>
      </c>
      <c r="D14" s="117">
        <f>D12+D13</f>
        <v>36271067.331771001</v>
      </c>
      <c r="E14" s="117">
        <f>E12+E13</f>
        <v>-88463.456441999879</v>
      </c>
      <c r="F14" s="112"/>
    </row>
    <row r="15" spans="1:6" ht="14.45" x14ac:dyDescent="0.3">
      <c r="A15" s="17">
        <v>4</v>
      </c>
      <c r="B15" s="18"/>
      <c r="C15" s="115"/>
      <c r="D15" s="118"/>
      <c r="E15" s="118"/>
      <c r="F15" s="114"/>
    </row>
    <row r="16" spans="1:6" ht="14.45" x14ac:dyDescent="0.3">
      <c r="A16" s="17">
        <v>5</v>
      </c>
      <c r="B16" s="24" t="s">
        <v>9</v>
      </c>
      <c r="C16" s="115"/>
      <c r="D16" s="118"/>
      <c r="E16" s="119">
        <f>E14</f>
        <v>-88463.456441999879</v>
      </c>
      <c r="F16" s="114"/>
    </row>
    <row r="17" spans="1:6" ht="14.45" x14ac:dyDescent="0.3">
      <c r="A17" s="17">
        <v>6</v>
      </c>
      <c r="B17" s="24" t="s">
        <v>10</v>
      </c>
      <c r="C17" s="26">
        <v>0.21</v>
      </c>
      <c r="D17" s="118"/>
      <c r="E17" s="120">
        <f>(-E16*C17)</f>
        <v>18577.325852819973</v>
      </c>
      <c r="F17" s="114"/>
    </row>
    <row r="18" spans="1:6" thickBot="1" x14ac:dyDescent="0.35">
      <c r="A18" s="17">
        <v>7</v>
      </c>
      <c r="B18" s="24" t="s">
        <v>11</v>
      </c>
      <c r="C18" s="115"/>
      <c r="D18" s="118"/>
      <c r="E18" s="121">
        <f>-E16-E17</f>
        <v>69886.130589179898</v>
      </c>
      <c r="F18" s="114"/>
    </row>
    <row r="19" spans="1:6" thickTop="1" x14ac:dyDescent="0.3">
      <c r="A19" s="17"/>
      <c r="B19" s="1"/>
      <c r="C19" s="111"/>
      <c r="D19" s="113"/>
      <c r="E19" s="113"/>
      <c r="F19" s="114"/>
    </row>
  </sheetData>
  <pageMargins left="0.7" right="0.7" top="0.75" bottom="0.75" header="0.3" footer="0.3"/>
  <pageSetup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2"/>
  <sheetViews>
    <sheetView topLeftCell="A157" zoomScale="85" zoomScaleNormal="85" zoomScaleSheetLayoutView="85" workbookViewId="0">
      <selection activeCell="D181" sqref="D181"/>
    </sheetView>
  </sheetViews>
  <sheetFormatPr defaultColWidth="9.140625" defaultRowHeight="15" x14ac:dyDescent="0.25"/>
  <cols>
    <col min="1" max="1" width="20" style="36" bestFit="1" customWidth="1"/>
    <col min="2" max="2" width="13" style="36" bestFit="1" customWidth="1"/>
    <col min="3" max="3" width="8" style="36" bestFit="1" customWidth="1"/>
    <col min="4" max="4" width="49" style="36" bestFit="1" customWidth="1"/>
    <col min="5" max="5" width="10" style="36" bestFit="1" customWidth="1"/>
    <col min="6" max="6" width="14" style="36" bestFit="1" customWidth="1"/>
    <col min="7" max="7" width="17" style="37" bestFit="1" customWidth="1"/>
    <col min="8" max="8" width="15.42578125" style="36" bestFit="1" customWidth="1"/>
    <col min="9" max="9" width="16.140625" style="36" bestFit="1" customWidth="1"/>
    <col min="10" max="10" width="13.7109375" style="36" bestFit="1" customWidth="1"/>
    <col min="11" max="11" width="12.85546875" style="36" customWidth="1"/>
    <col min="12" max="12" width="15.42578125" style="36" bestFit="1" customWidth="1"/>
    <col min="13" max="13" width="16.140625" style="36" bestFit="1" customWidth="1"/>
    <col min="14" max="14" width="11.5703125" style="36" bestFit="1" customWidth="1"/>
    <col min="15" max="15" width="14" style="36" bestFit="1" customWidth="1"/>
    <col min="16" max="16384" width="9.140625" style="36"/>
  </cols>
  <sheetData>
    <row r="1" spans="1:14" ht="14.45" x14ac:dyDescent="0.25">
      <c r="H1" s="38"/>
      <c r="I1" s="39"/>
      <c r="J1" s="40" t="s">
        <v>49</v>
      </c>
      <c r="K1" s="41"/>
      <c r="L1" s="42"/>
      <c r="M1" s="41"/>
      <c r="N1" s="43"/>
    </row>
    <row r="2" spans="1:14" ht="14.45" x14ac:dyDescent="0.25">
      <c r="H2" s="44" t="s">
        <v>50</v>
      </c>
      <c r="I2" s="45"/>
      <c r="J2" s="44" t="s">
        <v>51</v>
      </c>
      <c r="K2" s="45"/>
      <c r="L2" s="44" t="s">
        <v>52</v>
      </c>
      <c r="M2" s="45"/>
      <c r="N2" s="43"/>
    </row>
    <row r="3" spans="1:14" ht="14.45" x14ac:dyDescent="0.25">
      <c r="A3" s="46" t="s">
        <v>18</v>
      </c>
      <c r="B3" s="46" t="s">
        <v>20</v>
      </c>
      <c r="C3" s="46" t="s">
        <v>21</v>
      </c>
      <c r="D3" s="46" t="s">
        <v>22</v>
      </c>
      <c r="E3" s="46" t="s">
        <v>12</v>
      </c>
      <c r="F3" s="46" t="s">
        <v>13</v>
      </c>
      <c r="G3" s="47" t="s">
        <v>14</v>
      </c>
      <c r="H3" s="68">
        <f>[1]Lead!$E$35</f>
        <v>0.66190000000000004</v>
      </c>
      <c r="I3" s="68">
        <f>[1]Lead!$F$35</f>
        <v>0.33810000000000001</v>
      </c>
      <c r="J3" s="48">
        <f>H3</f>
        <v>0.66190000000000004</v>
      </c>
      <c r="K3" s="49">
        <f>I3</f>
        <v>0.33810000000000001</v>
      </c>
      <c r="L3" s="48">
        <f>H3</f>
        <v>0.66190000000000004</v>
      </c>
      <c r="M3" s="56">
        <f>I3</f>
        <v>0.33810000000000001</v>
      </c>
      <c r="N3" s="58" t="s">
        <v>53</v>
      </c>
    </row>
    <row r="4" spans="1:14" ht="14.45" x14ac:dyDescent="0.25">
      <c r="C4" s="51"/>
      <c r="D4" s="51"/>
      <c r="E4" s="32"/>
      <c r="F4" s="32"/>
      <c r="G4" s="33"/>
      <c r="H4" s="77" t="s">
        <v>18</v>
      </c>
      <c r="I4" s="77" t="s">
        <v>19</v>
      </c>
      <c r="J4" s="75" t="s">
        <v>18</v>
      </c>
      <c r="K4" s="76" t="s">
        <v>19</v>
      </c>
      <c r="L4" s="75" t="s">
        <v>18</v>
      </c>
      <c r="M4" s="57" t="s">
        <v>19</v>
      </c>
      <c r="N4" s="59" t="s">
        <v>54</v>
      </c>
    </row>
    <row r="5" spans="1:14" ht="14.45" x14ac:dyDescent="0.25">
      <c r="A5" s="50" t="s">
        <v>55</v>
      </c>
      <c r="C5" s="51"/>
      <c r="D5" s="51"/>
      <c r="E5" s="32"/>
      <c r="F5" s="32"/>
      <c r="G5" s="33"/>
      <c r="H5" s="73"/>
      <c r="I5" s="74"/>
      <c r="J5" s="73"/>
      <c r="K5" s="74"/>
      <c r="L5" s="73"/>
      <c r="M5" s="74"/>
      <c r="N5" s="81"/>
    </row>
    <row r="6" spans="1:14" ht="14.45" x14ac:dyDescent="0.3">
      <c r="F6" s="52"/>
      <c r="G6" s="53"/>
      <c r="H6" s="60"/>
      <c r="I6" s="72"/>
      <c r="J6" s="60"/>
      <c r="K6" s="61"/>
      <c r="L6" s="60"/>
      <c r="M6" s="72">
        <f>+I6+K6</f>
        <v>0</v>
      </c>
    </row>
    <row r="7" spans="1:14" ht="14.45" x14ac:dyDescent="0.3">
      <c r="A7" s="36" t="s">
        <v>23</v>
      </c>
      <c r="B7" s="36" t="s">
        <v>186</v>
      </c>
      <c r="C7" s="36" t="s">
        <v>31</v>
      </c>
      <c r="D7" s="36" t="s">
        <v>27</v>
      </c>
      <c r="E7" s="36" t="s">
        <v>26</v>
      </c>
      <c r="F7" s="52">
        <v>43131</v>
      </c>
      <c r="G7" s="53">
        <v>-11026.67</v>
      </c>
      <c r="H7" s="60">
        <f t="shared" ref="H7:H52" si="0">+G7</f>
        <v>-11026.67</v>
      </c>
      <c r="I7" s="72">
        <f t="shared" ref="I7:I52" si="1">+G7-H7</f>
        <v>0</v>
      </c>
      <c r="J7" s="60">
        <f>-H7</f>
        <v>11026.67</v>
      </c>
      <c r="K7" s="61"/>
      <c r="L7" s="60">
        <f>+H7+J7</f>
        <v>0</v>
      </c>
      <c r="M7" s="72">
        <f t="shared" ref="L7:M51" si="2">+I7+K7</f>
        <v>0</v>
      </c>
      <c r="N7" s="83">
        <v>1</v>
      </c>
    </row>
    <row r="8" spans="1:14" ht="14.45" x14ac:dyDescent="0.3">
      <c r="A8" s="36" t="s">
        <v>23</v>
      </c>
      <c r="B8" s="36" t="s">
        <v>186</v>
      </c>
      <c r="C8" s="36" t="s">
        <v>31</v>
      </c>
      <c r="D8" s="36" t="s">
        <v>25</v>
      </c>
      <c r="E8" s="36" t="s">
        <v>26</v>
      </c>
      <c r="F8" s="52">
        <v>43131</v>
      </c>
      <c r="G8" s="53">
        <v>-5946376.9500000002</v>
      </c>
      <c r="H8" s="60">
        <f t="shared" si="0"/>
        <v>-5946376.9500000002</v>
      </c>
      <c r="I8" s="72">
        <f t="shared" si="1"/>
        <v>0</v>
      </c>
      <c r="J8" s="60"/>
      <c r="K8" s="61"/>
      <c r="L8" s="60">
        <f t="shared" si="2"/>
        <v>-5946376.9500000002</v>
      </c>
      <c r="M8" s="72">
        <f t="shared" si="2"/>
        <v>0</v>
      </c>
      <c r="N8" s="82"/>
    </row>
    <row r="9" spans="1:14" ht="14.45" x14ac:dyDescent="0.3">
      <c r="A9" s="36" t="s">
        <v>23</v>
      </c>
      <c r="B9" s="36" t="s">
        <v>186</v>
      </c>
      <c r="C9" s="36" t="s">
        <v>31</v>
      </c>
      <c r="D9" s="36" t="s">
        <v>28</v>
      </c>
      <c r="E9" s="36" t="s">
        <v>26</v>
      </c>
      <c r="F9" s="52">
        <v>43131</v>
      </c>
      <c r="G9" s="53">
        <v>8295343.4100000001</v>
      </c>
      <c r="H9" s="60">
        <f t="shared" si="0"/>
        <v>8295343.4100000001</v>
      </c>
      <c r="I9" s="72">
        <f t="shared" si="1"/>
        <v>0</v>
      </c>
      <c r="J9" s="60"/>
      <c r="K9" s="61"/>
      <c r="L9" s="60">
        <f t="shared" si="2"/>
        <v>8295343.4100000001</v>
      </c>
      <c r="M9" s="72">
        <f t="shared" si="2"/>
        <v>0</v>
      </c>
      <c r="N9" s="82"/>
    </row>
    <row r="10" spans="1:14" ht="14.45" x14ac:dyDescent="0.3">
      <c r="A10" s="36" t="s">
        <v>23</v>
      </c>
      <c r="B10" s="36" t="s">
        <v>186</v>
      </c>
      <c r="C10" s="36" t="s">
        <v>31</v>
      </c>
      <c r="D10" s="36" t="s">
        <v>25</v>
      </c>
      <c r="E10" s="36" t="s">
        <v>26</v>
      </c>
      <c r="F10" s="52">
        <v>43131</v>
      </c>
      <c r="G10" s="53">
        <v>5473016.7999999998</v>
      </c>
      <c r="H10" s="60">
        <f t="shared" si="0"/>
        <v>5473016.7999999998</v>
      </c>
      <c r="I10" s="72">
        <f t="shared" si="1"/>
        <v>0</v>
      </c>
      <c r="J10" s="60"/>
      <c r="K10" s="61"/>
      <c r="L10" s="60">
        <f t="shared" si="2"/>
        <v>5473016.7999999998</v>
      </c>
      <c r="M10" s="72">
        <f t="shared" si="2"/>
        <v>0</v>
      </c>
      <c r="N10" s="82"/>
    </row>
    <row r="11" spans="1:14" ht="14.45" x14ac:dyDescent="0.3">
      <c r="A11" s="36" t="s">
        <v>23</v>
      </c>
      <c r="B11" s="36" t="s">
        <v>186</v>
      </c>
      <c r="C11" s="36" t="s">
        <v>32</v>
      </c>
      <c r="D11" s="36" t="s">
        <v>25</v>
      </c>
      <c r="E11" s="36" t="s">
        <v>26</v>
      </c>
      <c r="F11" s="52">
        <v>43153</v>
      </c>
      <c r="G11" s="53">
        <v>-5473016.7999999998</v>
      </c>
      <c r="H11" s="60">
        <f t="shared" si="0"/>
        <v>-5473016.7999999998</v>
      </c>
      <c r="I11" s="72">
        <f t="shared" si="1"/>
        <v>0</v>
      </c>
      <c r="J11" s="60"/>
      <c r="K11" s="61"/>
      <c r="L11" s="60">
        <f t="shared" si="2"/>
        <v>-5473016.7999999998</v>
      </c>
      <c r="M11" s="72">
        <f t="shared" si="2"/>
        <v>0</v>
      </c>
      <c r="N11" s="82"/>
    </row>
    <row r="12" spans="1:14" ht="14.45" x14ac:dyDescent="0.3">
      <c r="A12" s="36" t="s">
        <v>23</v>
      </c>
      <c r="B12" s="36" t="s">
        <v>186</v>
      </c>
      <c r="C12" s="36" t="s">
        <v>32</v>
      </c>
      <c r="D12" s="36" t="s">
        <v>27</v>
      </c>
      <c r="E12" s="36" t="s">
        <v>26</v>
      </c>
      <c r="F12" s="52">
        <v>43159</v>
      </c>
      <c r="G12" s="53">
        <v>1142.3399999999999</v>
      </c>
      <c r="H12" s="60">
        <f t="shared" si="0"/>
        <v>1142.3399999999999</v>
      </c>
      <c r="I12" s="72">
        <f t="shared" si="1"/>
        <v>0</v>
      </c>
      <c r="J12" s="60"/>
      <c r="K12" s="61"/>
      <c r="L12" s="60">
        <f t="shared" si="2"/>
        <v>1142.3399999999999</v>
      </c>
      <c r="M12" s="72">
        <f t="shared" si="2"/>
        <v>0</v>
      </c>
      <c r="N12" s="82"/>
    </row>
    <row r="13" spans="1:14" ht="14.45" x14ac:dyDescent="0.3">
      <c r="A13" s="36" t="s">
        <v>23</v>
      </c>
      <c r="B13" s="36" t="s">
        <v>186</v>
      </c>
      <c r="C13" s="36" t="s">
        <v>32</v>
      </c>
      <c r="D13" s="36" t="s">
        <v>25</v>
      </c>
      <c r="E13" s="36" t="s">
        <v>26</v>
      </c>
      <c r="F13" s="52">
        <v>43159</v>
      </c>
      <c r="G13" s="53">
        <v>5216658.24</v>
      </c>
      <c r="H13" s="60">
        <f t="shared" si="0"/>
        <v>5216658.24</v>
      </c>
      <c r="I13" s="72">
        <f t="shared" si="1"/>
        <v>0</v>
      </c>
      <c r="J13" s="60"/>
      <c r="K13" s="61"/>
      <c r="L13" s="60">
        <f t="shared" si="2"/>
        <v>5216658.24</v>
      </c>
      <c r="M13" s="72">
        <f t="shared" si="2"/>
        <v>0</v>
      </c>
      <c r="N13" s="82"/>
    </row>
    <row r="14" spans="1:14" ht="14.45" x14ac:dyDescent="0.3">
      <c r="A14" s="36" t="s">
        <v>23</v>
      </c>
      <c r="B14" s="36" t="s">
        <v>186</v>
      </c>
      <c r="C14" s="36" t="s">
        <v>32</v>
      </c>
      <c r="D14" s="36" t="s">
        <v>28</v>
      </c>
      <c r="E14" s="36" t="s">
        <v>26</v>
      </c>
      <c r="F14" s="52">
        <v>43159</v>
      </c>
      <c r="G14" s="53">
        <v>9676828.0299999993</v>
      </c>
      <c r="H14" s="60">
        <f t="shared" si="0"/>
        <v>9676828.0299999993</v>
      </c>
      <c r="I14" s="72">
        <f t="shared" si="1"/>
        <v>0</v>
      </c>
      <c r="J14" s="60"/>
      <c r="K14" s="61"/>
      <c r="L14" s="60">
        <f t="shared" si="2"/>
        <v>9676828.0299999993</v>
      </c>
      <c r="M14" s="72">
        <f t="shared" si="2"/>
        <v>0</v>
      </c>
      <c r="N14" s="82"/>
    </row>
    <row r="15" spans="1:14" ht="14.45" x14ac:dyDescent="0.3">
      <c r="A15" s="36" t="s">
        <v>23</v>
      </c>
      <c r="B15" s="36" t="s">
        <v>186</v>
      </c>
      <c r="C15" s="36" t="s">
        <v>33</v>
      </c>
      <c r="D15" s="36" t="s">
        <v>25</v>
      </c>
      <c r="E15" s="36" t="s">
        <v>26</v>
      </c>
      <c r="F15" s="52">
        <v>43179</v>
      </c>
      <c r="G15" s="53">
        <v>-5216658.24</v>
      </c>
      <c r="H15" s="60">
        <f t="shared" si="0"/>
        <v>-5216658.24</v>
      </c>
      <c r="I15" s="72">
        <f t="shared" si="1"/>
        <v>0</v>
      </c>
      <c r="J15" s="60"/>
      <c r="K15" s="61"/>
      <c r="L15" s="60">
        <f t="shared" si="2"/>
        <v>-5216658.24</v>
      </c>
      <c r="M15" s="72">
        <f t="shared" si="2"/>
        <v>0</v>
      </c>
      <c r="N15" s="82"/>
    </row>
    <row r="16" spans="1:14" ht="14.45" x14ac:dyDescent="0.3">
      <c r="A16" s="36" t="s">
        <v>23</v>
      </c>
      <c r="B16" s="36" t="s">
        <v>186</v>
      </c>
      <c r="C16" s="36" t="s">
        <v>33</v>
      </c>
      <c r="D16" s="36" t="s">
        <v>27</v>
      </c>
      <c r="E16" s="36" t="s">
        <v>26</v>
      </c>
      <c r="F16" s="52">
        <v>43190</v>
      </c>
      <c r="G16" s="53">
        <v>-7745.65</v>
      </c>
      <c r="H16" s="60">
        <f t="shared" si="0"/>
        <v>-7745.65</v>
      </c>
      <c r="I16" s="72">
        <f t="shared" si="1"/>
        <v>0</v>
      </c>
      <c r="J16" s="60"/>
      <c r="K16" s="61"/>
      <c r="L16" s="60">
        <f t="shared" si="2"/>
        <v>-7745.65</v>
      </c>
      <c r="M16" s="72">
        <f t="shared" si="2"/>
        <v>0</v>
      </c>
      <c r="N16" s="82"/>
    </row>
    <row r="17" spans="1:14" ht="14.45" x14ac:dyDescent="0.3">
      <c r="A17" s="36" t="s">
        <v>23</v>
      </c>
      <c r="B17" s="36" t="s">
        <v>186</v>
      </c>
      <c r="C17" s="36" t="s">
        <v>33</v>
      </c>
      <c r="D17" s="36" t="s">
        <v>25</v>
      </c>
      <c r="E17" s="36" t="s">
        <v>26</v>
      </c>
      <c r="F17" s="52">
        <v>43190</v>
      </c>
      <c r="G17" s="53">
        <v>4804327.01</v>
      </c>
      <c r="H17" s="60">
        <f t="shared" si="0"/>
        <v>4804327.01</v>
      </c>
      <c r="I17" s="72">
        <f t="shared" si="1"/>
        <v>0</v>
      </c>
      <c r="J17" s="60"/>
      <c r="K17" s="61"/>
      <c r="L17" s="60">
        <f t="shared" si="2"/>
        <v>4804327.01</v>
      </c>
      <c r="M17" s="72">
        <f t="shared" si="2"/>
        <v>0</v>
      </c>
      <c r="N17" s="82"/>
    </row>
    <row r="18" spans="1:14" ht="14.45" x14ac:dyDescent="0.3">
      <c r="A18" s="36" t="s">
        <v>23</v>
      </c>
      <c r="B18" s="36" t="s">
        <v>186</v>
      </c>
      <c r="C18" s="36" t="s">
        <v>33</v>
      </c>
      <c r="D18" s="36" t="s">
        <v>28</v>
      </c>
      <c r="E18" s="36" t="s">
        <v>26</v>
      </c>
      <c r="F18" s="52">
        <v>43190</v>
      </c>
      <c r="G18" s="53">
        <v>8429131.5600000005</v>
      </c>
      <c r="H18" s="60">
        <f t="shared" si="0"/>
        <v>8429131.5600000005</v>
      </c>
      <c r="I18" s="72">
        <f t="shared" si="1"/>
        <v>0</v>
      </c>
      <c r="J18" s="60"/>
      <c r="K18" s="61"/>
      <c r="L18" s="60">
        <f t="shared" si="2"/>
        <v>8429131.5600000005</v>
      </c>
      <c r="M18" s="72">
        <f t="shared" si="2"/>
        <v>0</v>
      </c>
      <c r="N18" s="82"/>
    </row>
    <row r="19" spans="1:14" ht="14.45" x14ac:dyDescent="0.3">
      <c r="A19" s="36" t="s">
        <v>23</v>
      </c>
      <c r="B19" s="36" t="s">
        <v>186</v>
      </c>
      <c r="C19" s="36" t="s">
        <v>34</v>
      </c>
      <c r="D19" s="36" t="s">
        <v>25</v>
      </c>
      <c r="E19" s="36" t="s">
        <v>26</v>
      </c>
      <c r="F19" s="52">
        <v>43203</v>
      </c>
      <c r="G19" s="53">
        <v>-4804327.01</v>
      </c>
      <c r="H19" s="60">
        <f t="shared" si="0"/>
        <v>-4804327.01</v>
      </c>
      <c r="I19" s="72">
        <f t="shared" si="1"/>
        <v>0</v>
      </c>
      <c r="J19" s="60"/>
      <c r="K19" s="61"/>
      <c r="L19" s="60">
        <f t="shared" si="2"/>
        <v>-4804327.01</v>
      </c>
      <c r="M19" s="72">
        <f t="shared" si="2"/>
        <v>0</v>
      </c>
      <c r="N19" s="82"/>
    </row>
    <row r="20" spans="1:14" ht="14.45" x14ac:dyDescent="0.3">
      <c r="A20" s="36" t="s">
        <v>23</v>
      </c>
      <c r="B20" s="36" t="s">
        <v>186</v>
      </c>
      <c r="C20" s="36" t="s">
        <v>34</v>
      </c>
      <c r="D20" s="36" t="s">
        <v>25</v>
      </c>
      <c r="E20" s="36" t="s">
        <v>26</v>
      </c>
      <c r="F20" s="52">
        <v>43220</v>
      </c>
      <c r="G20" s="53">
        <v>4201190.38</v>
      </c>
      <c r="H20" s="60">
        <f t="shared" si="0"/>
        <v>4201190.38</v>
      </c>
      <c r="I20" s="72">
        <f t="shared" si="1"/>
        <v>0</v>
      </c>
      <c r="J20" s="60"/>
      <c r="K20" s="61"/>
      <c r="L20" s="60">
        <f t="shared" si="2"/>
        <v>4201190.38</v>
      </c>
      <c r="M20" s="72">
        <f t="shared" si="2"/>
        <v>0</v>
      </c>
      <c r="N20" s="82"/>
    </row>
    <row r="21" spans="1:14" ht="14.45" x14ac:dyDescent="0.3">
      <c r="A21" s="36" t="s">
        <v>23</v>
      </c>
      <c r="B21" s="36" t="s">
        <v>186</v>
      </c>
      <c r="C21" s="36" t="s">
        <v>34</v>
      </c>
      <c r="D21" s="36" t="s">
        <v>28</v>
      </c>
      <c r="E21" s="36" t="s">
        <v>26</v>
      </c>
      <c r="F21" s="52">
        <v>43220</v>
      </c>
      <c r="G21" s="53">
        <v>7414996</v>
      </c>
      <c r="H21" s="60">
        <f t="shared" si="0"/>
        <v>7414996</v>
      </c>
      <c r="I21" s="72">
        <f t="shared" si="1"/>
        <v>0</v>
      </c>
      <c r="J21" s="60"/>
      <c r="K21" s="61"/>
      <c r="L21" s="60">
        <f t="shared" si="2"/>
        <v>7414996</v>
      </c>
      <c r="M21" s="72">
        <f t="shared" si="2"/>
        <v>0</v>
      </c>
      <c r="N21" s="82"/>
    </row>
    <row r="22" spans="1:14" ht="14.45" x14ac:dyDescent="0.3">
      <c r="A22" s="36" t="s">
        <v>23</v>
      </c>
      <c r="B22" s="36" t="s">
        <v>186</v>
      </c>
      <c r="C22" s="36" t="s">
        <v>35</v>
      </c>
      <c r="D22" s="36" t="s">
        <v>25</v>
      </c>
      <c r="E22" s="36" t="s">
        <v>26</v>
      </c>
      <c r="F22" s="52">
        <v>43231</v>
      </c>
      <c r="G22" s="53">
        <v>-4201190.38</v>
      </c>
      <c r="H22" s="60">
        <f t="shared" si="0"/>
        <v>-4201190.38</v>
      </c>
      <c r="I22" s="72">
        <f t="shared" si="1"/>
        <v>0</v>
      </c>
      <c r="J22" s="60"/>
      <c r="K22" s="61"/>
      <c r="L22" s="60">
        <f t="shared" si="2"/>
        <v>-4201190.38</v>
      </c>
      <c r="M22" s="72">
        <f t="shared" si="2"/>
        <v>0</v>
      </c>
      <c r="N22" s="82"/>
    </row>
    <row r="23" spans="1:14" ht="14.45" x14ac:dyDescent="0.3">
      <c r="A23" s="36" t="s">
        <v>23</v>
      </c>
      <c r="B23" s="36" t="s">
        <v>186</v>
      </c>
      <c r="C23" s="36" t="s">
        <v>35</v>
      </c>
      <c r="D23" s="36" t="s">
        <v>25</v>
      </c>
      <c r="E23" s="36" t="s">
        <v>26</v>
      </c>
      <c r="F23" s="52">
        <v>43251</v>
      </c>
      <c r="G23" s="53">
        <v>3767924.43</v>
      </c>
      <c r="H23" s="60">
        <f t="shared" si="0"/>
        <v>3767924.43</v>
      </c>
      <c r="I23" s="72">
        <f t="shared" si="1"/>
        <v>0</v>
      </c>
      <c r="J23" s="60"/>
      <c r="K23" s="61"/>
      <c r="L23" s="60">
        <f t="shared" si="2"/>
        <v>3767924.43</v>
      </c>
      <c r="M23" s="72">
        <f t="shared" si="2"/>
        <v>0</v>
      </c>
      <c r="N23" s="82"/>
    </row>
    <row r="24" spans="1:14" ht="14.45" x14ac:dyDescent="0.3">
      <c r="A24" s="36" t="s">
        <v>23</v>
      </c>
      <c r="B24" s="36" t="s">
        <v>186</v>
      </c>
      <c r="C24" s="36" t="s">
        <v>35</v>
      </c>
      <c r="D24" s="36" t="s">
        <v>28</v>
      </c>
      <c r="E24" s="36" t="s">
        <v>26</v>
      </c>
      <c r="F24" s="52">
        <v>43251</v>
      </c>
      <c r="G24" s="53">
        <v>6260943.8700000001</v>
      </c>
      <c r="H24" s="60">
        <f t="shared" si="0"/>
        <v>6260943.8700000001</v>
      </c>
      <c r="I24" s="72">
        <f t="shared" si="1"/>
        <v>0</v>
      </c>
      <c r="J24" s="60"/>
      <c r="K24" s="61"/>
      <c r="L24" s="60">
        <f t="shared" si="2"/>
        <v>6260943.8700000001</v>
      </c>
      <c r="M24" s="72">
        <f t="shared" si="2"/>
        <v>0</v>
      </c>
      <c r="N24" s="82"/>
    </row>
    <row r="25" spans="1:14" ht="14.45" x14ac:dyDescent="0.3">
      <c r="A25" s="36" t="s">
        <v>23</v>
      </c>
      <c r="B25" s="36" t="s">
        <v>186</v>
      </c>
      <c r="C25" s="36" t="s">
        <v>36</v>
      </c>
      <c r="D25" s="36" t="s">
        <v>25</v>
      </c>
      <c r="E25" s="36" t="s">
        <v>26</v>
      </c>
      <c r="F25" s="52">
        <v>43270</v>
      </c>
      <c r="G25" s="53">
        <v>-3767924.43</v>
      </c>
      <c r="H25" s="60">
        <f t="shared" si="0"/>
        <v>-3767924.43</v>
      </c>
      <c r="I25" s="72">
        <f t="shared" si="1"/>
        <v>0</v>
      </c>
      <c r="J25" s="60"/>
      <c r="K25" s="61"/>
      <c r="L25" s="60">
        <f t="shared" si="2"/>
        <v>-3767924.43</v>
      </c>
      <c r="M25" s="72">
        <f t="shared" si="2"/>
        <v>0</v>
      </c>
      <c r="N25" s="82"/>
    </row>
    <row r="26" spans="1:14" ht="14.45" x14ac:dyDescent="0.3">
      <c r="A26" s="36" t="s">
        <v>23</v>
      </c>
      <c r="B26" s="36" t="s">
        <v>186</v>
      </c>
      <c r="C26" s="36" t="s">
        <v>36</v>
      </c>
      <c r="D26" s="36" t="s">
        <v>28</v>
      </c>
      <c r="E26" s="36" t="s">
        <v>26</v>
      </c>
      <c r="F26" s="52">
        <v>43281</v>
      </c>
      <c r="G26" s="53">
        <v>5732357.1200000001</v>
      </c>
      <c r="H26" s="60">
        <f t="shared" si="0"/>
        <v>5732357.1200000001</v>
      </c>
      <c r="I26" s="72">
        <f t="shared" si="1"/>
        <v>0</v>
      </c>
      <c r="J26" s="60"/>
      <c r="K26" s="61"/>
      <c r="L26" s="60">
        <f t="shared" si="2"/>
        <v>5732357.1200000001</v>
      </c>
      <c r="M26" s="72">
        <f t="shared" si="2"/>
        <v>0</v>
      </c>
      <c r="N26" s="82"/>
    </row>
    <row r="27" spans="1:14" ht="14.45" x14ac:dyDescent="0.3">
      <c r="A27" s="36" t="s">
        <v>23</v>
      </c>
      <c r="B27" s="36" t="s">
        <v>186</v>
      </c>
      <c r="C27" s="36" t="s">
        <v>36</v>
      </c>
      <c r="D27" s="36" t="s">
        <v>25</v>
      </c>
      <c r="E27" s="36" t="s">
        <v>26</v>
      </c>
      <c r="F27" s="52">
        <v>43281</v>
      </c>
      <c r="G27" s="53">
        <v>3802994.6</v>
      </c>
      <c r="H27" s="60">
        <f t="shared" si="0"/>
        <v>3802994.6</v>
      </c>
      <c r="I27" s="72">
        <f t="shared" si="1"/>
        <v>0</v>
      </c>
      <c r="J27" s="60"/>
      <c r="K27" s="61"/>
      <c r="L27" s="60">
        <f t="shared" si="2"/>
        <v>3802994.6</v>
      </c>
      <c r="M27" s="72">
        <f t="shared" si="2"/>
        <v>0</v>
      </c>
      <c r="N27" s="82"/>
    </row>
    <row r="28" spans="1:14" ht="14.45" x14ac:dyDescent="0.3">
      <c r="A28" s="36" t="s">
        <v>23</v>
      </c>
      <c r="B28" s="36" t="s">
        <v>186</v>
      </c>
      <c r="C28" s="36" t="s">
        <v>37</v>
      </c>
      <c r="D28" s="36" t="s">
        <v>25</v>
      </c>
      <c r="E28" s="36" t="s">
        <v>26</v>
      </c>
      <c r="F28" s="52">
        <v>43304</v>
      </c>
      <c r="G28" s="53">
        <v>-3802994.6</v>
      </c>
      <c r="H28" s="60">
        <f t="shared" si="0"/>
        <v>-3802994.6</v>
      </c>
      <c r="I28" s="72">
        <f t="shared" si="1"/>
        <v>0</v>
      </c>
      <c r="J28" s="60"/>
      <c r="K28" s="61"/>
      <c r="L28" s="60">
        <f t="shared" si="2"/>
        <v>-3802994.6</v>
      </c>
      <c r="M28" s="72">
        <f t="shared" si="2"/>
        <v>0</v>
      </c>
      <c r="N28" s="82"/>
    </row>
    <row r="29" spans="1:14" ht="14.45" x14ac:dyDescent="0.3">
      <c r="A29" s="36" t="s">
        <v>23</v>
      </c>
      <c r="B29" s="36" t="s">
        <v>186</v>
      </c>
      <c r="C29" s="36" t="s">
        <v>37</v>
      </c>
      <c r="D29" s="36" t="s">
        <v>25</v>
      </c>
      <c r="E29" s="36" t="s">
        <v>26</v>
      </c>
      <c r="F29" s="52">
        <v>43312</v>
      </c>
      <c r="G29" s="53">
        <v>4242803.8600000003</v>
      </c>
      <c r="H29" s="60">
        <f t="shared" si="0"/>
        <v>4242803.8600000003</v>
      </c>
      <c r="I29" s="72">
        <f t="shared" si="1"/>
        <v>0</v>
      </c>
      <c r="J29" s="60"/>
      <c r="K29" s="61"/>
      <c r="L29" s="60">
        <f t="shared" si="2"/>
        <v>4242803.8600000003</v>
      </c>
      <c r="M29" s="72">
        <f t="shared" si="2"/>
        <v>0</v>
      </c>
      <c r="N29" s="82"/>
    </row>
    <row r="30" spans="1:14" ht="14.45" x14ac:dyDescent="0.3">
      <c r="A30" s="36" t="s">
        <v>23</v>
      </c>
      <c r="B30" s="36" t="s">
        <v>186</v>
      </c>
      <c r="C30" s="36" t="s">
        <v>37</v>
      </c>
      <c r="D30" s="36" t="s">
        <v>28</v>
      </c>
      <c r="E30" s="36" t="s">
        <v>26</v>
      </c>
      <c r="F30" s="52">
        <v>43312</v>
      </c>
      <c r="G30" s="53">
        <v>5970408.6900000004</v>
      </c>
      <c r="H30" s="60">
        <f t="shared" si="0"/>
        <v>5970408.6900000004</v>
      </c>
      <c r="I30" s="72">
        <f t="shared" si="1"/>
        <v>0</v>
      </c>
      <c r="J30" s="60"/>
      <c r="K30" s="61"/>
      <c r="L30" s="60">
        <f t="shared" si="2"/>
        <v>5970408.6900000004</v>
      </c>
      <c r="M30" s="72">
        <f t="shared" si="2"/>
        <v>0</v>
      </c>
      <c r="N30" s="82"/>
    </row>
    <row r="31" spans="1:14" ht="14.45" x14ac:dyDescent="0.3">
      <c r="A31" s="36" t="s">
        <v>23</v>
      </c>
      <c r="B31" s="36" t="s">
        <v>186</v>
      </c>
      <c r="C31" s="36" t="s">
        <v>38</v>
      </c>
      <c r="D31" s="36" t="s">
        <v>25</v>
      </c>
      <c r="E31" s="36" t="s">
        <v>26</v>
      </c>
      <c r="F31" s="52">
        <v>43325</v>
      </c>
      <c r="G31" s="53">
        <v>-4242803.8600000003</v>
      </c>
      <c r="H31" s="60">
        <f t="shared" si="0"/>
        <v>-4242803.8600000003</v>
      </c>
      <c r="I31" s="72">
        <f t="shared" si="1"/>
        <v>0</v>
      </c>
      <c r="J31" s="60"/>
      <c r="K31" s="61"/>
      <c r="L31" s="60">
        <f t="shared" si="2"/>
        <v>-4242803.8600000003</v>
      </c>
      <c r="M31" s="72">
        <f t="shared" si="2"/>
        <v>0</v>
      </c>
      <c r="N31" s="82"/>
    </row>
    <row r="32" spans="1:14" ht="14.45" x14ac:dyDescent="0.3">
      <c r="A32" s="36" t="s">
        <v>23</v>
      </c>
      <c r="B32" s="36" t="s">
        <v>186</v>
      </c>
      <c r="C32" s="36" t="s">
        <v>38</v>
      </c>
      <c r="D32" s="36" t="s">
        <v>27</v>
      </c>
      <c r="E32" s="36" t="s">
        <v>26</v>
      </c>
      <c r="F32" s="52">
        <v>43343</v>
      </c>
      <c r="G32" s="53">
        <v>-20506.96</v>
      </c>
      <c r="H32" s="60">
        <f t="shared" si="0"/>
        <v>-20506.96</v>
      </c>
      <c r="I32" s="72">
        <f t="shared" si="1"/>
        <v>0</v>
      </c>
      <c r="J32" s="60"/>
      <c r="K32" s="61"/>
      <c r="L32" s="60">
        <f t="shared" si="2"/>
        <v>-20506.96</v>
      </c>
      <c r="M32" s="72">
        <f t="shared" si="2"/>
        <v>0</v>
      </c>
      <c r="N32" s="82"/>
    </row>
    <row r="33" spans="1:14" ht="14.45" x14ac:dyDescent="0.3">
      <c r="A33" s="36" t="s">
        <v>23</v>
      </c>
      <c r="B33" s="36" t="s">
        <v>186</v>
      </c>
      <c r="C33" s="36" t="s">
        <v>38</v>
      </c>
      <c r="D33" s="36" t="s">
        <v>25</v>
      </c>
      <c r="E33" s="36" t="s">
        <v>26</v>
      </c>
      <c r="F33" s="52">
        <v>43343</v>
      </c>
      <c r="G33" s="53">
        <v>3967348.81</v>
      </c>
      <c r="H33" s="60">
        <f t="shared" si="0"/>
        <v>3967348.81</v>
      </c>
      <c r="I33" s="72">
        <f t="shared" si="1"/>
        <v>0</v>
      </c>
      <c r="J33" s="60"/>
      <c r="K33" s="61"/>
      <c r="L33" s="60">
        <f t="shared" si="2"/>
        <v>3967348.81</v>
      </c>
      <c r="M33" s="72">
        <f t="shared" si="2"/>
        <v>0</v>
      </c>
      <c r="N33" s="82"/>
    </row>
    <row r="34" spans="1:14" ht="14.45" x14ac:dyDescent="0.3">
      <c r="A34" s="36" t="s">
        <v>23</v>
      </c>
      <c r="B34" s="36" t="s">
        <v>186</v>
      </c>
      <c r="C34" s="36" t="s">
        <v>38</v>
      </c>
      <c r="D34" s="36" t="s">
        <v>28</v>
      </c>
      <c r="E34" s="36" t="s">
        <v>26</v>
      </c>
      <c r="F34" s="52">
        <v>43343</v>
      </c>
      <c r="G34" s="53">
        <v>6477371.8300000001</v>
      </c>
      <c r="H34" s="60">
        <f t="shared" si="0"/>
        <v>6477371.8300000001</v>
      </c>
      <c r="I34" s="72">
        <f t="shared" si="1"/>
        <v>0</v>
      </c>
      <c r="J34" s="60"/>
      <c r="K34" s="61"/>
      <c r="L34" s="60">
        <f t="shared" si="2"/>
        <v>6477371.8300000001</v>
      </c>
      <c r="M34" s="72">
        <f t="shared" si="2"/>
        <v>0</v>
      </c>
      <c r="N34" s="82"/>
    </row>
    <row r="35" spans="1:14" ht="14.45" x14ac:dyDescent="0.3">
      <c r="A35" s="36" t="s">
        <v>23</v>
      </c>
      <c r="B35" s="36" t="s">
        <v>186</v>
      </c>
      <c r="C35" s="36" t="s">
        <v>39</v>
      </c>
      <c r="D35" s="36" t="s">
        <v>25</v>
      </c>
      <c r="E35" s="36" t="s">
        <v>26</v>
      </c>
      <c r="F35" s="52">
        <v>43360</v>
      </c>
      <c r="G35" s="53">
        <v>-3967348.81</v>
      </c>
      <c r="H35" s="60">
        <f t="shared" si="0"/>
        <v>-3967348.81</v>
      </c>
      <c r="I35" s="72">
        <f t="shared" si="1"/>
        <v>0</v>
      </c>
      <c r="J35" s="60"/>
      <c r="K35" s="61"/>
      <c r="L35" s="60">
        <f t="shared" si="2"/>
        <v>-3967348.81</v>
      </c>
      <c r="M35" s="72">
        <f t="shared" si="2"/>
        <v>0</v>
      </c>
      <c r="N35" s="82"/>
    </row>
    <row r="36" spans="1:14" ht="14.45" x14ac:dyDescent="0.3">
      <c r="A36" s="36" t="s">
        <v>23</v>
      </c>
      <c r="B36" s="36" t="s">
        <v>186</v>
      </c>
      <c r="C36" s="36" t="s">
        <v>39</v>
      </c>
      <c r="D36" s="36" t="s">
        <v>187</v>
      </c>
      <c r="E36" s="36" t="s">
        <v>26</v>
      </c>
      <c r="F36" s="52">
        <v>43361</v>
      </c>
      <c r="G36" s="53">
        <v>1340.62</v>
      </c>
      <c r="H36" s="60">
        <f t="shared" si="0"/>
        <v>1340.62</v>
      </c>
      <c r="I36" s="72">
        <f t="shared" si="1"/>
        <v>0</v>
      </c>
      <c r="J36" s="60"/>
      <c r="K36" s="61"/>
      <c r="L36" s="60">
        <f t="shared" si="2"/>
        <v>1340.62</v>
      </c>
      <c r="M36" s="72">
        <f t="shared" si="2"/>
        <v>0</v>
      </c>
      <c r="N36" s="82"/>
    </row>
    <row r="37" spans="1:14" ht="14.45" x14ac:dyDescent="0.3">
      <c r="A37" s="36" t="s">
        <v>23</v>
      </c>
      <c r="B37" s="36" t="s">
        <v>186</v>
      </c>
      <c r="C37" s="36" t="s">
        <v>39</v>
      </c>
      <c r="D37" s="36" t="s">
        <v>27</v>
      </c>
      <c r="E37" s="36" t="s">
        <v>26</v>
      </c>
      <c r="F37" s="52">
        <v>43373</v>
      </c>
      <c r="G37" s="53">
        <v>-31218.67</v>
      </c>
      <c r="H37" s="60">
        <f t="shared" si="0"/>
        <v>-31218.67</v>
      </c>
      <c r="I37" s="72">
        <f t="shared" si="1"/>
        <v>0</v>
      </c>
      <c r="J37" s="60"/>
      <c r="K37" s="61"/>
      <c r="L37" s="60">
        <f t="shared" si="2"/>
        <v>-31218.67</v>
      </c>
      <c r="M37" s="72">
        <f t="shared" si="2"/>
        <v>0</v>
      </c>
      <c r="N37" s="82"/>
    </row>
    <row r="38" spans="1:14" ht="14.45" x14ac:dyDescent="0.3">
      <c r="A38" s="36" t="s">
        <v>23</v>
      </c>
      <c r="B38" s="36" t="s">
        <v>186</v>
      </c>
      <c r="C38" s="36" t="s">
        <v>39</v>
      </c>
      <c r="D38" s="36" t="s">
        <v>25</v>
      </c>
      <c r="E38" s="36" t="s">
        <v>26</v>
      </c>
      <c r="F38" s="52">
        <v>43373</v>
      </c>
      <c r="G38" s="53">
        <v>3622932.33</v>
      </c>
      <c r="H38" s="60">
        <f t="shared" si="0"/>
        <v>3622932.33</v>
      </c>
      <c r="I38" s="72">
        <f t="shared" si="1"/>
        <v>0</v>
      </c>
      <c r="J38" s="60"/>
      <c r="K38" s="61"/>
      <c r="L38" s="60">
        <f t="shared" si="2"/>
        <v>3622932.33</v>
      </c>
      <c r="M38" s="72">
        <f t="shared" si="2"/>
        <v>0</v>
      </c>
      <c r="N38" s="82"/>
    </row>
    <row r="39" spans="1:14" ht="14.45" x14ac:dyDescent="0.3">
      <c r="A39" s="36" t="s">
        <v>23</v>
      </c>
      <c r="B39" s="36" t="s">
        <v>186</v>
      </c>
      <c r="C39" s="36" t="s">
        <v>39</v>
      </c>
      <c r="D39" s="36" t="s">
        <v>28</v>
      </c>
      <c r="E39" s="36" t="s">
        <v>26</v>
      </c>
      <c r="F39" s="52">
        <v>43373</v>
      </c>
      <c r="G39" s="53">
        <v>5970630.2800000003</v>
      </c>
      <c r="H39" s="60">
        <f t="shared" si="0"/>
        <v>5970630.2800000003</v>
      </c>
      <c r="I39" s="72">
        <f t="shared" si="1"/>
        <v>0</v>
      </c>
      <c r="J39" s="60"/>
      <c r="K39" s="61"/>
      <c r="L39" s="60">
        <f t="shared" si="2"/>
        <v>5970630.2800000003</v>
      </c>
      <c r="M39" s="72">
        <f t="shared" si="2"/>
        <v>0</v>
      </c>
      <c r="N39" s="82"/>
    </row>
    <row r="40" spans="1:14" ht="14.45" x14ac:dyDescent="0.3">
      <c r="A40" s="36" t="s">
        <v>23</v>
      </c>
      <c r="B40" s="36" t="s">
        <v>186</v>
      </c>
      <c r="C40" s="36" t="s">
        <v>24</v>
      </c>
      <c r="D40" s="36" t="s">
        <v>25</v>
      </c>
      <c r="E40" s="36" t="s">
        <v>26</v>
      </c>
      <c r="F40" s="52">
        <v>43390</v>
      </c>
      <c r="G40" s="53">
        <v>-3622932.33</v>
      </c>
      <c r="H40" s="60">
        <f t="shared" si="0"/>
        <v>-3622932.33</v>
      </c>
      <c r="I40" s="72">
        <f t="shared" si="1"/>
        <v>0</v>
      </c>
      <c r="J40" s="60"/>
      <c r="K40" s="61"/>
      <c r="L40" s="60">
        <f t="shared" si="2"/>
        <v>-3622932.33</v>
      </c>
      <c r="M40" s="72">
        <f t="shared" si="2"/>
        <v>0</v>
      </c>
      <c r="N40" s="82"/>
    </row>
    <row r="41" spans="1:14" ht="14.45" x14ac:dyDescent="0.3">
      <c r="A41" s="36" t="s">
        <v>23</v>
      </c>
      <c r="B41" s="36" t="s">
        <v>186</v>
      </c>
      <c r="C41" s="36" t="s">
        <v>24</v>
      </c>
      <c r="D41" s="36" t="s">
        <v>28</v>
      </c>
      <c r="E41" s="36" t="s">
        <v>26</v>
      </c>
      <c r="F41" s="52">
        <v>43404</v>
      </c>
      <c r="G41" s="53">
        <v>-21278.240000000002</v>
      </c>
      <c r="H41" s="60">
        <f t="shared" si="0"/>
        <v>-21278.240000000002</v>
      </c>
      <c r="I41" s="72">
        <f t="shared" si="1"/>
        <v>0</v>
      </c>
      <c r="J41" s="60"/>
      <c r="K41" s="61"/>
      <c r="L41" s="60">
        <f t="shared" si="2"/>
        <v>-21278.240000000002</v>
      </c>
      <c r="M41" s="72">
        <f t="shared" si="2"/>
        <v>0</v>
      </c>
      <c r="N41" s="82"/>
    </row>
    <row r="42" spans="1:14" ht="14.45" x14ac:dyDescent="0.3">
      <c r="A42" s="36" t="s">
        <v>23</v>
      </c>
      <c r="B42" s="36" t="s">
        <v>186</v>
      </c>
      <c r="C42" s="36" t="s">
        <v>24</v>
      </c>
      <c r="D42" s="36" t="s">
        <v>25</v>
      </c>
      <c r="E42" s="36" t="s">
        <v>26</v>
      </c>
      <c r="F42" s="52">
        <v>43404</v>
      </c>
      <c r="G42" s="53">
        <v>4394556.37</v>
      </c>
      <c r="H42" s="60">
        <f t="shared" si="0"/>
        <v>4394556.37</v>
      </c>
      <c r="I42" s="72">
        <f t="shared" si="1"/>
        <v>0</v>
      </c>
      <c r="J42" s="60"/>
      <c r="K42" s="61"/>
      <c r="L42" s="60">
        <f t="shared" si="2"/>
        <v>4394556.37</v>
      </c>
      <c r="M42" s="72">
        <f t="shared" si="2"/>
        <v>0</v>
      </c>
      <c r="N42" s="82"/>
    </row>
    <row r="43" spans="1:14" ht="14.45" x14ac:dyDescent="0.3">
      <c r="A43" s="36" t="s">
        <v>23</v>
      </c>
      <c r="B43" s="36" t="s">
        <v>186</v>
      </c>
      <c r="C43" s="36" t="s">
        <v>24</v>
      </c>
      <c r="D43" s="36" t="s">
        <v>28</v>
      </c>
      <c r="E43" s="36" t="s">
        <v>26</v>
      </c>
      <c r="F43" s="52">
        <v>43404</v>
      </c>
      <c r="G43" s="53">
        <v>5937447.1500000004</v>
      </c>
      <c r="H43" s="60">
        <f t="shared" si="0"/>
        <v>5937447.1500000004</v>
      </c>
      <c r="I43" s="72">
        <f t="shared" si="1"/>
        <v>0</v>
      </c>
      <c r="J43" s="60"/>
      <c r="K43" s="61"/>
      <c r="L43" s="60">
        <f t="shared" si="2"/>
        <v>5937447.1500000004</v>
      </c>
      <c r="M43" s="72">
        <f t="shared" si="2"/>
        <v>0</v>
      </c>
      <c r="N43" s="82"/>
    </row>
    <row r="44" spans="1:14" ht="14.45" x14ac:dyDescent="0.3">
      <c r="A44" s="36" t="s">
        <v>23</v>
      </c>
      <c r="B44" s="36" t="s">
        <v>186</v>
      </c>
      <c r="C44" s="36" t="s">
        <v>29</v>
      </c>
      <c r="D44" s="36" t="s">
        <v>25</v>
      </c>
      <c r="E44" s="36" t="s">
        <v>26</v>
      </c>
      <c r="F44" s="52">
        <v>43418</v>
      </c>
      <c r="G44" s="53">
        <v>-4394556.37</v>
      </c>
      <c r="H44" s="60">
        <f t="shared" si="0"/>
        <v>-4394556.37</v>
      </c>
      <c r="I44" s="72">
        <f t="shared" si="1"/>
        <v>0</v>
      </c>
      <c r="J44" s="60"/>
      <c r="K44" s="61"/>
      <c r="L44" s="60">
        <f t="shared" si="2"/>
        <v>-4394556.37</v>
      </c>
      <c r="M44" s="72">
        <f t="shared" si="2"/>
        <v>0</v>
      </c>
      <c r="N44" s="82"/>
    </row>
    <row r="45" spans="1:14" ht="14.45" x14ac:dyDescent="0.3">
      <c r="A45" s="36" t="s">
        <v>23</v>
      </c>
      <c r="B45" s="36" t="s">
        <v>186</v>
      </c>
      <c r="C45" s="36" t="s">
        <v>29</v>
      </c>
      <c r="D45" s="36" t="s">
        <v>25</v>
      </c>
      <c r="E45" s="36" t="s">
        <v>26</v>
      </c>
      <c r="F45" s="52">
        <v>43434</v>
      </c>
      <c r="G45" s="53">
        <v>5006618.5199999996</v>
      </c>
      <c r="H45" s="60">
        <f t="shared" si="0"/>
        <v>5006618.5199999996</v>
      </c>
      <c r="I45" s="72">
        <f t="shared" si="1"/>
        <v>0</v>
      </c>
      <c r="J45" s="60"/>
      <c r="K45" s="61"/>
      <c r="L45" s="60">
        <f t="shared" si="2"/>
        <v>5006618.5199999996</v>
      </c>
      <c r="M45" s="72">
        <f t="shared" si="2"/>
        <v>0</v>
      </c>
      <c r="N45" s="82"/>
    </row>
    <row r="46" spans="1:14" ht="14.45" x14ac:dyDescent="0.3">
      <c r="A46" s="36" t="s">
        <v>23</v>
      </c>
      <c r="B46" s="36" t="s">
        <v>186</v>
      </c>
      <c r="C46" s="36" t="s">
        <v>29</v>
      </c>
      <c r="D46" s="36" t="s">
        <v>28</v>
      </c>
      <c r="E46" s="36" t="s">
        <v>26</v>
      </c>
      <c r="F46" s="52">
        <v>43434</v>
      </c>
      <c r="G46" s="53">
        <v>6668001.8600000003</v>
      </c>
      <c r="H46" s="60">
        <f t="shared" si="0"/>
        <v>6668001.8600000003</v>
      </c>
      <c r="I46" s="72">
        <f t="shared" si="1"/>
        <v>0</v>
      </c>
      <c r="J46" s="60"/>
      <c r="K46" s="61"/>
      <c r="L46" s="60">
        <f t="shared" si="2"/>
        <v>6668001.8600000003</v>
      </c>
      <c r="M46" s="72">
        <f t="shared" si="2"/>
        <v>0</v>
      </c>
      <c r="N46" s="82"/>
    </row>
    <row r="47" spans="1:14" ht="14.45" x14ac:dyDescent="0.3">
      <c r="A47" s="36" t="s">
        <v>23</v>
      </c>
      <c r="B47" s="36" t="s">
        <v>186</v>
      </c>
      <c r="C47" s="36" t="s">
        <v>29</v>
      </c>
      <c r="D47" s="36" t="s">
        <v>28</v>
      </c>
      <c r="E47" s="36" t="s">
        <v>26</v>
      </c>
      <c r="F47" s="52">
        <v>43434</v>
      </c>
      <c r="G47" s="53">
        <v>275.60000000000002</v>
      </c>
      <c r="H47" s="60">
        <f t="shared" si="0"/>
        <v>275.60000000000002</v>
      </c>
      <c r="I47" s="72">
        <f t="shared" si="1"/>
        <v>0</v>
      </c>
      <c r="J47" s="60"/>
      <c r="K47" s="61"/>
      <c r="L47" s="60">
        <f t="shared" si="2"/>
        <v>275.60000000000002</v>
      </c>
      <c r="M47" s="72">
        <f t="shared" si="2"/>
        <v>0</v>
      </c>
      <c r="N47" s="82"/>
    </row>
    <row r="48" spans="1:14" ht="14.45" x14ac:dyDescent="0.3">
      <c r="A48" s="36" t="s">
        <v>23</v>
      </c>
      <c r="B48" s="36" t="s">
        <v>186</v>
      </c>
      <c r="C48" s="36" t="s">
        <v>30</v>
      </c>
      <c r="D48" s="36" t="s">
        <v>25</v>
      </c>
      <c r="E48" s="36" t="s">
        <v>26</v>
      </c>
      <c r="F48" s="52">
        <v>43447</v>
      </c>
      <c r="G48" s="53">
        <v>-5006618.5199999996</v>
      </c>
      <c r="H48" s="60">
        <f t="shared" si="0"/>
        <v>-5006618.5199999996</v>
      </c>
      <c r="I48" s="72">
        <f t="shared" si="1"/>
        <v>0</v>
      </c>
      <c r="J48" s="60"/>
      <c r="K48" s="61"/>
      <c r="L48" s="60">
        <f t="shared" si="2"/>
        <v>-5006618.5199999996</v>
      </c>
      <c r="M48" s="72">
        <f t="shared" si="2"/>
        <v>0</v>
      </c>
      <c r="N48" s="82"/>
    </row>
    <row r="49" spans="1:15" ht="14.45" x14ac:dyDescent="0.3">
      <c r="A49" s="36" t="s">
        <v>23</v>
      </c>
      <c r="B49" s="36" t="s">
        <v>186</v>
      </c>
      <c r="C49" s="36" t="s">
        <v>30</v>
      </c>
      <c r="D49" s="36" t="s">
        <v>16</v>
      </c>
      <c r="E49" s="36" t="s">
        <v>26</v>
      </c>
      <c r="F49" s="52">
        <v>43465</v>
      </c>
      <c r="G49" s="53">
        <v>-945633.84</v>
      </c>
      <c r="H49" s="60">
        <f t="shared" si="0"/>
        <v>-945633.84</v>
      </c>
      <c r="I49" s="72">
        <f t="shared" si="1"/>
        <v>0</v>
      </c>
      <c r="J49" s="60"/>
      <c r="K49" s="61"/>
      <c r="L49" s="60">
        <f t="shared" si="2"/>
        <v>-945633.84</v>
      </c>
      <c r="M49" s="72">
        <f t="shared" si="2"/>
        <v>0</v>
      </c>
      <c r="N49" s="82"/>
    </row>
    <row r="50" spans="1:15" ht="14.45" x14ac:dyDescent="0.3">
      <c r="A50" s="36" t="s">
        <v>23</v>
      </c>
      <c r="B50" s="36" t="s">
        <v>186</v>
      </c>
      <c r="C50" s="36" t="s">
        <v>30</v>
      </c>
      <c r="D50" s="36" t="s">
        <v>25</v>
      </c>
      <c r="E50" s="36" t="s">
        <v>26</v>
      </c>
      <c r="F50" s="52">
        <v>43465</v>
      </c>
      <c r="G50" s="53">
        <v>5475377.0599999996</v>
      </c>
      <c r="H50" s="60">
        <f t="shared" si="0"/>
        <v>5475377.0599999996</v>
      </c>
      <c r="I50" s="72">
        <f t="shared" si="1"/>
        <v>0</v>
      </c>
      <c r="J50" s="60"/>
      <c r="K50" s="61"/>
      <c r="L50" s="60">
        <f t="shared" si="2"/>
        <v>5475377.0599999996</v>
      </c>
      <c r="M50" s="72">
        <f t="shared" si="2"/>
        <v>0</v>
      </c>
      <c r="N50" s="82"/>
    </row>
    <row r="51" spans="1:15" ht="14.45" x14ac:dyDescent="0.3">
      <c r="A51" s="36" t="s">
        <v>23</v>
      </c>
      <c r="B51" s="36" t="s">
        <v>186</v>
      </c>
      <c r="C51" s="36" t="s">
        <v>30</v>
      </c>
      <c r="D51" s="36" t="s">
        <v>28</v>
      </c>
      <c r="E51" s="36" t="s">
        <v>26</v>
      </c>
      <c r="F51" s="52">
        <v>43465</v>
      </c>
      <c r="G51" s="53">
        <v>7963292.8200000003</v>
      </c>
      <c r="H51" s="60">
        <f t="shared" si="0"/>
        <v>7963292.8200000003</v>
      </c>
      <c r="I51" s="72">
        <f t="shared" si="1"/>
        <v>0</v>
      </c>
      <c r="J51" s="60"/>
      <c r="K51" s="61"/>
      <c r="L51" s="60">
        <f t="shared" si="2"/>
        <v>7963292.8200000003</v>
      </c>
      <c r="M51" s="72">
        <f t="shared" si="2"/>
        <v>0</v>
      </c>
      <c r="N51" s="82"/>
    </row>
    <row r="52" spans="1:15" x14ac:dyDescent="0.25">
      <c r="B52" s="108"/>
      <c r="C52" s="108"/>
      <c r="F52" s="52"/>
      <c r="G52" s="53"/>
      <c r="H52" s="60">
        <f t="shared" si="0"/>
        <v>0</v>
      </c>
      <c r="I52" s="72">
        <f t="shared" si="1"/>
        <v>0</v>
      </c>
      <c r="J52" s="60"/>
      <c r="K52" s="72">
        <v>0</v>
      </c>
      <c r="L52" s="60">
        <f>+H52+J52</f>
        <v>0</v>
      </c>
      <c r="M52" s="72">
        <f t="shared" ref="M52:M53" si="3">+I52+K52</f>
        <v>0</v>
      </c>
      <c r="N52" s="82"/>
    </row>
    <row r="53" spans="1:15" x14ac:dyDescent="0.25">
      <c r="B53" s="108">
        <f>+'True-up prior period'!B2</f>
        <v>2019</v>
      </c>
      <c r="C53" s="108" t="str">
        <f>+'True-up prior period'!C2</f>
        <v>1</v>
      </c>
      <c r="D53" s="108" t="str">
        <f>+'True-up prior period'!D2</f>
        <v>State Excise Tax True-up - Electric</v>
      </c>
      <c r="E53" s="108" t="str">
        <f>+'True-up prior period'!E2</f>
        <v>40810002</v>
      </c>
      <c r="F53" s="52">
        <f>+'True-up prior period'!F2</f>
        <v>43496</v>
      </c>
      <c r="G53" s="53"/>
      <c r="H53" s="60"/>
      <c r="I53" s="72"/>
      <c r="J53" s="60">
        <f>+'True-up prior period'!G2</f>
        <v>0</v>
      </c>
      <c r="K53" s="72">
        <v>0</v>
      </c>
      <c r="L53" s="109">
        <f>+J53</f>
        <v>0</v>
      </c>
      <c r="M53" s="72">
        <f t="shared" si="3"/>
        <v>0</v>
      </c>
      <c r="N53" s="83">
        <v>2</v>
      </c>
    </row>
    <row r="54" spans="1:15" x14ac:dyDescent="0.25">
      <c r="A54" s="46" t="s">
        <v>16</v>
      </c>
      <c r="B54" s="46" t="s">
        <v>16</v>
      </c>
      <c r="C54" s="46" t="s">
        <v>16</v>
      </c>
      <c r="D54" s="46" t="s">
        <v>16</v>
      </c>
      <c r="E54" s="46" t="s">
        <v>16</v>
      </c>
      <c r="F54" s="122"/>
      <c r="G54" s="123">
        <f t="shared" ref="G54:M54" si="4">SUM(G6:G53)</f>
        <v>83291101.25999999</v>
      </c>
      <c r="H54" s="123">
        <f t="shared" si="4"/>
        <v>83291101.25999999</v>
      </c>
      <c r="I54" s="123">
        <f t="shared" si="4"/>
        <v>0</v>
      </c>
      <c r="J54" s="123">
        <f t="shared" si="4"/>
        <v>11026.67</v>
      </c>
      <c r="K54" s="123">
        <f t="shared" si="4"/>
        <v>0</v>
      </c>
      <c r="L54" s="123">
        <f t="shared" si="4"/>
        <v>83302127.929999977</v>
      </c>
      <c r="M54" s="123">
        <f t="shared" si="4"/>
        <v>0</v>
      </c>
      <c r="N54" s="82"/>
      <c r="O54" s="110">
        <f>+H54-L54</f>
        <v>-11026.669999986887</v>
      </c>
    </row>
    <row r="55" spans="1:15" x14ac:dyDescent="0.25">
      <c r="A55" s="54" t="s">
        <v>56</v>
      </c>
      <c r="C55" s="55"/>
      <c r="D55" s="34"/>
      <c r="E55" s="34"/>
      <c r="F55" s="35"/>
      <c r="G55" s="34"/>
      <c r="H55" s="64"/>
      <c r="I55" s="63"/>
      <c r="J55" s="64"/>
      <c r="K55" s="63"/>
      <c r="L55" s="62"/>
      <c r="M55" s="61"/>
      <c r="N55" s="82"/>
    </row>
    <row r="56" spans="1:15" x14ac:dyDescent="0.25">
      <c r="A56" s="30" t="s">
        <v>23</v>
      </c>
      <c r="B56" s="30" t="s">
        <v>186</v>
      </c>
      <c r="C56" s="30" t="s">
        <v>31</v>
      </c>
      <c r="D56" s="30" t="s">
        <v>42</v>
      </c>
      <c r="E56" s="30" t="s">
        <v>41</v>
      </c>
      <c r="F56" s="124">
        <v>43131</v>
      </c>
      <c r="G56" s="65">
        <v>-365.03</v>
      </c>
      <c r="H56" s="65"/>
      <c r="I56" s="65">
        <f>+G56</f>
        <v>-365.03</v>
      </c>
      <c r="J56" s="64"/>
      <c r="K56" s="65">
        <f>-I56</f>
        <v>365.03</v>
      </c>
      <c r="L56" s="69">
        <f>+H56+J56</f>
        <v>0</v>
      </c>
      <c r="M56" s="70">
        <f>+I56+K56</f>
        <v>0</v>
      </c>
      <c r="N56" s="83">
        <v>1</v>
      </c>
    </row>
    <row r="57" spans="1:15" x14ac:dyDescent="0.25">
      <c r="A57" s="30" t="s">
        <v>23</v>
      </c>
      <c r="B57" s="30" t="s">
        <v>186</v>
      </c>
      <c r="C57" s="30" t="s">
        <v>31</v>
      </c>
      <c r="D57" s="30" t="s">
        <v>40</v>
      </c>
      <c r="E57" s="30" t="s">
        <v>41</v>
      </c>
      <c r="F57" s="124">
        <v>43131</v>
      </c>
      <c r="G57" s="65">
        <v>-2645086.54</v>
      </c>
      <c r="H57" s="65"/>
      <c r="I57" s="65">
        <f t="shared" ref="I57:I114" si="5">+G57</f>
        <v>-2645086.54</v>
      </c>
      <c r="J57" s="64"/>
      <c r="K57" s="65"/>
      <c r="L57" s="69">
        <f t="shared" ref="L57:M71" si="6">+H57+J57</f>
        <v>0</v>
      </c>
      <c r="M57" s="70">
        <f t="shared" si="6"/>
        <v>-2645086.54</v>
      </c>
      <c r="N57" s="83"/>
    </row>
    <row r="58" spans="1:15" x14ac:dyDescent="0.25">
      <c r="A58" s="30" t="s">
        <v>23</v>
      </c>
      <c r="B58" s="30" t="s">
        <v>186</v>
      </c>
      <c r="C58" s="30" t="s">
        <v>31</v>
      </c>
      <c r="D58" s="30" t="s">
        <v>43</v>
      </c>
      <c r="E58" s="30" t="s">
        <v>41</v>
      </c>
      <c r="F58" s="124">
        <v>43131</v>
      </c>
      <c r="G58" s="65">
        <v>4282210.43</v>
      </c>
      <c r="H58" s="65"/>
      <c r="I58" s="65">
        <f t="shared" si="5"/>
        <v>4282210.43</v>
      </c>
      <c r="J58" s="62"/>
      <c r="K58" s="61"/>
      <c r="L58" s="69">
        <f t="shared" si="6"/>
        <v>0</v>
      </c>
      <c r="M58" s="70">
        <f t="shared" si="6"/>
        <v>4282210.43</v>
      </c>
      <c r="N58" s="82"/>
    </row>
    <row r="59" spans="1:15" x14ac:dyDescent="0.25">
      <c r="A59" s="30" t="s">
        <v>23</v>
      </c>
      <c r="B59" s="30" t="s">
        <v>186</v>
      </c>
      <c r="C59" s="30" t="s">
        <v>31</v>
      </c>
      <c r="D59" s="30" t="s">
        <v>40</v>
      </c>
      <c r="E59" s="30" t="s">
        <v>41</v>
      </c>
      <c r="F59" s="124">
        <v>43131</v>
      </c>
      <c r="G59" s="65">
        <v>2287143.2799999998</v>
      </c>
      <c r="H59" s="65"/>
      <c r="I59" s="65">
        <f t="shared" si="5"/>
        <v>2287143.2799999998</v>
      </c>
      <c r="J59" s="62"/>
      <c r="K59" s="61"/>
      <c r="L59" s="69">
        <f t="shared" si="6"/>
        <v>0</v>
      </c>
      <c r="M59" s="70">
        <f t="shared" si="6"/>
        <v>2287143.2799999998</v>
      </c>
      <c r="N59" s="82"/>
    </row>
    <row r="60" spans="1:15" x14ac:dyDescent="0.25">
      <c r="A60" s="30" t="s">
        <v>23</v>
      </c>
      <c r="B60" s="30" t="s">
        <v>186</v>
      </c>
      <c r="C60" s="30" t="s">
        <v>32</v>
      </c>
      <c r="D60" s="30" t="s">
        <v>40</v>
      </c>
      <c r="E60" s="30" t="s">
        <v>41</v>
      </c>
      <c r="F60" s="124">
        <v>43153</v>
      </c>
      <c r="G60" s="65">
        <v>-2287143.2799999998</v>
      </c>
      <c r="H60" s="65"/>
      <c r="I60" s="65">
        <f t="shared" si="5"/>
        <v>-2287143.2799999998</v>
      </c>
      <c r="J60" s="62"/>
      <c r="K60" s="61"/>
      <c r="L60" s="69">
        <f t="shared" si="6"/>
        <v>0</v>
      </c>
      <c r="M60" s="70">
        <f t="shared" si="6"/>
        <v>-2287143.2799999998</v>
      </c>
      <c r="N60" s="82"/>
    </row>
    <row r="61" spans="1:15" x14ac:dyDescent="0.25">
      <c r="A61" s="30" t="s">
        <v>23</v>
      </c>
      <c r="B61" s="30" t="s">
        <v>186</v>
      </c>
      <c r="C61" s="30" t="s">
        <v>32</v>
      </c>
      <c r="D61" s="30" t="s">
        <v>42</v>
      </c>
      <c r="E61" s="30" t="s">
        <v>41</v>
      </c>
      <c r="F61" s="124">
        <v>43159</v>
      </c>
      <c r="G61" s="65">
        <v>-407.26</v>
      </c>
      <c r="H61" s="65"/>
      <c r="I61" s="65">
        <f t="shared" si="5"/>
        <v>-407.26</v>
      </c>
      <c r="J61" s="62"/>
      <c r="K61" s="61"/>
      <c r="L61" s="69">
        <f t="shared" si="6"/>
        <v>0</v>
      </c>
      <c r="M61" s="70">
        <f t="shared" si="6"/>
        <v>-407.26</v>
      </c>
      <c r="N61" s="82"/>
    </row>
    <row r="62" spans="1:15" x14ac:dyDescent="0.25">
      <c r="A62" s="30" t="s">
        <v>23</v>
      </c>
      <c r="B62" s="30" t="s">
        <v>186</v>
      </c>
      <c r="C62" s="30" t="s">
        <v>32</v>
      </c>
      <c r="D62" s="30" t="s">
        <v>40</v>
      </c>
      <c r="E62" s="30" t="s">
        <v>41</v>
      </c>
      <c r="F62" s="124">
        <v>43159</v>
      </c>
      <c r="G62" s="65">
        <v>2376969.04</v>
      </c>
      <c r="H62" s="65"/>
      <c r="I62" s="65">
        <f t="shared" si="5"/>
        <v>2376969.04</v>
      </c>
      <c r="J62" s="62"/>
      <c r="K62" s="61"/>
      <c r="L62" s="69">
        <f t="shared" si="6"/>
        <v>0</v>
      </c>
      <c r="M62" s="70">
        <f t="shared" si="6"/>
        <v>2376969.04</v>
      </c>
      <c r="N62" s="82"/>
    </row>
    <row r="63" spans="1:15" x14ac:dyDescent="0.25">
      <c r="A63" s="30" t="s">
        <v>23</v>
      </c>
      <c r="B63" s="30" t="s">
        <v>186</v>
      </c>
      <c r="C63" s="30" t="s">
        <v>32</v>
      </c>
      <c r="D63" s="30" t="s">
        <v>43</v>
      </c>
      <c r="E63" s="30" t="s">
        <v>41</v>
      </c>
      <c r="F63" s="124">
        <v>43159</v>
      </c>
      <c r="G63" s="65">
        <v>5281618.34</v>
      </c>
      <c r="H63" s="65"/>
      <c r="I63" s="65">
        <f t="shared" si="5"/>
        <v>5281618.34</v>
      </c>
      <c r="J63" s="62"/>
      <c r="K63" s="61"/>
      <c r="L63" s="69">
        <f t="shared" si="6"/>
        <v>0</v>
      </c>
      <c r="M63" s="70">
        <f t="shared" si="6"/>
        <v>5281618.34</v>
      </c>
      <c r="N63" s="82"/>
    </row>
    <row r="64" spans="1:15" x14ac:dyDescent="0.25">
      <c r="A64" s="30" t="s">
        <v>23</v>
      </c>
      <c r="B64" s="30" t="s">
        <v>186</v>
      </c>
      <c r="C64" s="30" t="s">
        <v>33</v>
      </c>
      <c r="D64" s="30" t="s">
        <v>40</v>
      </c>
      <c r="E64" s="30" t="s">
        <v>41</v>
      </c>
      <c r="F64" s="124">
        <v>43179</v>
      </c>
      <c r="G64" s="65">
        <v>-2376969.04</v>
      </c>
      <c r="H64" s="65"/>
      <c r="I64" s="65">
        <f t="shared" si="5"/>
        <v>-2376969.04</v>
      </c>
      <c r="J64" s="62"/>
      <c r="K64" s="61"/>
      <c r="L64" s="69">
        <f t="shared" si="6"/>
        <v>0</v>
      </c>
      <c r="M64" s="70">
        <f t="shared" si="6"/>
        <v>-2376969.04</v>
      </c>
      <c r="N64" s="82"/>
    </row>
    <row r="65" spans="1:14" x14ac:dyDescent="0.25">
      <c r="A65" s="30" t="s">
        <v>23</v>
      </c>
      <c r="B65" s="30" t="s">
        <v>186</v>
      </c>
      <c r="C65" s="30" t="s">
        <v>33</v>
      </c>
      <c r="D65" s="30" t="s">
        <v>40</v>
      </c>
      <c r="E65" s="30" t="s">
        <v>41</v>
      </c>
      <c r="F65" s="124">
        <v>43190</v>
      </c>
      <c r="G65" s="65">
        <v>1918737.24</v>
      </c>
      <c r="H65" s="65"/>
      <c r="I65" s="65">
        <f t="shared" si="5"/>
        <v>1918737.24</v>
      </c>
      <c r="J65" s="62"/>
      <c r="K65" s="61"/>
      <c r="L65" s="69">
        <f t="shared" si="6"/>
        <v>0</v>
      </c>
      <c r="M65" s="70">
        <f t="shared" si="6"/>
        <v>1918737.24</v>
      </c>
      <c r="N65" s="82"/>
    </row>
    <row r="66" spans="1:14" x14ac:dyDescent="0.25">
      <c r="A66" s="30" t="s">
        <v>23</v>
      </c>
      <c r="B66" s="30" t="s">
        <v>186</v>
      </c>
      <c r="C66" s="30" t="s">
        <v>33</v>
      </c>
      <c r="D66" s="30" t="s">
        <v>43</v>
      </c>
      <c r="E66" s="30" t="s">
        <v>41</v>
      </c>
      <c r="F66" s="124">
        <v>43190</v>
      </c>
      <c r="G66" s="65">
        <v>4584078.1399999997</v>
      </c>
      <c r="H66" s="65"/>
      <c r="I66" s="65">
        <f t="shared" si="5"/>
        <v>4584078.1399999997</v>
      </c>
      <c r="J66" s="62"/>
      <c r="K66" s="61"/>
      <c r="L66" s="69">
        <f t="shared" si="6"/>
        <v>0</v>
      </c>
      <c r="M66" s="70">
        <f t="shared" si="6"/>
        <v>4584078.1399999997</v>
      </c>
      <c r="N66" s="82"/>
    </row>
    <row r="67" spans="1:14" x14ac:dyDescent="0.25">
      <c r="A67" s="30" t="s">
        <v>23</v>
      </c>
      <c r="B67" s="30" t="s">
        <v>186</v>
      </c>
      <c r="C67" s="30" t="s">
        <v>34</v>
      </c>
      <c r="D67" s="30" t="s">
        <v>40</v>
      </c>
      <c r="E67" s="30" t="s">
        <v>41</v>
      </c>
      <c r="F67" s="124">
        <v>43203</v>
      </c>
      <c r="G67" s="65">
        <v>-1918737.24</v>
      </c>
      <c r="H67" s="65"/>
      <c r="I67" s="65">
        <f t="shared" si="5"/>
        <v>-1918737.24</v>
      </c>
      <c r="J67" s="62"/>
      <c r="K67" s="61"/>
      <c r="L67" s="69">
        <f t="shared" si="6"/>
        <v>0</v>
      </c>
      <c r="M67" s="70">
        <f t="shared" si="6"/>
        <v>-1918737.24</v>
      </c>
      <c r="N67" s="82"/>
    </row>
    <row r="68" spans="1:14" x14ac:dyDescent="0.25">
      <c r="A68" s="30" t="s">
        <v>23</v>
      </c>
      <c r="B68" s="30" t="s">
        <v>186</v>
      </c>
      <c r="C68" s="30" t="s">
        <v>34</v>
      </c>
      <c r="D68" s="30" t="s">
        <v>42</v>
      </c>
      <c r="E68" s="30" t="s">
        <v>41</v>
      </c>
      <c r="F68" s="124">
        <v>43220</v>
      </c>
      <c r="G68" s="65">
        <v>-391.45</v>
      </c>
      <c r="H68" s="65"/>
      <c r="I68" s="65">
        <f t="shared" si="5"/>
        <v>-391.45</v>
      </c>
      <c r="J68" s="62"/>
      <c r="K68" s="61"/>
      <c r="L68" s="69">
        <f t="shared" si="6"/>
        <v>0</v>
      </c>
      <c r="M68" s="70">
        <f t="shared" si="6"/>
        <v>-391.45</v>
      </c>
      <c r="N68" s="82"/>
    </row>
    <row r="69" spans="1:14" x14ac:dyDescent="0.25">
      <c r="A69" s="30" t="s">
        <v>23</v>
      </c>
      <c r="B69" s="30" t="s">
        <v>186</v>
      </c>
      <c r="C69" s="30" t="s">
        <v>34</v>
      </c>
      <c r="D69" s="30" t="s">
        <v>188</v>
      </c>
      <c r="E69" s="30" t="s">
        <v>41</v>
      </c>
      <c r="F69" s="124">
        <v>43220</v>
      </c>
      <c r="G69" s="65">
        <v>260.64</v>
      </c>
      <c r="H69" s="65"/>
      <c r="I69" s="65">
        <f t="shared" si="5"/>
        <v>260.64</v>
      </c>
      <c r="J69" s="62"/>
      <c r="K69" s="61"/>
      <c r="L69" s="69">
        <f t="shared" si="6"/>
        <v>0</v>
      </c>
      <c r="M69" s="70">
        <f t="shared" si="6"/>
        <v>260.64</v>
      </c>
      <c r="N69" s="82"/>
    </row>
    <row r="70" spans="1:14" x14ac:dyDescent="0.25">
      <c r="A70" s="30" t="s">
        <v>23</v>
      </c>
      <c r="B70" s="30" t="s">
        <v>186</v>
      </c>
      <c r="C70" s="30" t="s">
        <v>34</v>
      </c>
      <c r="D70" s="30" t="s">
        <v>40</v>
      </c>
      <c r="E70" s="30" t="s">
        <v>41</v>
      </c>
      <c r="F70" s="124">
        <v>43220</v>
      </c>
      <c r="G70" s="65">
        <v>1457043.7</v>
      </c>
      <c r="H70" s="65"/>
      <c r="I70" s="65">
        <f t="shared" si="5"/>
        <v>1457043.7</v>
      </c>
      <c r="J70" s="62"/>
      <c r="K70" s="61"/>
      <c r="L70" s="69">
        <f t="shared" si="6"/>
        <v>0</v>
      </c>
      <c r="M70" s="70">
        <f t="shared" si="6"/>
        <v>1457043.7</v>
      </c>
      <c r="N70" s="82"/>
    </row>
    <row r="71" spans="1:14" x14ac:dyDescent="0.25">
      <c r="A71" s="30" t="s">
        <v>23</v>
      </c>
      <c r="B71" s="30" t="s">
        <v>186</v>
      </c>
      <c r="C71" s="30" t="s">
        <v>34</v>
      </c>
      <c r="D71" s="30" t="s">
        <v>43</v>
      </c>
      <c r="E71" s="30" t="s">
        <v>41</v>
      </c>
      <c r="F71" s="124">
        <v>43220</v>
      </c>
      <c r="G71" s="65">
        <v>3492817.71</v>
      </c>
      <c r="H71" s="65"/>
      <c r="I71" s="65">
        <f t="shared" si="5"/>
        <v>3492817.71</v>
      </c>
      <c r="J71" s="62"/>
      <c r="K71" s="61"/>
      <c r="L71" s="69">
        <f t="shared" si="6"/>
        <v>0</v>
      </c>
      <c r="M71" s="70">
        <f t="shared" si="6"/>
        <v>3492817.71</v>
      </c>
      <c r="N71" s="82"/>
    </row>
    <row r="72" spans="1:14" x14ac:dyDescent="0.25">
      <c r="A72" s="30" t="s">
        <v>23</v>
      </c>
      <c r="B72" s="30" t="s">
        <v>186</v>
      </c>
      <c r="C72" s="30" t="s">
        <v>35</v>
      </c>
      <c r="D72" s="30" t="s">
        <v>40</v>
      </c>
      <c r="E72" s="30" t="s">
        <v>41</v>
      </c>
      <c r="F72" s="124">
        <v>43231</v>
      </c>
      <c r="G72" s="65">
        <v>-1457043.7</v>
      </c>
      <c r="H72" s="65"/>
      <c r="I72" s="65">
        <f t="shared" si="5"/>
        <v>-1457043.7</v>
      </c>
      <c r="J72" s="62"/>
      <c r="K72" s="61"/>
      <c r="L72" s="69">
        <f t="shared" ref="L72:M101" si="7">+H72+J72</f>
        <v>0</v>
      </c>
      <c r="M72" s="70">
        <f t="shared" si="7"/>
        <v>-1457043.7</v>
      </c>
      <c r="N72" s="82"/>
    </row>
    <row r="73" spans="1:14" x14ac:dyDescent="0.25">
      <c r="A73" s="30" t="s">
        <v>23</v>
      </c>
      <c r="B73" s="30" t="s">
        <v>186</v>
      </c>
      <c r="C73" s="30" t="s">
        <v>35</v>
      </c>
      <c r="D73" s="30" t="s">
        <v>42</v>
      </c>
      <c r="E73" s="30" t="s">
        <v>41</v>
      </c>
      <c r="F73" s="124">
        <v>43251</v>
      </c>
      <c r="G73" s="65">
        <v>-260.64</v>
      </c>
      <c r="H73" s="65"/>
      <c r="I73" s="65">
        <f t="shared" si="5"/>
        <v>-260.64</v>
      </c>
      <c r="J73" s="62"/>
      <c r="K73" s="61"/>
      <c r="L73" s="69">
        <f t="shared" si="7"/>
        <v>0</v>
      </c>
      <c r="M73" s="70">
        <f t="shared" si="7"/>
        <v>-260.64</v>
      </c>
      <c r="N73" s="82"/>
    </row>
    <row r="74" spans="1:14" x14ac:dyDescent="0.25">
      <c r="A74" s="30" t="s">
        <v>23</v>
      </c>
      <c r="B74" s="30" t="s">
        <v>186</v>
      </c>
      <c r="C74" s="30" t="s">
        <v>35</v>
      </c>
      <c r="D74" s="30" t="s">
        <v>188</v>
      </c>
      <c r="E74" s="30" t="s">
        <v>41</v>
      </c>
      <c r="F74" s="124">
        <v>43251</v>
      </c>
      <c r="G74" s="65">
        <v>137.6</v>
      </c>
      <c r="H74" s="65"/>
      <c r="I74" s="65">
        <f t="shared" si="5"/>
        <v>137.6</v>
      </c>
      <c r="J74" s="62"/>
      <c r="K74" s="61"/>
      <c r="L74" s="69">
        <f t="shared" si="7"/>
        <v>0</v>
      </c>
      <c r="M74" s="70">
        <f t="shared" si="7"/>
        <v>137.6</v>
      </c>
      <c r="N74" s="82"/>
    </row>
    <row r="75" spans="1:14" x14ac:dyDescent="0.25">
      <c r="A75" s="30" t="s">
        <v>23</v>
      </c>
      <c r="B75" s="30" t="s">
        <v>186</v>
      </c>
      <c r="C75" s="30" t="s">
        <v>35</v>
      </c>
      <c r="D75" s="30" t="s">
        <v>40</v>
      </c>
      <c r="E75" s="30" t="s">
        <v>41</v>
      </c>
      <c r="F75" s="124">
        <v>43251</v>
      </c>
      <c r="G75" s="65">
        <v>972205.18</v>
      </c>
      <c r="H75" s="65"/>
      <c r="I75" s="65">
        <f t="shared" si="5"/>
        <v>972205.18</v>
      </c>
      <c r="J75" s="62"/>
      <c r="K75" s="61"/>
      <c r="L75" s="69">
        <f t="shared" si="7"/>
        <v>0</v>
      </c>
      <c r="M75" s="70">
        <f t="shared" si="7"/>
        <v>972205.18</v>
      </c>
      <c r="N75" s="82"/>
    </row>
    <row r="76" spans="1:14" x14ac:dyDescent="0.25">
      <c r="A76" s="30" t="s">
        <v>23</v>
      </c>
      <c r="B76" s="30" t="s">
        <v>186</v>
      </c>
      <c r="C76" s="30" t="s">
        <v>35</v>
      </c>
      <c r="D76" s="30" t="s">
        <v>43</v>
      </c>
      <c r="E76" s="30" t="s">
        <v>41</v>
      </c>
      <c r="F76" s="124">
        <v>43251</v>
      </c>
      <c r="G76" s="65">
        <v>2253209.8199999998</v>
      </c>
      <c r="H76" s="65"/>
      <c r="I76" s="65">
        <f t="shared" si="5"/>
        <v>2253209.8199999998</v>
      </c>
      <c r="J76" s="62"/>
      <c r="K76" s="61"/>
      <c r="L76" s="69">
        <f t="shared" si="7"/>
        <v>0</v>
      </c>
      <c r="M76" s="70">
        <f t="shared" si="7"/>
        <v>2253209.8199999998</v>
      </c>
      <c r="N76" s="82"/>
    </row>
    <row r="77" spans="1:14" x14ac:dyDescent="0.25">
      <c r="A77" s="30" t="s">
        <v>23</v>
      </c>
      <c r="B77" s="30" t="s">
        <v>186</v>
      </c>
      <c r="C77" s="30" t="s">
        <v>36</v>
      </c>
      <c r="D77" s="30" t="s">
        <v>40</v>
      </c>
      <c r="E77" s="30" t="s">
        <v>41</v>
      </c>
      <c r="F77" s="124">
        <v>43270</v>
      </c>
      <c r="G77" s="65">
        <v>-972205.18</v>
      </c>
      <c r="H77" s="65"/>
      <c r="I77" s="65">
        <f t="shared" si="5"/>
        <v>-972205.18</v>
      </c>
      <c r="J77" s="62"/>
      <c r="K77" s="61"/>
      <c r="L77" s="69">
        <f t="shared" si="7"/>
        <v>0</v>
      </c>
      <c r="M77" s="70">
        <f t="shared" si="7"/>
        <v>-972205.18</v>
      </c>
      <c r="N77" s="82"/>
    </row>
    <row r="78" spans="1:14" x14ac:dyDescent="0.25">
      <c r="A78" s="30" t="s">
        <v>23</v>
      </c>
      <c r="B78" s="30" t="s">
        <v>186</v>
      </c>
      <c r="C78" s="30" t="s">
        <v>36</v>
      </c>
      <c r="D78" s="30" t="s">
        <v>42</v>
      </c>
      <c r="E78" s="30" t="s">
        <v>41</v>
      </c>
      <c r="F78" s="124">
        <v>43281</v>
      </c>
      <c r="G78" s="65">
        <v>-137.6</v>
      </c>
      <c r="H78" s="65"/>
      <c r="I78" s="65">
        <f t="shared" si="5"/>
        <v>-137.6</v>
      </c>
      <c r="J78" s="62"/>
      <c r="K78" s="61"/>
      <c r="L78" s="69">
        <f t="shared" si="7"/>
        <v>0</v>
      </c>
      <c r="M78" s="70">
        <f t="shared" si="7"/>
        <v>-137.6</v>
      </c>
      <c r="N78" s="82"/>
    </row>
    <row r="79" spans="1:14" x14ac:dyDescent="0.25">
      <c r="A79" s="30" t="s">
        <v>23</v>
      </c>
      <c r="B79" s="30" t="s">
        <v>186</v>
      </c>
      <c r="C79" s="30" t="s">
        <v>36</v>
      </c>
      <c r="D79" s="30" t="s">
        <v>188</v>
      </c>
      <c r="E79" s="30" t="s">
        <v>41</v>
      </c>
      <c r="F79" s="124">
        <v>43281</v>
      </c>
      <c r="G79" s="65">
        <v>96.45</v>
      </c>
      <c r="H79" s="65"/>
      <c r="I79" s="65">
        <f t="shared" si="5"/>
        <v>96.45</v>
      </c>
      <c r="J79" s="62"/>
      <c r="K79" s="61"/>
      <c r="L79" s="69">
        <f t="shared" si="7"/>
        <v>0</v>
      </c>
      <c r="M79" s="70">
        <f t="shared" si="7"/>
        <v>96.45</v>
      </c>
      <c r="N79" s="82"/>
    </row>
    <row r="80" spans="1:14" x14ac:dyDescent="0.25">
      <c r="A80" s="30" t="s">
        <v>23</v>
      </c>
      <c r="B80" s="30" t="s">
        <v>186</v>
      </c>
      <c r="C80" s="30" t="s">
        <v>36</v>
      </c>
      <c r="D80" s="30" t="s">
        <v>43</v>
      </c>
      <c r="E80" s="30" t="s">
        <v>41</v>
      </c>
      <c r="F80" s="124">
        <v>43281</v>
      </c>
      <c r="G80" s="65">
        <v>1605126.64</v>
      </c>
      <c r="H80" s="65"/>
      <c r="I80" s="65">
        <f t="shared" si="5"/>
        <v>1605126.64</v>
      </c>
      <c r="J80" s="62"/>
      <c r="K80" s="61"/>
      <c r="L80" s="69">
        <f t="shared" si="7"/>
        <v>0</v>
      </c>
      <c r="M80" s="70">
        <f t="shared" si="7"/>
        <v>1605126.64</v>
      </c>
      <c r="N80" s="82"/>
    </row>
    <row r="81" spans="1:14" x14ac:dyDescent="0.25">
      <c r="A81" s="30" t="s">
        <v>23</v>
      </c>
      <c r="B81" s="30" t="s">
        <v>186</v>
      </c>
      <c r="C81" s="30" t="s">
        <v>36</v>
      </c>
      <c r="D81" s="30" t="s">
        <v>40</v>
      </c>
      <c r="E81" s="30" t="s">
        <v>41</v>
      </c>
      <c r="F81" s="124">
        <v>43281</v>
      </c>
      <c r="G81" s="65">
        <v>964205.7</v>
      </c>
      <c r="H81" s="65"/>
      <c r="I81" s="65">
        <f t="shared" si="5"/>
        <v>964205.7</v>
      </c>
      <c r="J81" s="62"/>
      <c r="K81" s="61"/>
      <c r="L81" s="69">
        <f t="shared" si="7"/>
        <v>0</v>
      </c>
      <c r="M81" s="70">
        <f t="shared" si="7"/>
        <v>964205.7</v>
      </c>
      <c r="N81" s="82"/>
    </row>
    <row r="82" spans="1:14" x14ac:dyDescent="0.25">
      <c r="A82" s="30" t="s">
        <v>23</v>
      </c>
      <c r="B82" s="30" t="s">
        <v>186</v>
      </c>
      <c r="C82" s="30" t="s">
        <v>37</v>
      </c>
      <c r="D82" s="30" t="s">
        <v>40</v>
      </c>
      <c r="E82" s="30" t="s">
        <v>41</v>
      </c>
      <c r="F82" s="124">
        <v>43304</v>
      </c>
      <c r="G82" s="65">
        <v>-964205.7</v>
      </c>
      <c r="H82" s="65"/>
      <c r="I82" s="65">
        <f t="shared" si="5"/>
        <v>-964205.7</v>
      </c>
      <c r="J82" s="62"/>
      <c r="K82" s="61"/>
      <c r="L82" s="69">
        <f t="shared" si="7"/>
        <v>0</v>
      </c>
      <c r="M82" s="70">
        <f t="shared" si="7"/>
        <v>-964205.7</v>
      </c>
      <c r="N82" s="82"/>
    </row>
    <row r="83" spans="1:14" x14ac:dyDescent="0.25">
      <c r="A83" s="30" t="s">
        <v>23</v>
      </c>
      <c r="B83" s="30" t="s">
        <v>186</v>
      </c>
      <c r="C83" s="30" t="s">
        <v>37</v>
      </c>
      <c r="D83" s="30" t="s">
        <v>42</v>
      </c>
      <c r="E83" s="30" t="s">
        <v>41</v>
      </c>
      <c r="F83" s="124">
        <v>43312</v>
      </c>
      <c r="G83" s="65">
        <v>-96.45</v>
      </c>
      <c r="H83" s="65"/>
      <c r="I83" s="65">
        <f t="shared" si="5"/>
        <v>-96.45</v>
      </c>
      <c r="J83" s="62"/>
      <c r="K83" s="61"/>
      <c r="L83" s="69">
        <f t="shared" si="7"/>
        <v>0</v>
      </c>
      <c r="M83" s="70">
        <f t="shared" si="7"/>
        <v>-96.45</v>
      </c>
      <c r="N83" s="82"/>
    </row>
    <row r="84" spans="1:14" x14ac:dyDescent="0.25">
      <c r="A84" s="30" t="s">
        <v>23</v>
      </c>
      <c r="B84" s="30" t="s">
        <v>186</v>
      </c>
      <c r="C84" s="30" t="s">
        <v>37</v>
      </c>
      <c r="D84" s="30" t="s">
        <v>188</v>
      </c>
      <c r="E84" s="30" t="s">
        <v>41</v>
      </c>
      <c r="F84" s="124">
        <v>43312</v>
      </c>
      <c r="G84" s="65">
        <v>78.319999999999993</v>
      </c>
      <c r="H84" s="65"/>
      <c r="I84" s="65">
        <f t="shared" si="5"/>
        <v>78.319999999999993</v>
      </c>
      <c r="J84" s="62"/>
      <c r="K84" s="61"/>
      <c r="L84" s="69">
        <f t="shared" si="7"/>
        <v>0</v>
      </c>
      <c r="M84" s="70">
        <f t="shared" si="7"/>
        <v>78.319999999999993</v>
      </c>
      <c r="N84" s="82"/>
    </row>
    <row r="85" spans="1:14" x14ac:dyDescent="0.25">
      <c r="A85" s="30" t="s">
        <v>23</v>
      </c>
      <c r="B85" s="30" t="s">
        <v>186</v>
      </c>
      <c r="C85" s="30" t="s">
        <v>37</v>
      </c>
      <c r="D85" s="30" t="s">
        <v>40</v>
      </c>
      <c r="E85" s="30" t="s">
        <v>41</v>
      </c>
      <c r="F85" s="124">
        <v>43312</v>
      </c>
      <c r="G85" s="65">
        <v>826611.47</v>
      </c>
      <c r="H85" s="65"/>
      <c r="I85" s="65">
        <f t="shared" si="5"/>
        <v>826611.47</v>
      </c>
      <c r="J85" s="62"/>
      <c r="K85" s="61"/>
      <c r="L85" s="69">
        <f t="shared" si="7"/>
        <v>0</v>
      </c>
      <c r="M85" s="70">
        <f t="shared" si="7"/>
        <v>826611.47</v>
      </c>
      <c r="N85" s="82"/>
    </row>
    <row r="86" spans="1:14" x14ac:dyDescent="0.25">
      <c r="A86" s="30" t="s">
        <v>23</v>
      </c>
      <c r="B86" s="30" t="s">
        <v>186</v>
      </c>
      <c r="C86" s="30" t="s">
        <v>37</v>
      </c>
      <c r="D86" s="30" t="s">
        <v>43</v>
      </c>
      <c r="E86" s="30" t="s">
        <v>41</v>
      </c>
      <c r="F86" s="124">
        <v>43312</v>
      </c>
      <c r="G86" s="65">
        <v>1395585.76</v>
      </c>
      <c r="H86" s="65"/>
      <c r="I86" s="65">
        <f t="shared" si="5"/>
        <v>1395585.76</v>
      </c>
      <c r="J86" s="62"/>
      <c r="K86" s="61"/>
      <c r="L86" s="69">
        <f t="shared" si="7"/>
        <v>0</v>
      </c>
      <c r="M86" s="70">
        <f t="shared" si="7"/>
        <v>1395585.76</v>
      </c>
      <c r="N86" s="82"/>
    </row>
    <row r="87" spans="1:14" x14ac:dyDescent="0.25">
      <c r="A87" s="30" t="s">
        <v>23</v>
      </c>
      <c r="B87" s="30" t="s">
        <v>186</v>
      </c>
      <c r="C87" s="30" t="s">
        <v>38</v>
      </c>
      <c r="D87" s="30" t="s">
        <v>40</v>
      </c>
      <c r="E87" s="30" t="s">
        <v>41</v>
      </c>
      <c r="F87" s="124">
        <v>43325</v>
      </c>
      <c r="G87" s="65">
        <v>-826611.47</v>
      </c>
      <c r="H87" s="65"/>
      <c r="I87" s="65">
        <f t="shared" si="5"/>
        <v>-826611.47</v>
      </c>
      <c r="J87" s="62"/>
      <c r="K87" s="61"/>
      <c r="L87" s="69">
        <f t="shared" si="7"/>
        <v>0</v>
      </c>
      <c r="M87" s="70">
        <f t="shared" si="7"/>
        <v>-826611.47</v>
      </c>
      <c r="N87" s="82"/>
    </row>
    <row r="88" spans="1:14" x14ac:dyDescent="0.25">
      <c r="A88" s="30" t="s">
        <v>23</v>
      </c>
      <c r="B88" s="30" t="s">
        <v>186</v>
      </c>
      <c r="C88" s="30" t="s">
        <v>38</v>
      </c>
      <c r="D88" s="30" t="s">
        <v>42</v>
      </c>
      <c r="E88" s="30" t="s">
        <v>41</v>
      </c>
      <c r="F88" s="124">
        <v>43343</v>
      </c>
      <c r="G88" s="65">
        <v>-78.319999999999993</v>
      </c>
      <c r="H88" s="65"/>
      <c r="I88" s="65">
        <f t="shared" si="5"/>
        <v>-78.319999999999993</v>
      </c>
      <c r="J88" s="62"/>
      <c r="K88" s="61"/>
      <c r="L88" s="69">
        <f t="shared" si="7"/>
        <v>0</v>
      </c>
      <c r="M88" s="70">
        <f t="shared" si="7"/>
        <v>-78.319999999999993</v>
      </c>
      <c r="N88" s="82"/>
    </row>
    <row r="89" spans="1:14" x14ac:dyDescent="0.25">
      <c r="A89" s="30" t="s">
        <v>23</v>
      </c>
      <c r="B89" s="30" t="s">
        <v>186</v>
      </c>
      <c r="C89" s="30" t="s">
        <v>38</v>
      </c>
      <c r="D89" s="30" t="s">
        <v>188</v>
      </c>
      <c r="E89" s="30" t="s">
        <v>41</v>
      </c>
      <c r="F89" s="124">
        <v>43343</v>
      </c>
      <c r="G89" s="65">
        <v>59.96</v>
      </c>
      <c r="H89" s="65"/>
      <c r="I89" s="65">
        <f t="shared" si="5"/>
        <v>59.96</v>
      </c>
      <c r="J89" s="62"/>
      <c r="K89" s="61"/>
      <c r="L89" s="69">
        <f t="shared" si="7"/>
        <v>0</v>
      </c>
      <c r="M89" s="70">
        <f t="shared" si="7"/>
        <v>59.96</v>
      </c>
      <c r="N89" s="82"/>
    </row>
    <row r="90" spans="1:14" x14ac:dyDescent="0.25">
      <c r="A90" s="30" t="s">
        <v>23</v>
      </c>
      <c r="B90" s="30" t="s">
        <v>186</v>
      </c>
      <c r="C90" s="30" t="s">
        <v>38</v>
      </c>
      <c r="D90" s="30" t="s">
        <v>40</v>
      </c>
      <c r="E90" s="30" t="s">
        <v>41</v>
      </c>
      <c r="F90" s="124">
        <v>43343</v>
      </c>
      <c r="G90" s="65">
        <v>870268.85</v>
      </c>
      <c r="H90" s="65"/>
      <c r="I90" s="65">
        <f t="shared" si="5"/>
        <v>870268.85</v>
      </c>
      <c r="J90" s="62"/>
      <c r="K90" s="61"/>
      <c r="L90" s="69">
        <f t="shared" si="7"/>
        <v>0</v>
      </c>
      <c r="M90" s="70">
        <f t="shared" si="7"/>
        <v>870268.85</v>
      </c>
      <c r="N90" s="82"/>
    </row>
    <row r="91" spans="1:14" x14ac:dyDescent="0.25">
      <c r="A91" s="30" t="s">
        <v>23</v>
      </c>
      <c r="B91" s="30" t="s">
        <v>186</v>
      </c>
      <c r="C91" s="30" t="s">
        <v>38</v>
      </c>
      <c r="D91" s="30" t="s">
        <v>43</v>
      </c>
      <c r="E91" s="30" t="s">
        <v>41</v>
      </c>
      <c r="F91" s="124">
        <v>43343</v>
      </c>
      <c r="G91" s="65">
        <v>1339171.3700000001</v>
      </c>
      <c r="H91" s="65"/>
      <c r="I91" s="65">
        <f t="shared" si="5"/>
        <v>1339171.3700000001</v>
      </c>
      <c r="J91" s="62"/>
      <c r="K91" s="61"/>
      <c r="L91" s="69">
        <f t="shared" si="7"/>
        <v>0</v>
      </c>
      <c r="M91" s="70">
        <f t="shared" si="7"/>
        <v>1339171.3700000001</v>
      </c>
      <c r="N91" s="82"/>
    </row>
    <row r="92" spans="1:14" x14ac:dyDescent="0.25">
      <c r="A92" s="30" t="s">
        <v>23</v>
      </c>
      <c r="B92" s="30" t="s">
        <v>186</v>
      </c>
      <c r="C92" s="30" t="s">
        <v>39</v>
      </c>
      <c r="D92" s="30" t="s">
        <v>40</v>
      </c>
      <c r="E92" s="30" t="s">
        <v>41</v>
      </c>
      <c r="F92" s="124">
        <v>43360</v>
      </c>
      <c r="G92" s="65">
        <v>-870268.85</v>
      </c>
      <c r="H92" s="65"/>
      <c r="I92" s="65">
        <f t="shared" si="5"/>
        <v>-870268.85</v>
      </c>
      <c r="J92" s="62"/>
      <c r="K92" s="61"/>
      <c r="L92" s="69">
        <f t="shared" si="7"/>
        <v>0</v>
      </c>
      <c r="M92" s="70">
        <f t="shared" si="7"/>
        <v>-870268.85</v>
      </c>
      <c r="N92" s="82"/>
    </row>
    <row r="93" spans="1:14" x14ac:dyDescent="0.25">
      <c r="A93" s="30" t="s">
        <v>23</v>
      </c>
      <c r="B93" s="30" t="s">
        <v>186</v>
      </c>
      <c r="C93" s="30" t="s">
        <v>39</v>
      </c>
      <c r="D93" s="30" t="s">
        <v>42</v>
      </c>
      <c r="E93" s="30" t="s">
        <v>41</v>
      </c>
      <c r="F93" s="124">
        <v>43373</v>
      </c>
      <c r="G93" s="65">
        <v>-59.96</v>
      </c>
      <c r="H93" s="65"/>
      <c r="I93" s="65">
        <f t="shared" si="5"/>
        <v>-59.96</v>
      </c>
      <c r="J93" s="62"/>
      <c r="K93" s="61"/>
      <c r="L93" s="69">
        <f t="shared" si="7"/>
        <v>0</v>
      </c>
      <c r="M93" s="70">
        <f t="shared" si="7"/>
        <v>-59.96</v>
      </c>
      <c r="N93" s="82"/>
    </row>
    <row r="94" spans="1:14" x14ac:dyDescent="0.25">
      <c r="A94" s="30" t="s">
        <v>23</v>
      </c>
      <c r="B94" s="30" t="s">
        <v>186</v>
      </c>
      <c r="C94" s="30" t="s">
        <v>39</v>
      </c>
      <c r="D94" s="30" t="s">
        <v>188</v>
      </c>
      <c r="E94" s="30" t="s">
        <v>41</v>
      </c>
      <c r="F94" s="124">
        <v>43373</v>
      </c>
      <c r="G94" s="65">
        <v>92.62</v>
      </c>
      <c r="H94" s="65"/>
      <c r="I94" s="65">
        <f t="shared" si="5"/>
        <v>92.62</v>
      </c>
      <c r="J94" s="62"/>
      <c r="K94" s="61"/>
      <c r="L94" s="69">
        <f t="shared" si="7"/>
        <v>0</v>
      </c>
      <c r="M94" s="70">
        <f t="shared" si="7"/>
        <v>92.62</v>
      </c>
      <c r="N94" s="82"/>
    </row>
    <row r="95" spans="1:14" x14ac:dyDescent="0.25">
      <c r="A95" s="30" t="s">
        <v>23</v>
      </c>
      <c r="B95" s="30" t="s">
        <v>186</v>
      </c>
      <c r="C95" s="30" t="s">
        <v>39</v>
      </c>
      <c r="D95" s="30" t="s">
        <v>40</v>
      </c>
      <c r="E95" s="30" t="s">
        <v>41</v>
      </c>
      <c r="F95" s="124">
        <v>43373</v>
      </c>
      <c r="G95" s="65">
        <v>982560.8</v>
      </c>
      <c r="H95" s="65"/>
      <c r="I95" s="65">
        <f t="shared" si="5"/>
        <v>982560.8</v>
      </c>
      <c r="J95" s="62"/>
      <c r="K95" s="61"/>
      <c r="L95" s="69">
        <f t="shared" si="7"/>
        <v>0</v>
      </c>
      <c r="M95" s="70">
        <f t="shared" si="7"/>
        <v>982560.8</v>
      </c>
      <c r="N95" s="82"/>
    </row>
    <row r="96" spans="1:14" x14ac:dyDescent="0.25">
      <c r="A96" s="30" t="s">
        <v>23</v>
      </c>
      <c r="B96" s="30" t="s">
        <v>186</v>
      </c>
      <c r="C96" s="30" t="s">
        <v>39</v>
      </c>
      <c r="D96" s="30" t="s">
        <v>43</v>
      </c>
      <c r="E96" s="30" t="s">
        <v>41</v>
      </c>
      <c r="F96" s="124">
        <v>43373</v>
      </c>
      <c r="G96" s="65">
        <v>1384546.74</v>
      </c>
      <c r="H96" s="65"/>
      <c r="I96" s="65">
        <f t="shared" si="5"/>
        <v>1384546.74</v>
      </c>
      <c r="J96" s="62"/>
      <c r="K96" s="61"/>
      <c r="L96" s="69">
        <f t="shared" si="7"/>
        <v>0</v>
      </c>
      <c r="M96" s="70">
        <f t="shared" si="7"/>
        <v>1384546.74</v>
      </c>
      <c r="N96" s="82"/>
    </row>
    <row r="97" spans="1:14" x14ac:dyDescent="0.25">
      <c r="A97" s="30" t="s">
        <v>23</v>
      </c>
      <c r="B97" s="30" t="s">
        <v>186</v>
      </c>
      <c r="C97" s="30" t="s">
        <v>24</v>
      </c>
      <c r="D97" s="30" t="s">
        <v>16</v>
      </c>
      <c r="E97" s="30" t="s">
        <v>41</v>
      </c>
      <c r="F97" s="124">
        <v>43404</v>
      </c>
      <c r="G97" s="65">
        <v>70.27</v>
      </c>
      <c r="H97" s="65"/>
      <c r="I97" s="65">
        <f t="shared" si="5"/>
        <v>70.27</v>
      </c>
      <c r="J97" s="62"/>
      <c r="K97" s="61"/>
      <c r="L97" s="69">
        <f t="shared" si="7"/>
        <v>0</v>
      </c>
      <c r="M97" s="70">
        <f t="shared" si="7"/>
        <v>70.27</v>
      </c>
      <c r="N97" s="82"/>
    </row>
    <row r="98" spans="1:14" x14ac:dyDescent="0.25">
      <c r="A98" s="30" t="s">
        <v>23</v>
      </c>
      <c r="B98" s="30" t="s">
        <v>186</v>
      </c>
      <c r="C98" s="30" t="s">
        <v>24</v>
      </c>
      <c r="D98" s="30" t="s">
        <v>40</v>
      </c>
      <c r="E98" s="30" t="s">
        <v>41</v>
      </c>
      <c r="F98" s="124">
        <v>43390</v>
      </c>
      <c r="G98" s="65">
        <v>-982560.8</v>
      </c>
      <c r="H98" s="65"/>
      <c r="I98" s="65">
        <f t="shared" si="5"/>
        <v>-982560.8</v>
      </c>
      <c r="J98" s="62"/>
      <c r="K98" s="61"/>
      <c r="L98" s="69">
        <f t="shared" si="7"/>
        <v>0</v>
      </c>
      <c r="M98" s="70">
        <f t="shared" si="7"/>
        <v>-982560.8</v>
      </c>
      <c r="N98" s="82"/>
    </row>
    <row r="99" spans="1:14" x14ac:dyDescent="0.25">
      <c r="A99" s="30" t="s">
        <v>23</v>
      </c>
      <c r="B99" s="30" t="s">
        <v>186</v>
      </c>
      <c r="C99" s="30" t="s">
        <v>24</v>
      </c>
      <c r="D99" s="30" t="s">
        <v>43</v>
      </c>
      <c r="E99" s="30" t="s">
        <v>41</v>
      </c>
      <c r="F99" s="124">
        <v>43404</v>
      </c>
      <c r="G99" s="65">
        <v>-92.62</v>
      </c>
      <c r="H99" s="65"/>
      <c r="I99" s="65">
        <f t="shared" si="5"/>
        <v>-92.62</v>
      </c>
      <c r="J99" s="62"/>
      <c r="K99" s="61"/>
      <c r="L99" s="69">
        <f t="shared" si="7"/>
        <v>0</v>
      </c>
      <c r="M99" s="70">
        <f t="shared" si="7"/>
        <v>-92.62</v>
      </c>
      <c r="N99" s="82"/>
    </row>
    <row r="100" spans="1:14" x14ac:dyDescent="0.25">
      <c r="A100" s="30" t="s">
        <v>23</v>
      </c>
      <c r="B100" s="30" t="s">
        <v>186</v>
      </c>
      <c r="C100" s="30" t="s">
        <v>24</v>
      </c>
      <c r="D100" s="30" t="s">
        <v>188</v>
      </c>
      <c r="E100" s="30" t="s">
        <v>41</v>
      </c>
      <c r="F100" s="124">
        <v>43404</v>
      </c>
      <c r="G100" s="65">
        <v>151.53</v>
      </c>
      <c r="H100" s="65"/>
      <c r="I100" s="65">
        <f t="shared" si="5"/>
        <v>151.53</v>
      </c>
      <c r="J100" s="62"/>
      <c r="K100" s="61"/>
      <c r="L100" s="69">
        <f t="shared" si="7"/>
        <v>0</v>
      </c>
      <c r="M100" s="70">
        <f t="shared" si="7"/>
        <v>151.53</v>
      </c>
      <c r="N100" s="82"/>
    </row>
    <row r="101" spans="1:14" x14ac:dyDescent="0.25">
      <c r="A101" s="30" t="s">
        <v>23</v>
      </c>
      <c r="B101" s="30" t="s">
        <v>186</v>
      </c>
      <c r="C101" s="30" t="s">
        <v>24</v>
      </c>
      <c r="D101" s="30" t="s">
        <v>40</v>
      </c>
      <c r="E101" s="30" t="s">
        <v>41</v>
      </c>
      <c r="F101" s="124">
        <v>43404</v>
      </c>
      <c r="G101" s="65">
        <v>1600267.64</v>
      </c>
      <c r="H101" s="65"/>
      <c r="I101" s="65">
        <f t="shared" si="5"/>
        <v>1600267.64</v>
      </c>
      <c r="J101" s="62"/>
      <c r="K101" s="61"/>
      <c r="L101" s="69">
        <f t="shared" si="7"/>
        <v>0</v>
      </c>
      <c r="M101" s="70">
        <f t="shared" si="7"/>
        <v>1600267.64</v>
      </c>
      <c r="N101" s="82"/>
    </row>
    <row r="102" spans="1:14" x14ac:dyDescent="0.25">
      <c r="A102" s="30" t="s">
        <v>23</v>
      </c>
      <c r="B102" s="30" t="s">
        <v>186</v>
      </c>
      <c r="C102" s="30" t="s">
        <v>24</v>
      </c>
      <c r="D102" s="30" t="s">
        <v>43</v>
      </c>
      <c r="E102" s="30" t="s">
        <v>41</v>
      </c>
      <c r="F102" s="124">
        <v>43404</v>
      </c>
      <c r="G102" s="65">
        <v>1974627.3</v>
      </c>
      <c r="H102" s="65"/>
      <c r="I102" s="65">
        <f t="shared" si="5"/>
        <v>1974627.3</v>
      </c>
      <c r="J102" s="62"/>
      <c r="K102" s="61"/>
      <c r="L102" s="69">
        <f t="shared" ref="L102:L116" si="8">+H102+J102</f>
        <v>0</v>
      </c>
      <c r="M102" s="70">
        <f t="shared" ref="M102:M116" si="9">+I102+K102</f>
        <v>1974627.3</v>
      </c>
      <c r="N102" s="82"/>
    </row>
    <row r="103" spans="1:14" x14ac:dyDescent="0.25">
      <c r="A103" s="30" t="s">
        <v>23</v>
      </c>
      <c r="B103" s="30" t="s">
        <v>186</v>
      </c>
      <c r="C103" s="30" t="s">
        <v>29</v>
      </c>
      <c r="D103" s="30" t="s">
        <v>40</v>
      </c>
      <c r="E103" s="30" t="s">
        <v>41</v>
      </c>
      <c r="F103" s="124">
        <v>43418</v>
      </c>
      <c r="G103" s="65">
        <v>-1600267.64</v>
      </c>
      <c r="H103" s="65"/>
      <c r="I103" s="65">
        <f t="shared" si="5"/>
        <v>-1600267.64</v>
      </c>
      <c r="J103" s="62"/>
      <c r="K103" s="61"/>
      <c r="L103" s="69">
        <f t="shared" si="8"/>
        <v>0</v>
      </c>
      <c r="M103" s="70">
        <f t="shared" si="9"/>
        <v>-1600267.64</v>
      </c>
      <c r="N103" s="82"/>
    </row>
    <row r="104" spans="1:14" x14ac:dyDescent="0.25">
      <c r="A104" s="30" t="s">
        <v>23</v>
      </c>
      <c r="B104" s="30" t="s">
        <v>186</v>
      </c>
      <c r="C104" s="30" t="s">
        <v>29</v>
      </c>
      <c r="D104" s="30" t="s">
        <v>16</v>
      </c>
      <c r="E104" s="30" t="s">
        <v>41</v>
      </c>
      <c r="F104" s="124">
        <v>43434</v>
      </c>
      <c r="G104" s="65">
        <v>52.01</v>
      </c>
      <c r="H104" s="65"/>
      <c r="I104" s="65">
        <f t="shared" si="5"/>
        <v>52.01</v>
      </c>
      <c r="J104" s="62"/>
      <c r="K104" s="61"/>
      <c r="L104" s="69">
        <f t="shared" si="8"/>
        <v>0</v>
      </c>
      <c r="M104" s="70">
        <f t="shared" si="9"/>
        <v>52.01</v>
      </c>
      <c r="N104" s="82"/>
    </row>
    <row r="105" spans="1:14" x14ac:dyDescent="0.25">
      <c r="A105" s="30" t="s">
        <v>23</v>
      </c>
      <c r="B105" s="30" t="s">
        <v>186</v>
      </c>
      <c r="C105" s="30" t="s">
        <v>29</v>
      </c>
      <c r="D105" s="30" t="s">
        <v>42</v>
      </c>
      <c r="E105" s="30" t="s">
        <v>41</v>
      </c>
      <c r="F105" s="124">
        <v>43434</v>
      </c>
      <c r="G105" s="65">
        <v>-151.53</v>
      </c>
      <c r="H105" s="65"/>
      <c r="I105" s="65">
        <f t="shared" si="5"/>
        <v>-151.53</v>
      </c>
      <c r="J105" s="62"/>
      <c r="K105" s="61"/>
      <c r="L105" s="69">
        <f t="shared" si="8"/>
        <v>0</v>
      </c>
      <c r="M105" s="70">
        <f t="shared" si="9"/>
        <v>-151.53</v>
      </c>
      <c r="N105" s="82"/>
    </row>
    <row r="106" spans="1:14" x14ac:dyDescent="0.25">
      <c r="A106" s="30" t="s">
        <v>23</v>
      </c>
      <c r="B106" s="30" t="s">
        <v>186</v>
      </c>
      <c r="C106" s="30" t="s">
        <v>29</v>
      </c>
      <c r="D106" s="30" t="s">
        <v>188</v>
      </c>
      <c r="E106" s="30" t="s">
        <v>41</v>
      </c>
      <c r="F106" s="124">
        <v>43434</v>
      </c>
      <c r="G106" s="65">
        <v>149.59</v>
      </c>
      <c r="H106" s="65"/>
      <c r="I106" s="65">
        <f t="shared" si="5"/>
        <v>149.59</v>
      </c>
      <c r="J106" s="62"/>
      <c r="K106" s="61"/>
      <c r="L106" s="69">
        <f t="shared" si="8"/>
        <v>0</v>
      </c>
      <c r="M106" s="70">
        <f t="shared" si="9"/>
        <v>149.59</v>
      </c>
      <c r="N106" s="82"/>
    </row>
    <row r="107" spans="1:14" x14ac:dyDescent="0.25">
      <c r="A107" s="30" t="s">
        <v>23</v>
      </c>
      <c r="B107" s="30" t="s">
        <v>186</v>
      </c>
      <c r="C107" s="30" t="s">
        <v>29</v>
      </c>
      <c r="D107" s="30" t="s">
        <v>40</v>
      </c>
      <c r="E107" s="30" t="s">
        <v>41</v>
      </c>
      <c r="F107" s="124">
        <v>43434</v>
      </c>
      <c r="G107" s="65">
        <v>1936311.75</v>
      </c>
      <c r="H107" s="65"/>
      <c r="I107" s="65">
        <f t="shared" si="5"/>
        <v>1936311.75</v>
      </c>
      <c r="J107" s="62"/>
      <c r="K107" s="61"/>
      <c r="L107" s="69">
        <f t="shared" si="8"/>
        <v>0</v>
      </c>
      <c r="M107" s="70">
        <f t="shared" si="9"/>
        <v>1936311.75</v>
      </c>
      <c r="N107" s="82"/>
    </row>
    <row r="108" spans="1:14" x14ac:dyDescent="0.25">
      <c r="A108" s="30" t="s">
        <v>23</v>
      </c>
      <c r="B108" s="30" t="s">
        <v>186</v>
      </c>
      <c r="C108" s="30" t="s">
        <v>29</v>
      </c>
      <c r="D108" s="30" t="s">
        <v>43</v>
      </c>
      <c r="E108" s="30" t="s">
        <v>41</v>
      </c>
      <c r="F108" s="124">
        <v>43434</v>
      </c>
      <c r="G108" s="65">
        <v>2836139.61</v>
      </c>
      <c r="H108" s="65"/>
      <c r="I108" s="65">
        <f t="shared" si="5"/>
        <v>2836139.61</v>
      </c>
      <c r="J108" s="62"/>
      <c r="K108" s="61"/>
      <c r="L108" s="69">
        <f t="shared" si="8"/>
        <v>0</v>
      </c>
      <c r="M108" s="70">
        <f t="shared" si="9"/>
        <v>2836139.61</v>
      </c>
      <c r="N108" s="82"/>
    </row>
    <row r="109" spans="1:14" x14ac:dyDescent="0.25">
      <c r="A109" s="30" t="s">
        <v>23</v>
      </c>
      <c r="B109" s="30" t="s">
        <v>186</v>
      </c>
      <c r="C109" s="30" t="s">
        <v>30</v>
      </c>
      <c r="D109" s="30" t="s">
        <v>40</v>
      </c>
      <c r="E109" s="30" t="s">
        <v>41</v>
      </c>
      <c r="F109" s="124">
        <v>43447</v>
      </c>
      <c r="G109" s="65">
        <v>-1936311.75</v>
      </c>
      <c r="H109" s="65"/>
      <c r="I109" s="65">
        <f t="shared" si="5"/>
        <v>-1936311.75</v>
      </c>
      <c r="J109" s="62"/>
      <c r="K109" s="61"/>
      <c r="L109" s="69">
        <f t="shared" si="8"/>
        <v>0</v>
      </c>
      <c r="M109" s="70">
        <f t="shared" si="9"/>
        <v>-1936311.75</v>
      </c>
      <c r="N109" s="82"/>
    </row>
    <row r="110" spans="1:14" x14ac:dyDescent="0.25">
      <c r="A110" s="30" t="s">
        <v>23</v>
      </c>
      <c r="B110" s="30" t="s">
        <v>186</v>
      </c>
      <c r="C110" s="30" t="s">
        <v>30</v>
      </c>
      <c r="D110" s="30" t="s">
        <v>42</v>
      </c>
      <c r="E110" s="30" t="s">
        <v>41</v>
      </c>
      <c r="F110" s="124">
        <v>43465</v>
      </c>
      <c r="G110" s="65">
        <v>-149.59</v>
      </c>
      <c r="H110" s="65"/>
      <c r="I110" s="65">
        <f t="shared" si="5"/>
        <v>-149.59</v>
      </c>
      <c r="J110" s="62"/>
      <c r="K110" s="61"/>
      <c r="L110" s="69">
        <f t="shared" si="8"/>
        <v>0</v>
      </c>
      <c r="M110" s="70">
        <f t="shared" si="9"/>
        <v>-149.59</v>
      </c>
      <c r="N110" s="82"/>
    </row>
    <row r="111" spans="1:14" x14ac:dyDescent="0.25">
      <c r="A111" s="30" t="s">
        <v>23</v>
      </c>
      <c r="B111" s="30" t="s">
        <v>186</v>
      </c>
      <c r="C111" s="30" t="s">
        <v>30</v>
      </c>
      <c r="D111" s="30" t="s">
        <v>188</v>
      </c>
      <c r="E111" s="30" t="s">
        <v>41</v>
      </c>
      <c r="F111" s="124">
        <v>43465</v>
      </c>
      <c r="G111" s="65">
        <v>206.9</v>
      </c>
      <c r="H111" s="65"/>
      <c r="I111" s="65">
        <f t="shared" si="5"/>
        <v>206.9</v>
      </c>
      <c r="J111" s="62"/>
      <c r="K111" s="61"/>
      <c r="L111" s="69">
        <f t="shared" si="8"/>
        <v>0</v>
      </c>
      <c r="M111" s="70">
        <f t="shared" si="9"/>
        <v>206.9</v>
      </c>
      <c r="N111" s="82"/>
    </row>
    <row r="112" spans="1:14" x14ac:dyDescent="0.25">
      <c r="A112" s="30" t="s">
        <v>23</v>
      </c>
      <c r="B112" s="30" t="s">
        <v>186</v>
      </c>
      <c r="C112" s="30" t="s">
        <v>30</v>
      </c>
      <c r="D112" s="30" t="s">
        <v>40</v>
      </c>
      <c r="E112" s="30" t="s">
        <v>41</v>
      </c>
      <c r="F112" s="124">
        <v>43465</v>
      </c>
      <c r="G112" s="65">
        <v>2318086.25</v>
      </c>
      <c r="H112" s="65"/>
      <c r="I112" s="65">
        <f t="shared" si="5"/>
        <v>2318086.25</v>
      </c>
      <c r="J112" s="62"/>
      <c r="K112" s="61"/>
      <c r="L112" s="69">
        <f t="shared" si="8"/>
        <v>0</v>
      </c>
      <c r="M112" s="70">
        <f t="shared" si="9"/>
        <v>2318086.25</v>
      </c>
      <c r="N112" s="82"/>
    </row>
    <row r="113" spans="1:14" x14ac:dyDescent="0.25">
      <c r="A113" s="30" t="s">
        <v>23</v>
      </c>
      <c r="B113" s="30" t="s">
        <v>186</v>
      </c>
      <c r="C113" s="30" t="s">
        <v>30</v>
      </c>
      <c r="D113" s="30" t="s">
        <v>43</v>
      </c>
      <c r="E113" s="30" t="s">
        <v>41</v>
      </c>
      <c r="F113" s="124">
        <v>43465</v>
      </c>
      <c r="G113" s="65">
        <v>3756618.9</v>
      </c>
      <c r="H113" s="65"/>
      <c r="I113" s="65">
        <f t="shared" si="5"/>
        <v>3756618.9</v>
      </c>
      <c r="J113" s="62"/>
      <c r="K113" s="61"/>
      <c r="L113" s="69">
        <f t="shared" si="8"/>
        <v>0</v>
      </c>
      <c r="M113" s="70">
        <f t="shared" si="9"/>
        <v>3756618.9</v>
      </c>
      <c r="N113" s="82"/>
    </row>
    <row r="114" spans="1:14" x14ac:dyDescent="0.25">
      <c r="A114" s="30" t="s">
        <v>23</v>
      </c>
      <c r="B114" s="30" t="s">
        <v>186</v>
      </c>
      <c r="C114" s="30" t="s">
        <v>30</v>
      </c>
      <c r="D114" s="30" t="s">
        <v>43</v>
      </c>
      <c r="E114" s="30" t="s">
        <v>41</v>
      </c>
      <c r="F114" s="124">
        <v>43465</v>
      </c>
      <c r="G114" s="65">
        <v>144369.65</v>
      </c>
      <c r="H114" s="65"/>
      <c r="I114" s="65">
        <f t="shared" si="5"/>
        <v>144369.65</v>
      </c>
      <c r="J114" s="62"/>
      <c r="K114" s="61"/>
      <c r="L114" s="69">
        <f t="shared" si="8"/>
        <v>0</v>
      </c>
      <c r="M114" s="70">
        <f t="shared" si="9"/>
        <v>144369.65</v>
      </c>
      <c r="N114" s="82"/>
    </row>
    <row r="115" spans="1:14" x14ac:dyDescent="0.25">
      <c r="A115" s="30"/>
      <c r="B115" s="30"/>
      <c r="C115" s="30"/>
      <c r="D115" s="30"/>
      <c r="E115" s="30"/>
      <c r="F115" s="124"/>
      <c r="G115" s="65"/>
      <c r="H115" s="65"/>
      <c r="I115" s="65"/>
      <c r="J115" s="62"/>
      <c r="K115" s="61"/>
      <c r="L115" s="69">
        <f t="shared" si="8"/>
        <v>0</v>
      </c>
      <c r="M115" s="70">
        <f t="shared" si="9"/>
        <v>0</v>
      </c>
      <c r="N115" s="82"/>
    </row>
    <row r="116" spans="1:14" x14ac:dyDescent="0.25">
      <c r="A116" s="30"/>
      <c r="B116" s="30"/>
      <c r="C116" s="30"/>
      <c r="D116" s="30"/>
      <c r="E116" s="30"/>
      <c r="F116" s="124"/>
      <c r="G116" s="125"/>
      <c r="H116" s="62"/>
      <c r="I116" s="172"/>
      <c r="J116" s="62"/>
      <c r="K116" s="61"/>
      <c r="L116" s="69">
        <f t="shared" si="8"/>
        <v>0</v>
      </c>
      <c r="M116" s="70">
        <f t="shared" si="9"/>
        <v>0</v>
      </c>
      <c r="N116" s="82"/>
    </row>
    <row r="117" spans="1:14" x14ac:dyDescent="0.25">
      <c r="A117" s="30"/>
      <c r="B117" s="108">
        <f>+'True-up prior period'!B8</f>
        <v>2019</v>
      </c>
      <c r="C117" s="108" t="str">
        <f>+'True-up prior period'!C8</f>
        <v>1</v>
      </c>
      <c r="D117" s="108" t="str">
        <f>+'True-up prior period'!D8</f>
        <v>State Excise Tax True-up - Gas</v>
      </c>
      <c r="E117" s="108" t="str">
        <f>+'True-up prior period'!E8</f>
        <v>40810302</v>
      </c>
      <c r="F117" s="52">
        <f>+'True-up prior period'!F8</f>
        <v>43496</v>
      </c>
      <c r="G117" s="125"/>
      <c r="H117" s="62"/>
      <c r="I117" s="173"/>
      <c r="J117" s="62"/>
      <c r="K117" s="70">
        <f>+'True-up prior period'!G8</f>
        <v>-144576.54999999999</v>
      </c>
      <c r="L117" s="69"/>
      <c r="M117" s="70">
        <f>+I117+K117</f>
        <v>-144576.54999999999</v>
      </c>
      <c r="N117" s="83">
        <v>2</v>
      </c>
    </row>
    <row r="118" spans="1:14" x14ac:dyDescent="0.25">
      <c r="A118" s="46" t="s">
        <v>16</v>
      </c>
      <c r="B118" s="46" t="s">
        <v>16</v>
      </c>
      <c r="C118" s="46" t="s">
        <v>16</v>
      </c>
      <c r="D118" s="46" t="s">
        <v>16</v>
      </c>
      <c r="E118" s="46" t="s">
        <v>16</v>
      </c>
      <c r="F118" s="122"/>
      <c r="G118" s="123">
        <f>SUM(G56:G117)</f>
        <v>34002285.559999995</v>
      </c>
      <c r="H118" s="123">
        <f t="shared" ref="H118:M118" si="10">SUM(H56:H117)</f>
        <v>0</v>
      </c>
      <c r="I118" s="123">
        <f t="shared" si="10"/>
        <v>34002285.559999995</v>
      </c>
      <c r="J118" s="123">
        <f t="shared" si="10"/>
        <v>0</v>
      </c>
      <c r="K118" s="123">
        <f>SUM(K56:K117)</f>
        <v>-144211.51999999999</v>
      </c>
      <c r="L118" s="123">
        <f t="shared" si="10"/>
        <v>0</v>
      </c>
      <c r="M118" s="123">
        <f t="shared" si="10"/>
        <v>33858074.039999999</v>
      </c>
      <c r="N118" s="82"/>
    </row>
    <row r="119" spans="1:14" x14ac:dyDescent="0.25">
      <c r="A119" s="54" t="s">
        <v>57</v>
      </c>
      <c r="C119" s="34"/>
      <c r="D119" s="34"/>
      <c r="E119" s="34"/>
      <c r="F119" s="35"/>
      <c r="G119" s="34"/>
      <c r="H119" s="64"/>
      <c r="I119" s="63"/>
      <c r="J119" s="64"/>
      <c r="K119" s="61"/>
      <c r="L119" s="62"/>
      <c r="M119" s="61"/>
      <c r="N119" s="82"/>
    </row>
    <row r="120" spans="1:14" x14ac:dyDescent="0.25">
      <c r="A120" s="36" t="s">
        <v>44</v>
      </c>
      <c r="B120" s="36" t="s">
        <v>186</v>
      </c>
      <c r="C120" s="36" t="s">
        <v>31</v>
      </c>
      <c r="D120" s="36" t="s">
        <v>45</v>
      </c>
      <c r="E120" s="36" t="s">
        <v>46</v>
      </c>
      <c r="F120" s="52">
        <v>43131</v>
      </c>
      <c r="G120" s="53">
        <v>-4585.78</v>
      </c>
      <c r="H120" s="66">
        <f>+G120*H$3</f>
        <v>-3035.3277819999998</v>
      </c>
      <c r="I120" s="67">
        <f>+G120*I$3</f>
        <v>-1550.4522179999999</v>
      </c>
      <c r="J120" s="71">
        <f>-H120</f>
        <v>3035.3277819999998</v>
      </c>
      <c r="K120" s="72">
        <f>-I120</f>
        <v>1550.4522179999999</v>
      </c>
      <c r="L120" s="69">
        <f t="shared" ref="L120:M135" si="11">+H120+J120</f>
        <v>0</v>
      </c>
      <c r="M120" s="70">
        <f t="shared" si="11"/>
        <v>0</v>
      </c>
      <c r="N120" s="83">
        <v>1</v>
      </c>
    </row>
    <row r="121" spans="1:14" x14ac:dyDescent="0.25">
      <c r="A121" s="36" t="s">
        <v>44</v>
      </c>
      <c r="B121" s="36" t="s">
        <v>186</v>
      </c>
      <c r="C121" s="36" t="s">
        <v>31</v>
      </c>
      <c r="D121" s="36" t="s">
        <v>48</v>
      </c>
      <c r="E121" s="36" t="s">
        <v>46</v>
      </c>
      <c r="F121" s="52">
        <v>43131</v>
      </c>
      <c r="G121" s="53">
        <v>102073.66</v>
      </c>
      <c r="H121" s="66">
        <f t="shared" ref="H121:H184" si="12">+G121*H$3</f>
        <v>67562.555554000006</v>
      </c>
      <c r="I121" s="67">
        <f t="shared" ref="I121:I184" si="13">+G121*I$3</f>
        <v>34511.104446000005</v>
      </c>
      <c r="J121" s="71"/>
      <c r="K121" s="72"/>
      <c r="L121" s="69">
        <f t="shared" si="11"/>
        <v>67562.555554000006</v>
      </c>
      <c r="M121" s="70">
        <f t="shared" si="11"/>
        <v>34511.104446000005</v>
      </c>
    </row>
    <row r="122" spans="1:14" x14ac:dyDescent="0.25">
      <c r="A122" s="36" t="s">
        <v>44</v>
      </c>
      <c r="B122" s="36" t="s">
        <v>186</v>
      </c>
      <c r="C122" s="36" t="s">
        <v>32</v>
      </c>
      <c r="D122" s="36" t="s">
        <v>47</v>
      </c>
      <c r="E122" s="36" t="s">
        <v>46</v>
      </c>
      <c r="F122" s="52">
        <v>43159</v>
      </c>
      <c r="G122" s="53">
        <v>5000</v>
      </c>
      <c r="H122" s="66">
        <f t="shared" si="12"/>
        <v>3309.5</v>
      </c>
      <c r="I122" s="67">
        <f t="shared" si="13"/>
        <v>1690.5</v>
      </c>
      <c r="J122" s="62"/>
      <c r="K122" s="61"/>
      <c r="L122" s="69">
        <f t="shared" si="11"/>
        <v>3309.5</v>
      </c>
      <c r="M122" s="70">
        <f t="shared" si="11"/>
        <v>1690.5</v>
      </c>
      <c r="N122" s="82"/>
    </row>
    <row r="123" spans="1:14" x14ac:dyDescent="0.25">
      <c r="A123" s="36" t="s">
        <v>44</v>
      </c>
      <c r="B123" s="36" t="s">
        <v>186</v>
      </c>
      <c r="C123" s="36" t="s">
        <v>32</v>
      </c>
      <c r="D123" s="36" t="s">
        <v>45</v>
      </c>
      <c r="E123" s="36" t="s">
        <v>46</v>
      </c>
      <c r="F123" s="52">
        <v>43159</v>
      </c>
      <c r="G123" s="53">
        <v>-0.01</v>
      </c>
      <c r="H123" s="66">
        <f t="shared" si="12"/>
        <v>-6.6190000000000008E-3</v>
      </c>
      <c r="I123" s="67">
        <f t="shared" si="13"/>
        <v>-3.3810000000000003E-3</v>
      </c>
      <c r="J123" s="62"/>
      <c r="K123" s="61"/>
      <c r="L123" s="69">
        <f t="shared" si="11"/>
        <v>-6.6190000000000008E-3</v>
      </c>
      <c r="M123" s="70">
        <f t="shared" si="11"/>
        <v>-3.3810000000000003E-3</v>
      </c>
      <c r="N123" s="82"/>
    </row>
    <row r="124" spans="1:14" x14ac:dyDescent="0.25">
      <c r="A124" s="36" t="s">
        <v>44</v>
      </c>
      <c r="B124" s="36" t="s">
        <v>186</v>
      </c>
      <c r="C124" s="36" t="s">
        <v>32</v>
      </c>
      <c r="D124" s="36" t="s">
        <v>48</v>
      </c>
      <c r="E124" s="36" t="s">
        <v>46</v>
      </c>
      <c r="F124" s="52">
        <v>43159</v>
      </c>
      <c r="G124" s="53">
        <v>79572</v>
      </c>
      <c r="H124" s="66">
        <f t="shared" si="12"/>
        <v>52668.7068</v>
      </c>
      <c r="I124" s="67">
        <f t="shared" si="13"/>
        <v>26903.2932</v>
      </c>
      <c r="J124" s="62"/>
      <c r="K124" s="61"/>
      <c r="L124" s="69">
        <f t="shared" si="11"/>
        <v>52668.7068</v>
      </c>
      <c r="M124" s="70">
        <f t="shared" si="11"/>
        <v>26903.2932</v>
      </c>
      <c r="N124" s="82"/>
    </row>
    <row r="125" spans="1:14" x14ac:dyDescent="0.25">
      <c r="A125" s="36" t="s">
        <v>44</v>
      </c>
      <c r="B125" s="36" t="s">
        <v>186</v>
      </c>
      <c r="C125" s="36" t="s">
        <v>33</v>
      </c>
      <c r="D125" s="36" t="s">
        <v>47</v>
      </c>
      <c r="E125" s="36" t="s">
        <v>46</v>
      </c>
      <c r="F125" s="52">
        <v>43190</v>
      </c>
      <c r="G125" s="53">
        <v>8000</v>
      </c>
      <c r="H125" s="66">
        <f t="shared" si="12"/>
        <v>5295.2000000000007</v>
      </c>
      <c r="I125" s="67">
        <f t="shared" si="13"/>
        <v>2704.8</v>
      </c>
      <c r="J125" s="62"/>
      <c r="K125" s="61"/>
      <c r="L125" s="69">
        <f t="shared" si="11"/>
        <v>5295.2000000000007</v>
      </c>
      <c r="M125" s="70">
        <f t="shared" si="11"/>
        <v>2704.8</v>
      </c>
      <c r="N125" s="82"/>
    </row>
    <row r="126" spans="1:14" x14ac:dyDescent="0.25">
      <c r="A126" s="36" t="s">
        <v>44</v>
      </c>
      <c r="B126" s="36" t="s">
        <v>186</v>
      </c>
      <c r="C126" s="36" t="s">
        <v>33</v>
      </c>
      <c r="D126" s="36" t="s">
        <v>45</v>
      </c>
      <c r="E126" s="36" t="s">
        <v>46</v>
      </c>
      <c r="F126" s="52">
        <v>43190</v>
      </c>
      <c r="G126" s="53">
        <v>-0.01</v>
      </c>
      <c r="H126" s="66">
        <f t="shared" si="12"/>
        <v>-6.6190000000000008E-3</v>
      </c>
      <c r="I126" s="67">
        <f t="shared" si="13"/>
        <v>-3.3810000000000003E-3</v>
      </c>
      <c r="J126" s="62"/>
      <c r="K126" s="61"/>
      <c r="L126" s="69">
        <f t="shared" si="11"/>
        <v>-6.6190000000000008E-3</v>
      </c>
      <c r="M126" s="70">
        <f t="shared" si="11"/>
        <v>-3.3810000000000003E-3</v>
      </c>
      <c r="N126" s="82"/>
    </row>
    <row r="127" spans="1:14" x14ac:dyDescent="0.25">
      <c r="A127" s="36" t="s">
        <v>44</v>
      </c>
      <c r="B127" s="36" t="s">
        <v>186</v>
      </c>
      <c r="C127" s="36" t="s">
        <v>33</v>
      </c>
      <c r="D127" s="36" t="s">
        <v>48</v>
      </c>
      <c r="E127" s="36" t="s">
        <v>46</v>
      </c>
      <c r="F127" s="52">
        <v>43190</v>
      </c>
      <c r="G127" s="53">
        <v>88161.49</v>
      </c>
      <c r="H127" s="66">
        <f t="shared" si="12"/>
        <v>58354.090231000009</v>
      </c>
      <c r="I127" s="67">
        <f t="shared" si="13"/>
        <v>29807.399769000003</v>
      </c>
      <c r="J127" s="62"/>
      <c r="K127" s="61"/>
      <c r="L127" s="69">
        <f t="shared" si="11"/>
        <v>58354.090231000009</v>
      </c>
      <c r="M127" s="70">
        <f t="shared" si="11"/>
        <v>29807.399769000003</v>
      </c>
      <c r="N127" s="82"/>
    </row>
    <row r="128" spans="1:14" x14ac:dyDescent="0.25">
      <c r="A128" s="36" t="s">
        <v>44</v>
      </c>
      <c r="B128" s="36" t="s">
        <v>186</v>
      </c>
      <c r="C128" s="36" t="s">
        <v>34</v>
      </c>
      <c r="D128" s="36" t="s">
        <v>45</v>
      </c>
      <c r="E128" s="36" t="s">
        <v>46</v>
      </c>
      <c r="F128" s="52">
        <v>43220</v>
      </c>
      <c r="G128" s="53">
        <v>9.7200000000000006</v>
      </c>
      <c r="H128" s="66">
        <f t="shared" si="12"/>
        <v>6.4336680000000008</v>
      </c>
      <c r="I128" s="67">
        <f t="shared" si="13"/>
        <v>3.2863320000000003</v>
      </c>
      <c r="J128" s="62"/>
      <c r="K128" s="61"/>
      <c r="L128" s="69">
        <f t="shared" si="11"/>
        <v>6.4336680000000008</v>
      </c>
      <c r="M128" s="70">
        <f t="shared" si="11"/>
        <v>3.2863320000000003</v>
      </c>
      <c r="N128" s="82"/>
    </row>
    <row r="129" spans="1:14" x14ac:dyDescent="0.25">
      <c r="A129" s="36" t="s">
        <v>44</v>
      </c>
      <c r="B129" s="36" t="s">
        <v>186</v>
      </c>
      <c r="C129" s="36" t="s">
        <v>34</v>
      </c>
      <c r="D129" s="36" t="s">
        <v>48</v>
      </c>
      <c r="E129" s="36" t="s">
        <v>46</v>
      </c>
      <c r="F129" s="52">
        <v>43220</v>
      </c>
      <c r="G129" s="53">
        <v>144496.71</v>
      </c>
      <c r="H129" s="66">
        <f t="shared" si="12"/>
        <v>95642.372348999997</v>
      </c>
      <c r="I129" s="67">
        <f t="shared" si="13"/>
        <v>48854.337651000002</v>
      </c>
      <c r="J129" s="62"/>
      <c r="K129" s="61"/>
      <c r="L129" s="69">
        <f t="shared" si="11"/>
        <v>95642.372348999997</v>
      </c>
      <c r="M129" s="70">
        <f t="shared" si="11"/>
        <v>48854.337651000002</v>
      </c>
      <c r="N129" s="82"/>
    </row>
    <row r="130" spans="1:14" x14ac:dyDescent="0.25">
      <c r="A130" s="36" t="s">
        <v>44</v>
      </c>
      <c r="B130" s="36" t="s">
        <v>186</v>
      </c>
      <c r="C130" s="36" t="s">
        <v>35</v>
      </c>
      <c r="D130" s="36" t="s">
        <v>45</v>
      </c>
      <c r="E130" s="36" t="s">
        <v>46</v>
      </c>
      <c r="F130" s="52">
        <v>43251</v>
      </c>
      <c r="G130" s="53">
        <v>2.84</v>
      </c>
      <c r="H130" s="66">
        <f t="shared" si="12"/>
        <v>1.879796</v>
      </c>
      <c r="I130" s="67">
        <f t="shared" si="13"/>
        <v>0.96020399999999995</v>
      </c>
      <c r="J130" s="62"/>
      <c r="K130" s="61"/>
      <c r="L130" s="69">
        <f t="shared" si="11"/>
        <v>1.879796</v>
      </c>
      <c r="M130" s="70">
        <f t="shared" si="11"/>
        <v>0.96020399999999995</v>
      </c>
      <c r="N130" s="82"/>
    </row>
    <row r="131" spans="1:14" x14ac:dyDescent="0.25">
      <c r="A131" s="36" t="s">
        <v>44</v>
      </c>
      <c r="B131" s="36" t="s">
        <v>186</v>
      </c>
      <c r="C131" s="36" t="s">
        <v>35</v>
      </c>
      <c r="D131" s="36" t="s">
        <v>47</v>
      </c>
      <c r="E131" s="36" t="s">
        <v>46</v>
      </c>
      <c r="F131" s="52">
        <v>43251</v>
      </c>
      <c r="G131" s="53">
        <v>3000</v>
      </c>
      <c r="H131" s="66">
        <f t="shared" si="12"/>
        <v>1985.7</v>
      </c>
      <c r="I131" s="67">
        <f t="shared" si="13"/>
        <v>1014.3000000000001</v>
      </c>
      <c r="J131" s="62"/>
      <c r="K131" s="61"/>
      <c r="L131" s="69">
        <f t="shared" si="11"/>
        <v>1985.7</v>
      </c>
      <c r="M131" s="70">
        <f t="shared" si="11"/>
        <v>1014.3000000000001</v>
      </c>
      <c r="N131" s="82"/>
    </row>
    <row r="132" spans="1:14" x14ac:dyDescent="0.25">
      <c r="A132" s="36" t="s">
        <v>44</v>
      </c>
      <c r="B132" s="36" t="s">
        <v>186</v>
      </c>
      <c r="C132" s="36" t="s">
        <v>35</v>
      </c>
      <c r="D132" s="36" t="s">
        <v>48</v>
      </c>
      <c r="E132" s="36" t="s">
        <v>46</v>
      </c>
      <c r="F132" s="52">
        <v>43251</v>
      </c>
      <c r="G132" s="53">
        <v>131579.24</v>
      </c>
      <c r="H132" s="66">
        <f t="shared" si="12"/>
        <v>87092.298955999999</v>
      </c>
      <c r="I132" s="67">
        <f t="shared" si="13"/>
        <v>44486.941043999999</v>
      </c>
      <c r="J132" s="62"/>
      <c r="K132" s="61"/>
      <c r="L132" s="69">
        <f t="shared" si="11"/>
        <v>87092.298955999999</v>
      </c>
      <c r="M132" s="70">
        <f t="shared" si="11"/>
        <v>44486.941043999999</v>
      </c>
      <c r="N132" s="82"/>
    </row>
    <row r="133" spans="1:14" x14ac:dyDescent="0.25">
      <c r="A133" s="36" t="s">
        <v>44</v>
      </c>
      <c r="B133" s="36" t="s">
        <v>186</v>
      </c>
      <c r="C133" s="36" t="s">
        <v>36</v>
      </c>
      <c r="D133" s="36" t="s">
        <v>45</v>
      </c>
      <c r="E133" s="36" t="s">
        <v>46</v>
      </c>
      <c r="F133" s="52">
        <v>43281</v>
      </c>
      <c r="G133" s="53">
        <v>7</v>
      </c>
      <c r="H133" s="66">
        <f t="shared" si="12"/>
        <v>4.6333000000000002</v>
      </c>
      <c r="I133" s="67">
        <f t="shared" si="13"/>
        <v>2.3667000000000002</v>
      </c>
      <c r="J133" s="62"/>
      <c r="K133" s="61"/>
      <c r="L133" s="69">
        <f t="shared" si="11"/>
        <v>4.6333000000000002</v>
      </c>
      <c r="M133" s="70">
        <f t="shared" si="11"/>
        <v>2.3667000000000002</v>
      </c>
      <c r="N133" s="82"/>
    </row>
    <row r="134" spans="1:14" x14ac:dyDescent="0.25">
      <c r="A134" s="36" t="s">
        <v>44</v>
      </c>
      <c r="B134" s="36" t="s">
        <v>186</v>
      </c>
      <c r="C134" s="36" t="s">
        <v>36</v>
      </c>
      <c r="D134" s="36" t="s">
        <v>47</v>
      </c>
      <c r="E134" s="36" t="s">
        <v>46</v>
      </c>
      <c r="F134" s="52">
        <v>43281</v>
      </c>
      <c r="G134" s="53">
        <v>15000</v>
      </c>
      <c r="H134" s="66">
        <f t="shared" si="12"/>
        <v>9928.5</v>
      </c>
      <c r="I134" s="67">
        <f t="shared" si="13"/>
        <v>5071.5</v>
      </c>
      <c r="J134" s="62"/>
      <c r="K134" s="61"/>
      <c r="L134" s="69">
        <f t="shared" si="11"/>
        <v>9928.5</v>
      </c>
      <c r="M134" s="70">
        <f t="shared" si="11"/>
        <v>5071.5</v>
      </c>
      <c r="N134" s="82"/>
    </row>
    <row r="135" spans="1:14" x14ac:dyDescent="0.25">
      <c r="A135" s="36" t="s">
        <v>44</v>
      </c>
      <c r="B135" s="36" t="s">
        <v>186</v>
      </c>
      <c r="C135" s="36" t="s">
        <v>36</v>
      </c>
      <c r="D135" s="36" t="s">
        <v>48</v>
      </c>
      <c r="E135" s="36" t="s">
        <v>46</v>
      </c>
      <c r="F135" s="52">
        <v>43281</v>
      </c>
      <c r="G135" s="53">
        <v>87522.240000000005</v>
      </c>
      <c r="H135" s="66">
        <f t="shared" si="12"/>
        <v>57930.970656000005</v>
      </c>
      <c r="I135" s="67">
        <f t="shared" si="13"/>
        <v>29591.269344000004</v>
      </c>
      <c r="J135" s="62"/>
      <c r="K135" s="61"/>
      <c r="L135" s="69">
        <f t="shared" si="11"/>
        <v>57930.970656000005</v>
      </c>
      <c r="M135" s="70">
        <f t="shared" si="11"/>
        <v>29591.269344000004</v>
      </c>
      <c r="N135" s="82"/>
    </row>
    <row r="136" spans="1:14" x14ac:dyDescent="0.25">
      <c r="A136" s="36" t="s">
        <v>44</v>
      </c>
      <c r="B136" s="36" t="s">
        <v>186</v>
      </c>
      <c r="C136" s="36" t="s">
        <v>37</v>
      </c>
      <c r="D136" s="36" t="s">
        <v>47</v>
      </c>
      <c r="E136" s="36" t="s">
        <v>46</v>
      </c>
      <c r="F136" s="52">
        <v>43312</v>
      </c>
      <c r="G136" s="53">
        <v>6000</v>
      </c>
      <c r="H136" s="66">
        <f t="shared" si="12"/>
        <v>3971.4</v>
      </c>
      <c r="I136" s="67">
        <f t="shared" si="13"/>
        <v>2028.6000000000001</v>
      </c>
      <c r="J136" s="62"/>
      <c r="K136" s="61"/>
      <c r="L136" s="69">
        <f t="shared" ref="L136:M153" si="14">+H136+J136</f>
        <v>3971.4</v>
      </c>
      <c r="M136" s="70">
        <f t="shared" si="14"/>
        <v>2028.6000000000001</v>
      </c>
      <c r="N136" s="82"/>
    </row>
    <row r="137" spans="1:14" x14ac:dyDescent="0.25">
      <c r="A137" s="36" t="s">
        <v>44</v>
      </c>
      <c r="B137" s="36" t="s">
        <v>186</v>
      </c>
      <c r="C137" s="36" t="s">
        <v>37</v>
      </c>
      <c r="D137" s="36" t="s">
        <v>189</v>
      </c>
      <c r="E137" s="36" t="s">
        <v>46</v>
      </c>
      <c r="F137" s="52">
        <v>43312</v>
      </c>
      <c r="G137" s="53">
        <v>30</v>
      </c>
      <c r="H137" s="66">
        <f t="shared" si="12"/>
        <v>19.857000000000003</v>
      </c>
      <c r="I137" s="67">
        <f t="shared" si="13"/>
        <v>10.143000000000001</v>
      </c>
      <c r="J137" s="62"/>
      <c r="K137" s="61"/>
      <c r="L137" s="69">
        <f t="shared" si="14"/>
        <v>19.857000000000003</v>
      </c>
      <c r="M137" s="70">
        <f t="shared" si="14"/>
        <v>10.143000000000001</v>
      </c>
      <c r="N137" s="82"/>
    </row>
    <row r="138" spans="1:14" x14ac:dyDescent="0.25">
      <c r="A138" s="36" t="s">
        <v>44</v>
      </c>
      <c r="B138" s="36" t="s">
        <v>186</v>
      </c>
      <c r="C138" s="36" t="s">
        <v>37</v>
      </c>
      <c r="D138" s="36" t="s">
        <v>190</v>
      </c>
      <c r="E138" s="36" t="s">
        <v>46</v>
      </c>
      <c r="F138" s="52">
        <v>43312</v>
      </c>
      <c r="G138" s="53">
        <v>0.75</v>
      </c>
      <c r="H138" s="66">
        <f t="shared" si="12"/>
        <v>0.49642500000000001</v>
      </c>
      <c r="I138" s="67">
        <f t="shared" si="13"/>
        <v>0.25357499999999999</v>
      </c>
      <c r="J138" s="62"/>
      <c r="K138" s="61"/>
      <c r="L138" s="69">
        <f t="shared" si="14"/>
        <v>0.49642500000000001</v>
      </c>
      <c r="M138" s="70">
        <f t="shared" si="14"/>
        <v>0.25357499999999999</v>
      </c>
      <c r="N138" s="82"/>
    </row>
    <row r="139" spans="1:14" x14ac:dyDescent="0.25">
      <c r="A139" s="36" t="s">
        <v>44</v>
      </c>
      <c r="B139" s="36" t="s">
        <v>186</v>
      </c>
      <c r="C139" s="36" t="s">
        <v>37</v>
      </c>
      <c r="D139" s="36" t="s">
        <v>190</v>
      </c>
      <c r="E139" s="36" t="s">
        <v>46</v>
      </c>
      <c r="F139" s="52">
        <v>43312</v>
      </c>
      <c r="G139" s="53">
        <v>2.35</v>
      </c>
      <c r="H139" s="66">
        <f t="shared" si="12"/>
        <v>1.5554650000000001</v>
      </c>
      <c r="I139" s="67">
        <f t="shared" si="13"/>
        <v>0.7945350000000001</v>
      </c>
      <c r="J139" s="62"/>
      <c r="K139" s="61"/>
      <c r="L139" s="69">
        <f t="shared" si="14"/>
        <v>1.5554650000000001</v>
      </c>
      <c r="M139" s="70">
        <f t="shared" si="14"/>
        <v>0.7945350000000001</v>
      </c>
      <c r="N139" s="82"/>
    </row>
    <row r="140" spans="1:14" x14ac:dyDescent="0.25">
      <c r="A140" s="36" t="s">
        <v>44</v>
      </c>
      <c r="B140" s="36" t="s">
        <v>186</v>
      </c>
      <c r="C140" s="36" t="s">
        <v>37</v>
      </c>
      <c r="D140" s="36" t="s">
        <v>189</v>
      </c>
      <c r="E140" s="36" t="s">
        <v>46</v>
      </c>
      <c r="F140" s="52">
        <v>43312</v>
      </c>
      <c r="G140" s="53">
        <v>94</v>
      </c>
      <c r="H140" s="66">
        <f t="shared" si="12"/>
        <v>62.218600000000002</v>
      </c>
      <c r="I140" s="67">
        <f t="shared" si="13"/>
        <v>31.781400000000001</v>
      </c>
      <c r="J140" s="62"/>
      <c r="K140" s="61"/>
      <c r="L140" s="69">
        <f t="shared" si="14"/>
        <v>62.218600000000002</v>
      </c>
      <c r="M140" s="70">
        <f t="shared" si="14"/>
        <v>31.781400000000001</v>
      </c>
      <c r="N140" s="82"/>
    </row>
    <row r="141" spans="1:14" x14ac:dyDescent="0.25">
      <c r="A141" s="36" t="s">
        <v>44</v>
      </c>
      <c r="B141" s="36" t="s">
        <v>186</v>
      </c>
      <c r="C141" s="36" t="s">
        <v>37</v>
      </c>
      <c r="D141" s="36" t="s">
        <v>191</v>
      </c>
      <c r="E141" s="36" t="s">
        <v>46</v>
      </c>
      <c r="F141" s="52">
        <v>43312</v>
      </c>
      <c r="G141" s="53">
        <v>44.48</v>
      </c>
      <c r="H141" s="66">
        <f t="shared" si="12"/>
        <v>29.441312</v>
      </c>
      <c r="I141" s="67">
        <f t="shared" si="13"/>
        <v>15.038687999999999</v>
      </c>
      <c r="J141" s="62"/>
      <c r="K141" s="61"/>
      <c r="L141" s="69">
        <f t="shared" si="14"/>
        <v>29.441312</v>
      </c>
      <c r="M141" s="70">
        <f t="shared" si="14"/>
        <v>15.038687999999999</v>
      </c>
      <c r="N141" s="82"/>
    </row>
    <row r="142" spans="1:14" x14ac:dyDescent="0.25">
      <c r="A142" s="36" t="s">
        <v>44</v>
      </c>
      <c r="B142" s="36" t="s">
        <v>186</v>
      </c>
      <c r="C142" s="36" t="s">
        <v>37</v>
      </c>
      <c r="D142" s="36" t="s">
        <v>48</v>
      </c>
      <c r="E142" s="36" t="s">
        <v>46</v>
      </c>
      <c r="F142" s="52">
        <v>43312</v>
      </c>
      <c r="G142" s="53">
        <v>159412.82999999999</v>
      </c>
      <c r="H142" s="66">
        <f t="shared" si="12"/>
        <v>105515.35217699999</v>
      </c>
      <c r="I142" s="67">
        <f t="shared" si="13"/>
        <v>53897.477823000001</v>
      </c>
      <c r="J142" s="62"/>
      <c r="K142" s="61"/>
      <c r="L142" s="69">
        <f t="shared" si="14"/>
        <v>105515.35217699999</v>
      </c>
      <c r="M142" s="70">
        <f t="shared" si="14"/>
        <v>53897.477823000001</v>
      </c>
      <c r="N142" s="82"/>
    </row>
    <row r="143" spans="1:14" x14ac:dyDescent="0.25">
      <c r="A143" s="36" t="s">
        <v>44</v>
      </c>
      <c r="B143" s="36" t="s">
        <v>186</v>
      </c>
      <c r="C143" s="36" t="s">
        <v>38</v>
      </c>
      <c r="D143" s="36" t="s">
        <v>190</v>
      </c>
      <c r="E143" s="36" t="s">
        <v>46</v>
      </c>
      <c r="F143" s="52">
        <v>43343</v>
      </c>
      <c r="G143" s="53">
        <v>3.28</v>
      </c>
      <c r="H143" s="66">
        <f t="shared" si="12"/>
        <v>2.1710319999999999</v>
      </c>
      <c r="I143" s="67">
        <f t="shared" si="13"/>
        <v>1.108968</v>
      </c>
      <c r="J143" s="62"/>
      <c r="K143" s="61"/>
      <c r="L143" s="69">
        <f t="shared" si="14"/>
        <v>2.1710319999999999</v>
      </c>
      <c r="M143" s="70">
        <f t="shared" si="14"/>
        <v>1.108968</v>
      </c>
      <c r="N143" s="82"/>
    </row>
    <row r="144" spans="1:14" x14ac:dyDescent="0.25">
      <c r="A144" s="36" t="s">
        <v>44</v>
      </c>
      <c r="B144" s="36" t="s">
        <v>186</v>
      </c>
      <c r="C144" s="36" t="s">
        <v>38</v>
      </c>
      <c r="D144" s="36" t="s">
        <v>190</v>
      </c>
      <c r="E144" s="36" t="s">
        <v>46</v>
      </c>
      <c r="F144" s="52">
        <v>43343</v>
      </c>
      <c r="G144" s="53">
        <v>27.98</v>
      </c>
      <c r="H144" s="66">
        <f t="shared" si="12"/>
        <v>18.519962000000003</v>
      </c>
      <c r="I144" s="67">
        <f t="shared" si="13"/>
        <v>9.4600380000000008</v>
      </c>
      <c r="J144" s="62"/>
      <c r="K144" s="61"/>
      <c r="L144" s="69">
        <f t="shared" si="14"/>
        <v>18.519962000000003</v>
      </c>
      <c r="M144" s="70">
        <f t="shared" si="14"/>
        <v>9.4600380000000008</v>
      </c>
      <c r="N144" s="82"/>
    </row>
    <row r="145" spans="1:14" x14ac:dyDescent="0.25">
      <c r="A145" s="36" t="s">
        <v>44</v>
      </c>
      <c r="B145" s="36" t="s">
        <v>186</v>
      </c>
      <c r="C145" s="36" t="s">
        <v>38</v>
      </c>
      <c r="D145" s="36" t="s">
        <v>189</v>
      </c>
      <c r="E145" s="36" t="s">
        <v>46</v>
      </c>
      <c r="F145" s="52">
        <v>43343</v>
      </c>
      <c r="G145" s="53">
        <v>1119</v>
      </c>
      <c r="H145" s="66">
        <f t="shared" si="12"/>
        <v>740.66610000000003</v>
      </c>
      <c r="I145" s="67">
        <f t="shared" si="13"/>
        <v>378.33390000000003</v>
      </c>
      <c r="J145" s="62"/>
      <c r="K145" s="61"/>
      <c r="L145" s="69">
        <f t="shared" si="14"/>
        <v>740.66610000000003</v>
      </c>
      <c r="M145" s="70">
        <f t="shared" si="14"/>
        <v>378.33390000000003</v>
      </c>
      <c r="N145" s="82"/>
    </row>
    <row r="146" spans="1:14" x14ac:dyDescent="0.25">
      <c r="A146" s="36" t="s">
        <v>44</v>
      </c>
      <c r="B146" s="36" t="s">
        <v>186</v>
      </c>
      <c r="C146" s="36" t="s">
        <v>38</v>
      </c>
      <c r="D146" s="36" t="s">
        <v>189</v>
      </c>
      <c r="E146" s="36" t="s">
        <v>46</v>
      </c>
      <c r="F146" s="52">
        <v>43343</v>
      </c>
      <c r="G146" s="53">
        <v>131</v>
      </c>
      <c r="H146" s="66">
        <f t="shared" si="12"/>
        <v>86.7089</v>
      </c>
      <c r="I146" s="67">
        <f t="shared" si="13"/>
        <v>44.2911</v>
      </c>
      <c r="J146" s="62"/>
      <c r="K146" s="61"/>
      <c r="L146" s="69">
        <f t="shared" si="14"/>
        <v>86.7089</v>
      </c>
      <c r="M146" s="70">
        <f t="shared" si="14"/>
        <v>44.2911</v>
      </c>
      <c r="N146" s="82"/>
    </row>
    <row r="147" spans="1:14" x14ac:dyDescent="0.25">
      <c r="A147" s="36" t="s">
        <v>44</v>
      </c>
      <c r="B147" s="36" t="s">
        <v>186</v>
      </c>
      <c r="C147" s="36" t="s">
        <v>38</v>
      </c>
      <c r="D147" s="36" t="s">
        <v>47</v>
      </c>
      <c r="E147" s="36" t="s">
        <v>46</v>
      </c>
      <c r="F147" s="52">
        <v>43343</v>
      </c>
      <c r="G147" s="53">
        <v>3500</v>
      </c>
      <c r="H147" s="66">
        <f t="shared" si="12"/>
        <v>2316.65</v>
      </c>
      <c r="I147" s="67">
        <f t="shared" si="13"/>
        <v>1183.3500000000001</v>
      </c>
      <c r="J147" s="62"/>
      <c r="K147" s="61"/>
      <c r="L147" s="69">
        <f t="shared" si="14"/>
        <v>2316.65</v>
      </c>
      <c r="M147" s="70">
        <f t="shared" si="14"/>
        <v>1183.3500000000001</v>
      </c>
      <c r="N147" s="82"/>
    </row>
    <row r="148" spans="1:14" x14ac:dyDescent="0.25">
      <c r="A148" s="36" t="s">
        <v>44</v>
      </c>
      <c r="B148" s="36" t="s">
        <v>186</v>
      </c>
      <c r="C148" s="36" t="s">
        <v>38</v>
      </c>
      <c r="D148" s="36" t="s">
        <v>45</v>
      </c>
      <c r="E148" s="36" t="s">
        <v>46</v>
      </c>
      <c r="F148" s="52">
        <v>43343</v>
      </c>
      <c r="G148" s="53">
        <v>-2.36</v>
      </c>
      <c r="H148" s="66">
        <f t="shared" si="12"/>
        <v>-1.562084</v>
      </c>
      <c r="I148" s="67">
        <f t="shared" si="13"/>
        <v>-0.79791599999999996</v>
      </c>
      <c r="J148" s="62"/>
      <c r="K148" s="61"/>
      <c r="L148" s="69">
        <f t="shared" si="14"/>
        <v>-1.562084</v>
      </c>
      <c r="M148" s="70">
        <f t="shared" si="14"/>
        <v>-0.79791599999999996</v>
      </c>
      <c r="N148" s="82"/>
    </row>
    <row r="149" spans="1:14" x14ac:dyDescent="0.25">
      <c r="A149" s="36" t="s">
        <v>44</v>
      </c>
      <c r="B149" s="36" t="s">
        <v>186</v>
      </c>
      <c r="C149" s="36" t="s">
        <v>38</v>
      </c>
      <c r="D149" s="36" t="s">
        <v>48</v>
      </c>
      <c r="E149" s="36" t="s">
        <v>46</v>
      </c>
      <c r="F149" s="52">
        <v>43343</v>
      </c>
      <c r="G149" s="53">
        <v>149382.18</v>
      </c>
      <c r="H149" s="66">
        <f t="shared" si="12"/>
        <v>98876.064941999997</v>
      </c>
      <c r="I149" s="67">
        <f t="shared" si="13"/>
        <v>50506.115057999996</v>
      </c>
      <c r="J149" s="62"/>
      <c r="K149" s="61"/>
      <c r="L149" s="69">
        <f t="shared" si="14"/>
        <v>98876.064941999997</v>
      </c>
      <c r="M149" s="70">
        <f t="shared" si="14"/>
        <v>50506.115057999996</v>
      </c>
      <c r="N149" s="82"/>
    </row>
    <row r="150" spans="1:14" x14ac:dyDescent="0.25">
      <c r="A150" s="36" t="s">
        <v>44</v>
      </c>
      <c r="B150" s="36" t="s">
        <v>186</v>
      </c>
      <c r="C150" s="36" t="s">
        <v>39</v>
      </c>
      <c r="D150" s="36" t="s">
        <v>189</v>
      </c>
      <c r="E150" s="36" t="s">
        <v>46</v>
      </c>
      <c r="F150" s="52">
        <v>43373</v>
      </c>
      <c r="G150" s="53">
        <v>36</v>
      </c>
      <c r="H150" s="66">
        <f t="shared" si="12"/>
        <v>23.828400000000002</v>
      </c>
      <c r="I150" s="67">
        <f t="shared" si="13"/>
        <v>12.1716</v>
      </c>
      <c r="J150" s="62"/>
      <c r="K150" s="61"/>
      <c r="L150" s="69">
        <f t="shared" si="14"/>
        <v>23.828400000000002</v>
      </c>
      <c r="M150" s="70">
        <f t="shared" si="14"/>
        <v>12.1716</v>
      </c>
      <c r="N150" s="82"/>
    </row>
    <row r="151" spans="1:14" x14ac:dyDescent="0.25">
      <c r="A151" s="36" t="s">
        <v>44</v>
      </c>
      <c r="B151" s="36" t="s">
        <v>186</v>
      </c>
      <c r="C151" s="36" t="s">
        <v>39</v>
      </c>
      <c r="D151" s="36" t="s">
        <v>190</v>
      </c>
      <c r="E151" s="36" t="s">
        <v>46</v>
      </c>
      <c r="F151" s="52">
        <v>43373</v>
      </c>
      <c r="G151" s="53">
        <v>1.9</v>
      </c>
      <c r="H151" s="66">
        <f t="shared" si="12"/>
        <v>1.2576100000000001</v>
      </c>
      <c r="I151" s="67">
        <f t="shared" si="13"/>
        <v>0.64239000000000002</v>
      </c>
      <c r="J151" s="62"/>
      <c r="K151" s="61"/>
      <c r="L151" s="69">
        <f t="shared" si="14"/>
        <v>1.2576100000000001</v>
      </c>
      <c r="M151" s="70">
        <f t="shared" si="14"/>
        <v>0.64239000000000002</v>
      </c>
      <c r="N151" s="82"/>
    </row>
    <row r="152" spans="1:14" x14ac:dyDescent="0.25">
      <c r="A152" s="36" t="s">
        <v>44</v>
      </c>
      <c r="B152" s="36" t="s">
        <v>186</v>
      </c>
      <c r="C152" s="36" t="s">
        <v>39</v>
      </c>
      <c r="D152" s="36" t="s">
        <v>190</v>
      </c>
      <c r="E152" s="36" t="s">
        <v>46</v>
      </c>
      <c r="F152" s="52">
        <v>43373</v>
      </c>
      <c r="G152" s="53">
        <v>4.0999999999999996</v>
      </c>
      <c r="H152" s="66">
        <f t="shared" si="12"/>
        <v>2.7137899999999999</v>
      </c>
      <c r="I152" s="67">
        <f t="shared" si="13"/>
        <v>1.3862099999999999</v>
      </c>
      <c r="J152" s="62"/>
      <c r="K152" s="61"/>
      <c r="L152" s="69">
        <f t="shared" si="14"/>
        <v>2.7137899999999999</v>
      </c>
      <c r="M152" s="70">
        <f t="shared" si="14"/>
        <v>1.3862099999999999</v>
      </c>
      <c r="N152" s="82"/>
    </row>
    <row r="153" spans="1:14" x14ac:dyDescent="0.25">
      <c r="A153" s="36" t="s">
        <v>44</v>
      </c>
      <c r="B153" s="36" t="s">
        <v>186</v>
      </c>
      <c r="C153" s="36" t="s">
        <v>39</v>
      </c>
      <c r="D153" s="36" t="s">
        <v>190</v>
      </c>
      <c r="E153" s="36" t="s">
        <v>46</v>
      </c>
      <c r="F153" s="52">
        <v>43373</v>
      </c>
      <c r="G153" s="53">
        <v>0.9</v>
      </c>
      <c r="H153" s="66">
        <f t="shared" si="12"/>
        <v>0.59571000000000007</v>
      </c>
      <c r="I153" s="67">
        <f t="shared" si="13"/>
        <v>0.30429</v>
      </c>
      <c r="J153" s="62"/>
      <c r="K153" s="61"/>
      <c r="L153" s="69">
        <f>+H153+J153</f>
        <v>0.59571000000000007</v>
      </c>
      <c r="M153" s="70">
        <f t="shared" si="14"/>
        <v>0.30429</v>
      </c>
      <c r="N153" s="82"/>
    </row>
    <row r="154" spans="1:14" x14ac:dyDescent="0.25">
      <c r="A154" s="36" t="s">
        <v>44</v>
      </c>
      <c r="B154" s="36" t="s">
        <v>186</v>
      </c>
      <c r="C154" s="36" t="s">
        <v>39</v>
      </c>
      <c r="D154" s="36" t="s">
        <v>190</v>
      </c>
      <c r="E154" s="36" t="s">
        <v>46</v>
      </c>
      <c r="F154" s="52">
        <v>43373</v>
      </c>
      <c r="G154" s="53">
        <v>1.28</v>
      </c>
      <c r="H154" s="66">
        <f t="shared" si="12"/>
        <v>0.8472320000000001</v>
      </c>
      <c r="I154" s="67">
        <f t="shared" si="13"/>
        <v>0.43276800000000004</v>
      </c>
      <c r="J154" s="62"/>
      <c r="K154" s="61"/>
      <c r="L154" s="69">
        <f t="shared" ref="L154:L187" si="15">+H154+J154</f>
        <v>0.8472320000000001</v>
      </c>
      <c r="M154" s="70">
        <f t="shared" ref="M154:M187" si="16">+I154+K154</f>
        <v>0.43276800000000004</v>
      </c>
      <c r="N154" s="82"/>
    </row>
    <row r="155" spans="1:14" x14ac:dyDescent="0.25">
      <c r="A155" s="36" t="s">
        <v>44</v>
      </c>
      <c r="B155" s="36" t="s">
        <v>186</v>
      </c>
      <c r="C155" s="36" t="s">
        <v>39</v>
      </c>
      <c r="D155" s="36" t="s">
        <v>189</v>
      </c>
      <c r="E155" s="36" t="s">
        <v>46</v>
      </c>
      <c r="F155" s="52">
        <v>43373</v>
      </c>
      <c r="G155" s="53">
        <v>51</v>
      </c>
      <c r="H155" s="66">
        <f t="shared" si="12"/>
        <v>33.756900000000002</v>
      </c>
      <c r="I155" s="67">
        <f t="shared" si="13"/>
        <v>17.243100000000002</v>
      </c>
      <c r="J155" s="62"/>
      <c r="K155" s="61"/>
      <c r="L155" s="69">
        <f t="shared" si="15"/>
        <v>33.756900000000002</v>
      </c>
      <c r="M155" s="70">
        <f t="shared" si="16"/>
        <v>17.243100000000002</v>
      </c>
      <c r="N155" s="82"/>
    </row>
    <row r="156" spans="1:14" x14ac:dyDescent="0.25">
      <c r="A156" s="36" t="s">
        <v>44</v>
      </c>
      <c r="B156" s="36" t="s">
        <v>186</v>
      </c>
      <c r="C156" s="36" t="s">
        <v>39</v>
      </c>
      <c r="D156" s="36" t="s">
        <v>189</v>
      </c>
      <c r="E156" s="36" t="s">
        <v>46</v>
      </c>
      <c r="F156" s="52">
        <v>43373</v>
      </c>
      <c r="G156" s="53">
        <v>76</v>
      </c>
      <c r="H156" s="66">
        <f t="shared" si="12"/>
        <v>50.304400000000001</v>
      </c>
      <c r="I156" s="67">
        <f t="shared" si="13"/>
        <v>25.695600000000002</v>
      </c>
      <c r="J156" s="62"/>
      <c r="K156" s="61"/>
      <c r="L156" s="69">
        <f t="shared" si="15"/>
        <v>50.304400000000001</v>
      </c>
      <c r="M156" s="70">
        <f t="shared" si="16"/>
        <v>25.695600000000002</v>
      </c>
      <c r="N156" s="82"/>
    </row>
    <row r="157" spans="1:14" x14ac:dyDescent="0.25">
      <c r="A157" s="36" t="s">
        <v>44</v>
      </c>
      <c r="B157" s="36" t="s">
        <v>186</v>
      </c>
      <c r="C157" s="36" t="s">
        <v>39</v>
      </c>
      <c r="D157" s="36" t="s">
        <v>189</v>
      </c>
      <c r="E157" s="36" t="s">
        <v>46</v>
      </c>
      <c r="F157" s="52">
        <v>43373</v>
      </c>
      <c r="G157" s="53">
        <v>164</v>
      </c>
      <c r="H157" s="66">
        <f t="shared" si="12"/>
        <v>108.55160000000001</v>
      </c>
      <c r="I157" s="67">
        <f t="shared" si="13"/>
        <v>55.448399999999999</v>
      </c>
      <c r="J157" s="62"/>
      <c r="K157" s="61"/>
      <c r="L157" s="69">
        <f t="shared" si="15"/>
        <v>108.55160000000001</v>
      </c>
      <c r="M157" s="70">
        <f t="shared" si="16"/>
        <v>55.448399999999999</v>
      </c>
      <c r="N157" s="82"/>
    </row>
    <row r="158" spans="1:14" x14ac:dyDescent="0.25">
      <c r="A158" s="36" t="s">
        <v>44</v>
      </c>
      <c r="B158" s="36" t="s">
        <v>186</v>
      </c>
      <c r="C158" s="36" t="s">
        <v>39</v>
      </c>
      <c r="D158" s="36" t="s">
        <v>45</v>
      </c>
      <c r="E158" s="36" t="s">
        <v>46</v>
      </c>
      <c r="F158" s="52">
        <v>43373</v>
      </c>
      <c r="G158" s="53">
        <v>1.52</v>
      </c>
      <c r="H158" s="66">
        <f t="shared" si="12"/>
        <v>1.0060880000000001</v>
      </c>
      <c r="I158" s="67">
        <f t="shared" si="13"/>
        <v>0.51391200000000004</v>
      </c>
      <c r="J158" s="62"/>
      <c r="K158" s="61"/>
      <c r="L158" s="69">
        <f t="shared" si="15"/>
        <v>1.0060880000000001</v>
      </c>
      <c r="M158" s="70">
        <f t="shared" si="16"/>
        <v>0.51391200000000004</v>
      </c>
      <c r="N158" s="82"/>
    </row>
    <row r="159" spans="1:14" x14ac:dyDescent="0.25">
      <c r="A159" s="36" t="s">
        <v>44</v>
      </c>
      <c r="B159" s="36" t="s">
        <v>186</v>
      </c>
      <c r="C159" s="36" t="s">
        <v>39</v>
      </c>
      <c r="D159" s="36" t="s">
        <v>47</v>
      </c>
      <c r="E159" s="36" t="s">
        <v>46</v>
      </c>
      <c r="F159" s="52">
        <v>43373</v>
      </c>
      <c r="G159" s="53">
        <v>10000</v>
      </c>
      <c r="H159" s="66">
        <f t="shared" si="12"/>
        <v>6619</v>
      </c>
      <c r="I159" s="67">
        <f t="shared" si="13"/>
        <v>3381</v>
      </c>
      <c r="J159" s="62"/>
      <c r="K159" s="61"/>
      <c r="L159" s="69">
        <f t="shared" si="15"/>
        <v>6619</v>
      </c>
      <c r="M159" s="70">
        <f t="shared" si="16"/>
        <v>3381</v>
      </c>
      <c r="N159" s="82"/>
    </row>
    <row r="160" spans="1:14" x14ac:dyDescent="0.25">
      <c r="A160" s="36" t="s">
        <v>44</v>
      </c>
      <c r="B160" s="36" t="s">
        <v>186</v>
      </c>
      <c r="C160" s="36" t="s">
        <v>39</v>
      </c>
      <c r="D160" s="36" t="s">
        <v>48</v>
      </c>
      <c r="E160" s="36" t="s">
        <v>46</v>
      </c>
      <c r="F160" s="52">
        <v>43373</v>
      </c>
      <c r="G160" s="53">
        <v>120002.54</v>
      </c>
      <c r="H160" s="66">
        <f t="shared" si="12"/>
        <v>79429.681226000001</v>
      </c>
      <c r="I160" s="67">
        <f t="shared" si="13"/>
        <v>40572.858774</v>
      </c>
      <c r="J160" s="62"/>
      <c r="K160" s="61"/>
      <c r="L160" s="69">
        <f t="shared" si="15"/>
        <v>79429.681226000001</v>
      </c>
      <c r="M160" s="70">
        <f t="shared" si="16"/>
        <v>40572.858774</v>
      </c>
      <c r="N160" s="82"/>
    </row>
    <row r="161" spans="1:14" x14ac:dyDescent="0.25">
      <c r="A161" s="36" t="s">
        <v>44</v>
      </c>
      <c r="B161" s="36" t="s">
        <v>186</v>
      </c>
      <c r="C161" s="36" t="s">
        <v>24</v>
      </c>
      <c r="D161" s="36" t="s">
        <v>47</v>
      </c>
      <c r="E161" s="36" t="s">
        <v>46</v>
      </c>
      <c r="F161" s="52">
        <v>43404</v>
      </c>
      <c r="G161" s="53">
        <v>4000</v>
      </c>
      <c r="H161" s="66">
        <f t="shared" si="12"/>
        <v>2647.6000000000004</v>
      </c>
      <c r="I161" s="67">
        <f t="shared" si="13"/>
        <v>1352.4</v>
      </c>
      <c r="J161" s="62"/>
      <c r="K161" s="61"/>
      <c r="L161" s="69">
        <f t="shared" si="15"/>
        <v>2647.6000000000004</v>
      </c>
      <c r="M161" s="70">
        <f t="shared" si="16"/>
        <v>1352.4</v>
      </c>
      <c r="N161" s="82"/>
    </row>
    <row r="162" spans="1:14" x14ac:dyDescent="0.25">
      <c r="A162" s="36" t="s">
        <v>44</v>
      </c>
      <c r="B162" s="36" t="s">
        <v>186</v>
      </c>
      <c r="C162" s="36" t="s">
        <v>24</v>
      </c>
      <c r="D162" s="36" t="s">
        <v>48</v>
      </c>
      <c r="E162" s="36" t="s">
        <v>46</v>
      </c>
      <c r="F162" s="52">
        <v>43404</v>
      </c>
      <c r="G162" s="53">
        <v>1234.08</v>
      </c>
      <c r="H162" s="66">
        <f t="shared" si="12"/>
        <v>816.83755199999996</v>
      </c>
      <c r="I162" s="67">
        <f t="shared" si="13"/>
        <v>417.24244799999997</v>
      </c>
      <c r="J162" s="62"/>
      <c r="K162" s="61"/>
      <c r="L162" s="69">
        <f t="shared" si="15"/>
        <v>816.83755199999996</v>
      </c>
      <c r="M162" s="70">
        <f t="shared" si="16"/>
        <v>417.24244799999997</v>
      </c>
      <c r="N162" s="82"/>
    </row>
    <row r="163" spans="1:14" x14ac:dyDescent="0.25">
      <c r="A163" s="36" t="s">
        <v>44</v>
      </c>
      <c r="B163" s="36" t="s">
        <v>186</v>
      </c>
      <c r="C163" s="36" t="s">
        <v>24</v>
      </c>
      <c r="D163" s="36" t="s">
        <v>189</v>
      </c>
      <c r="E163" s="36" t="s">
        <v>46</v>
      </c>
      <c r="F163" s="52">
        <v>43404</v>
      </c>
      <c r="G163" s="53">
        <v>67.5</v>
      </c>
      <c r="H163" s="66">
        <f t="shared" si="12"/>
        <v>44.678250000000006</v>
      </c>
      <c r="I163" s="67">
        <f t="shared" si="13"/>
        <v>22.821750000000002</v>
      </c>
      <c r="J163" s="62"/>
      <c r="K163" s="61"/>
      <c r="L163" s="69">
        <f t="shared" si="15"/>
        <v>44.678250000000006</v>
      </c>
      <c r="M163" s="70">
        <f t="shared" si="16"/>
        <v>22.821750000000002</v>
      </c>
      <c r="N163" s="82"/>
    </row>
    <row r="164" spans="1:14" x14ac:dyDescent="0.25">
      <c r="A164" s="36" t="s">
        <v>44</v>
      </c>
      <c r="B164" s="36" t="s">
        <v>186</v>
      </c>
      <c r="C164" s="36" t="s">
        <v>24</v>
      </c>
      <c r="D164" s="36" t="s">
        <v>190</v>
      </c>
      <c r="E164" s="36" t="s">
        <v>46</v>
      </c>
      <c r="F164" s="52">
        <v>43404</v>
      </c>
      <c r="G164" s="53">
        <v>1.69</v>
      </c>
      <c r="H164" s="66">
        <f t="shared" si="12"/>
        <v>1.118611</v>
      </c>
      <c r="I164" s="67">
        <f t="shared" si="13"/>
        <v>0.57138900000000004</v>
      </c>
      <c r="J164" s="62"/>
      <c r="K164" s="61"/>
      <c r="L164" s="69">
        <f t="shared" si="15"/>
        <v>1.118611</v>
      </c>
      <c r="M164" s="70">
        <f t="shared" si="16"/>
        <v>0.57138900000000004</v>
      </c>
      <c r="N164" s="82"/>
    </row>
    <row r="165" spans="1:14" x14ac:dyDescent="0.25">
      <c r="A165" s="36" t="s">
        <v>44</v>
      </c>
      <c r="B165" s="36" t="s">
        <v>186</v>
      </c>
      <c r="C165" s="36" t="s">
        <v>24</v>
      </c>
      <c r="D165" s="36" t="s">
        <v>16</v>
      </c>
      <c r="E165" s="36" t="s">
        <v>46</v>
      </c>
      <c r="F165" s="52">
        <v>43404</v>
      </c>
      <c r="G165" s="53">
        <v>-1788.02</v>
      </c>
      <c r="H165" s="66">
        <f t="shared" si="12"/>
        <v>-1183.490438</v>
      </c>
      <c r="I165" s="67">
        <f t="shared" si="13"/>
        <v>-604.52956200000006</v>
      </c>
      <c r="J165" s="62"/>
      <c r="K165" s="61"/>
      <c r="L165" s="69">
        <f t="shared" si="15"/>
        <v>-1183.490438</v>
      </c>
      <c r="M165" s="70">
        <f t="shared" si="16"/>
        <v>-604.52956200000006</v>
      </c>
      <c r="N165" s="82"/>
    </row>
    <row r="166" spans="1:14" x14ac:dyDescent="0.25">
      <c r="A166" s="36" t="s">
        <v>44</v>
      </c>
      <c r="B166" s="36" t="s">
        <v>186</v>
      </c>
      <c r="C166" s="36" t="s">
        <v>24</v>
      </c>
      <c r="D166" s="36" t="s">
        <v>47</v>
      </c>
      <c r="E166" s="36" t="s">
        <v>46</v>
      </c>
      <c r="F166" s="52">
        <v>43404</v>
      </c>
      <c r="G166" s="53">
        <v>1788.02</v>
      </c>
      <c r="H166" s="66">
        <f t="shared" si="12"/>
        <v>1183.490438</v>
      </c>
      <c r="I166" s="67">
        <f t="shared" si="13"/>
        <v>604.52956200000006</v>
      </c>
      <c r="J166" s="62"/>
      <c r="K166" s="61"/>
      <c r="L166" s="69">
        <f t="shared" si="15"/>
        <v>1183.490438</v>
      </c>
      <c r="M166" s="70">
        <f t="shared" si="16"/>
        <v>604.52956200000006</v>
      </c>
      <c r="N166" s="82"/>
    </row>
    <row r="167" spans="1:14" x14ac:dyDescent="0.25">
      <c r="A167" s="36" t="s">
        <v>44</v>
      </c>
      <c r="B167" s="36" t="s">
        <v>186</v>
      </c>
      <c r="C167" s="36" t="s">
        <v>24</v>
      </c>
      <c r="D167" s="36" t="s">
        <v>48</v>
      </c>
      <c r="E167" s="36" t="s">
        <v>46</v>
      </c>
      <c r="F167" s="52">
        <v>43404</v>
      </c>
      <c r="G167" s="53">
        <v>155865.68</v>
      </c>
      <c r="H167" s="66">
        <f t="shared" si="12"/>
        <v>103167.493592</v>
      </c>
      <c r="I167" s="67">
        <f t="shared" si="13"/>
        <v>52698.186408000001</v>
      </c>
      <c r="J167" s="62"/>
      <c r="K167" s="61"/>
      <c r="L167" s="69">
        <f t="shared" si="15"/>
        <v>103167.493592</v>
      </c>
      <c r="M167" s="70">
        <f t="shared" si="16"/>
        <v>52698.186408000001</v>
      </c>
      <c r="N167" s="82"/>
    </row>
    <row r="168" spans="1:14" x14ac:dyDescent="0.25">
      <c r="A168" s="36" t="s">
        <v>44</v>
      </c>
      <c r="B168" s="36" t="s">
        <v>186</v>
      </c>
      <c r="C168" s="36" t="s">
        <v>29</v>
      </c>
      <c r="D168" s="36" t="s">
        <v>190</v>
      </c>
      <c r="E168" s="36" t="s">
        <v>46</v>
      </c>
      <c r="F168" s="52">
        <v>43434</v>
      </c>
      <c r="G168" s="53">
        <v>0.42</v>
      </c>
      <c r="H168" s="66">
        <f t="shared" si="12"/>
        <v>0.27799800000000002</v>
      </c>
      <c r="I168" s="67">
        <f t="shared" si="13"/>
        <v>0.14200199999999999</v>
      </c>
      <c r="J168" s="62"/>
      <c r="K168" s="61"/>
      <c r="L168" s="69">
        <f t="shared" si="15"/>
        <v>0.27799800000000002</v>
      </c>
      <c r="M168" s="70">
        <f t="shared" si="16"/>
        <v>0.14200199999999999</v>
      </c>
      <c r="N168" s="82"/>
    </row>
    <row r="169" spans="1:14" x14ac:dyDescent="0.25">
      <c r="A169" s="36" t="s">
        <v>44</v>
      </c>
      <c r="B169" s="36" t="s">
        <v>186</v>
      </c>
      <c r="C169" s="36" t="s">
        <v>29</v>
      </c>
      <c r="D169" s="36" t="s">
        <v>189</v>
      </c>
      <c r="E169" s="36" t="s">
        <v>46</v>
      </c>
      <c r="F169" s="52">
        <v>43434</v>
      </c>
      <c r="G169" s="53">
        <v>16.670000000000002</v>
      </c>
      <c r="H169" s="66">
        <f t="shared" si="12"/>
        <v>11.033873000000002</v>
      </c>
      <c r="I169" s="67">
        <f t="shared" si="13"/>
        <v>5.636127000000001</v>
      </c>
      <c r="J169" s="62"/>
      <c r="K169" s="61"/>
      <c r="L169" s="69">
        <f t="shared" si="15"/>
        <v>11.033873000000002</v>
      </c>
      <c r="M169" s="70">
        <f t="shared" si="16"/>
        <v>5.636127000000001</v>
      </c>
      <c r="N169" s="82"/>
    </row>
    <row r="170" spans="1:14" x14ac:dyDescent="0.25">
      <c r="A170" s="36" t="s">
        <v>44</v>
      </c>
      <c r="B170" s="36" t="s">
        <v>186</v>
      </c>
      <c r="C170" s="36" t="s">
        <v>29</v>
      </c>
      <c r="D170" s="36" t="s">
        <v>190</v>
      </c>
      <c r="E170" s="36" t="s">
        <v>46</v>
      </c>
      <c r="F170" s="52">
        <v>43434</v>
      </c>
      <c r="G170" s="53">
        <v>1</v>
      </c>
      <c r="H170" s="66">
        <f t="shared" si="12"/>
        <v>0.66190000000000004</v>
      </c>
      <c r="I170" s="67">
        <f t="shared" si="13"/>
        <v>0.33810000000000001</v>
      </c>
      <c r="J170" s="62"/>
      <c r="K170" s="61"/>
      <c r="L170" s="69">
        <f t="shared" si="15"/>
        <v>0.66190000000000004</v>
      </c>
      <c r="M170" s="70">
        <f t="shared" si="16"/>
        <v>0.33810000000000001</v>
      </c>
      <c r="N170" s="82"/>
    </row>
    <row r="171" spans="1:14" x14ac:dyDescent="0.25">
      <c r="A171" s="36" t="s">
        <v>44</v>
      </c>
      <c r="B171" s="36" t="s">
        <v>186</v>
      </c>
      <c r="C171" s="36" t="s">
        <v>29</v>
      </c>
      <c r="D171" s="36" t="s">
        <v>189</v>
      </c>
      <c r="E171" s="36" t="s">
        <v>46</v>
      </c>
      <c r="F171" s="52">
        <v>43434</v>
      </c>
      <c r="G171" s="53">
        <v>40</v>
      </c>
      <c r="H171" s="66">
        <f t="shared" si="12"/>
        <v>26.476000000000003</v>
      </c>
      <c r="I171" s="67">
        <f t="shared" si="13"/>
        <v>13.524000000000001</v>
      </c>
      <c r="J171" s="62"/>
      <c r="K171" s="61"/>
      <c r="L171" s="69">
        <f t="shared" si="15"/>
        <v>26.476000000000003</v>
      </c>
      <c r="M171" s="70">
        <f t="shared" si="16"/>
        <v>13.524000000000001</v>
      </c>
      <c r="N171" s="82"/>
    </row>
    <row r="172" spans="1:14" x14ac:dyDescent="0.25">
      <c r="A172" s="36" t="s">
        <v>44</v>
      </c>
      <c r="B172" s="36" t="s">
        <v>186</v>
      </c>
      <c r="C172" s="36" t="s">
        <v>29</v>
      </c>
      <c r="D172" s="36" t="s">
        <v>47</v>
      </c>
      <c r="E172" s="36" t="s">
        <v>46</v>
      </c>
      <c r="F172" s="52">
        <v>43434</v>
      </c>
      <c r="G172" s="53">
        <v>5000</v>
      </c>
      <c r="H172" s="66">
        <f t="shared" si="12"/>
        <v>3309.5</v>
      </c>
      <c r="I172" s="67">
        <f t="shared" si="13"/>
        <v>1690.5</v>
      </c>
      <c r="J172" s="62"/>
      <c r="K172" s="61"/>
      <c r="L172" s="69">
        <f t="shared" si="15"/>
        <v>3309.5</v>
      </c>
      <c r="M172" s="70">
        <f t="shared" si="16"/>
        <v>1690.5</v>
      </c>
      <c r="N172" s="82"/>
    </row>
    <row r="173" spans="1:14" x14ac:dyDescent="0.25">
      <c r="A173" s="36" t="s">
        <v>44</v>
      </c>
      <c r="B173" s="36" t="s">
        <v>186</v>
      </c>
      <c r="C173" s="36" t="s">
        <v>29</v>
      </c>
      <c r="D173" s="36" t="s">
        <v>45</v>
      </c>
      <c r="E173" s="36" t="s">
        <v>46</v>
      </c>
      <c r="F173" s="52">
        <v>43434</v>
      </c>
      <c r="G173" s="53">
        <v>3.78</v>
      </c>
      <c r="H173" s="66">
        <f t="shared" si="12"/>
        <v>2.5019819999999999</v>
      </c>
      <c r="I173" s="67">
        <f t="shared" si="13"/>
        <v>1.2780179999999999</v>
      </c>
      <c r="J173" s="62"/>
      <c r="K173" s="61"/>
      <c r="L173" s="69">
        <f t="shared" si="15"/>
        <v>2.5019819999999999</v>
      </c>
      <c r="M173" s="70">
        <f t="shared" si="16"/>
        <v>1.2780179999999999</v>
      </c>
      <c r="N173" s="82"/>
    </row>
    <row r="174" spans="1:14" x14ac:dyDescent="0.25">
      <c r="A174" s="36" t="s">
        <v>44</v>
      </c>
      <c r="B174" s="36" t="s">
        <v>186</v>
      </c>
      <c r="C174" s="36" t="s">
        <v>29</v>
      </c>
      <c r="D174" s="36" t="s">
        <v>48</v>
      </c>
      <c r="E174" s="36" t="s">
        <v>46</v>
      </c>
      <c r="F174" s="52">
        <v>43434</v>
      </c>
      <c r="G174" s="53">
        <v>116433.08</v>
      </c>
      <c r="H174" s="66">
        <f t="shared" si="12"/>
        <v>77067.05565200001</v>
      </c>
      <c r="I174" s="67">
        <f t="shared" si="13"/>
        <v>39366.024347999999</v>
      </c>
      <c r="J174" s="62"/>
      <c r="K174" s="61"/>
      <c r="L174" s="69">
        <f t="shared" si="15"/>
        <v>77067.05565200001</v>
      </c>
      <c r="M174" s="70">
        <f t="shared" si="16"/>
        <v>39366.024347999999</v>
      </c>
      <c r="N174" s="82"/>
    </row>
    <row r="175" spans="1:14" x14ac:dyDescent="0.25">
      <c r="A175" s="36" t="s">
        <v>44</v>
      </c>
      <c r="B175" s="36" t="s">
        <v>186</v>
      </c>
      <c r="C175" s="36" t="s">
        <v>29</v>
      </c>
      <c r="D175" s="36" t="s">
        <v>48</v>
      </c>
      <c r="E175" s="36" t="s">
        <v>46</v>
      </c>
      <c r="F175" s="52">
        <v>43434</v>
      </c>
      <c r="G175" s="53">
        <v>33599.040000000001</v>
      </c>
      <c r="H175" s="66">
        <f t="shared" si="12"/>
        <v>22239.204576000004</v>
      </c>
      <c r="I175" s="67">
        <f t="shared" si="13"/>
        <v>11359.835424000001</v>
      </c>
      <c r="J175" s="62"/>
      <c r="K175" s="61"/>
      <c r="L175" s="69">
        <f t="shared" si="15"/>
        <v>22239.204576000004</v>
      </c>
      <c r="M175" s="70">
        <f t="shared" si="16"/>
        <v>11359.835424000001</v>
      </c>
      <c r="N175" s="82"/>
    </row>
    <row r="176" spans="1:14" x14ac:dyDescent="0.25">
      <c r="A176" s="36" t="s">
        <v>44</v>
      </c>
      <c r="B176" s="36" t="s">
        <v>186</v>
      </c>
      <c r="C176" s="36" t="s">
        <v>30</v>
      </c>
      <c r="D176" s="36" t="s">
        <v>189</v>
      </c>
      <c r="E176" s="36" t="s">
        <v>46</v>
      </c>
      <c r="F176" s="52">
        <v>43465</v>
      </c>
      <c r="G176" s="53">
        <v>37.5</v>
      </c>
      <c r="H176" s="66">
        <f t="shared" si="12"/>
        <v>24.821250000000003</v>
      </c>
      <c r="I176" s="67">
        <f t="shared" si="13"/>
        <v>12.678750000000001</v>
      </c>
      <c r="J176" s="62"/>
      <c r="K176" s="61"/>
      <c r="L176" s="69">
        <f t="shared" si="15"/>
        <v>24.821250000000003</v>
      </c>
      <c r="M176" s="70">
        <f t="shared" si="16"/>
        <v>12.678750000000001</v>
      </c>
      <c r="N176" s="82"/>
    </row>
    <row r="177" spans="1:14" x14ac:dyDescent="0.25">
      <c r="A177" s="36" t="s">
        <v>44</v>
      </c>
      <c r="B177" s="36" t="s">
        <v>186</v>
      </c>
      <c r="C177" s="36" t="s">
        <v>30</v>
      </c>
      <c r="D177" s="36" t="s">
        <v>190</v>
      </c>
      <c r="E177" s="36" t="s">
        <v>46</v>
      </c>
      <c r="F177" s="52">
        <v>43465</v>
      </c>
      <c r="G177" s="53">
        <v>0.94</v>
      </c>
      <c r="H177" s="66">
        <f t="shared" si="12"/>
        <v>0.62218600000000002</v>
      </c>
      <c r="I177" s="67">
        <f t="shared" si="13"/>
        <v>0.31781399999999999</v>
      </c>
      <c r="J177" s="62"/>
      <c r="K177" s="61"/>
      <c r="L177" s="69">
        <f t="shared" si="15"/>
        <v>0.62218600000000002</v>
      </c>
      <c r="M177" s="70">
        <f t="shared" si="16"/>
        <v>0.31781399999999999</v>
      </c>
      <c r="N177" s="82"/>
    </row>
    <row r="178" spans="1:14" x14ac:dyDescent="0.25">
      <c r="A178" s="36" t="s">
        <v>44</v>
      </c>
      <c r="B178" s="36" t="s">
        <v>186</v>
      </c>
      <c r="C178" s="36" t="s">
        <v>30</v>
      </c>
      <c r="D178" s="36" t="s">
        <v>47</v>
      </c>
      <c r="E178" s="36" t="s">
        <v>46</v>
      </c>
      <c r="F178" s="52">
        <v>43465</v>
      </c>
      <c r="G178" s="53">
        <v>35000</v>
      </c>
      <c r="H178" s="66">
        <f t="shared" si="12"/>
        <v>23166.5</v>
      </c>
      <c r="I178" s="67">
        <f t="shared" si="13"/>
        <v>11833.5</v>
      </c>
      <c r="J178" s="62"/>
      <c r="K178" s="61"/>
      <c r="L178" s="69">
        <f t="shared" si="15"/>
        <v>23166.5</v>
      </c>
      <c r="M178" s="70">
        <f t="shared" si="16"/>
        <v>11833.5</v>
      </c>
      <c r="N178" s="82"/>
    </row>
    <row r="179" spans="1:14" x14ac:dyDescent="0.25">
      <c r="A179" s="36" t="s">
        <v>44</v>
      </c>
      <c r="B179" s="36" t="s">
        <v>186</v>
      </c>
      <c r="C179" s="36" t="s">
        <v>30</v>
      </c>
      <c r="D179" s="36" t="s">
        <v>16</v>
      </c>
      <c r="E179" s="36" t="s">
        <v>46</v>
      </c>
      <c r="F179" s="52">
        <v>43465</v>
      </c>
      <c r="G179" s="53">
        <v>-96.53</v>
      </c>
      <c r="H179" s="66">
        <f t="shared" si="12"/>
        <v>-63.893207000000004</v>
      </c>
      <c r="I179" s="67">
        <f t="shared" si="13"/>
        <v>-32.636793000000004</v>
      </c>
      <c r="J179" s="62"/>
      <c r="K179" s="61"/>
      <c r="L179" s="69">
        <f t="shared" si="15"/>
        <v>-63.893207000000004</v>
      </c>
      <c r="M179" s="70">
        <f t="shared" si="16"/>
        <v>-32.636793000000004</v>
      </c>
      <c r="N179" s="82"/>
    </row>
    <row r="180" spans="1:14" x14ac:dyDescent="0.25">
      <c r="A180" s="36" t="s">
        <v>44</v>
      </c>
      <c r="B180" s="36" t="s">
        <v>186</v>
      </c>
      <c r="C180" s="36" t="s">
        <v>30</v>
      </c>
      <c r="D180" s="36" t="s">
        <v>47</v>
      </c>
      <c r="E180" s="36" t="s">
        <v>46</v>
      </c>
      <c r="F180" s="52">
        <v>43465</v>
      </c>
      <c r="G180" s="53">
        <v>96.53</v>
      </c>
      <c r="H180" s="66">
        <f t="shared" si="12"/>
        <v>63.893207000000004</v>
      </c>
      <c r="I180" s="67">
        <f t="shared" si="13"/>
        <v>32.636793000000004</v>
      </c>
      <c r="J180" s="62"/>
      <c r="K180" s="61"/>
      <c r="L180" s="69">
        <f t="shared" si="15"/>
        <v>63.893207000000004</v>
      </c>
      <c r="M180" s="70">
        <f t="shared" si="16"/>
        <v>32.636793000000004</v>
      </c>
      <c r="N180" s="82"/>
    </row>
    <row r="181" spans="1:14" x14ac:dyDescent="0.25">
      <c r="A181" s="36" t="s">
        <v>44</v>
      </c>
      <c r="B181" s="36" t="s">
        <v>186</v>
      </c>
      <c r="C181" s="36" t="s">
        <v>30</v>
      </c>
      <c r="D181" s="36" t="s">
        <v>16</v>
      </c>
      <c r="E181" s="36" t="s">
        <v>46</v>
      </c>
      <c r="F181" s="52">
        <v>43465</v>
      </c>
      <c r="G181" s="53">
        <v>393351.97</v>
      </c>
      <c r="H181" s="66">
        <f t="shared" si="12"/>
        <v>260359.668943</v>
      </c>
      <c r="I181" s="67">
        <f t="shared" si="13"/>
        <v>132992.301057</v>
      </c>
      <c r="J181" s="62"/>
      <c r="K181" s="61"/>
      <c r="L181" s="69">
        <f t="shared" si="15"/>
        <v>260359.668943</v>
      </c>
      <c r="M181" s="70">
        <f t="shared" si="16"/>
        <v>132992.301057</v>
      </c>
      <c r="N181" s="82"/>
    </row>
    <row r="182" spans="1:14" x14ac:dyDescent="0.25">
      <c r="A182" s="36" t="s">
        <v>44</v>
      </c>
      <c r="B182" s="36" t="s">
        <v>186</v>
      </c>
      <c r="C182" s="36" t="s">
        <v>30</v>
      </c>
      <c r="D182" s="36" t="s">
        <v>48</v>
      </c>
      <c r="E182" s="36" t="s">
        <v>46</v>
      </c>
      <c r="F182" s="52">
        <v>43465</v>
      </c>
      <c r="G182" s="53">
        <v>71274.58</v>
      </c>
      <c r="H182" s="66">
        <f t="shared" si="12"/>
        <v>47176.644502000003</v>
      </c>
      <c r="I182" s="67">
        <f t="shared" si="13"/>
        <v>24097.935498000003</v>
      </c>
      <c r="J182" s="62"/>
      <c r="K182" s="61"/>
      <c r="L182" s="69">
        <f t="shared" si="15"/>
        <v>47176.644502000003</v>
      </c>
      <c r="M182" s="70">
        <f t="shared" si="16"/>
        <v>24097.935498000003</v>
      </c>
      <c r="N182" s="82"/>
    </row>
    <row r="183" spans="1:14" x14ac:dyDescent="0.25">
      <c r="A183" s="36" t="s">
        <v>44</v>
      </c>
      <c r="B183" s="36" t="s">
        <v>186</v>
      </c>
      <c r="C183" s="36" t="s">
        <v>30</v>
      </c>
      <c r="D183" s="36" t="s">
        <v>48</v>
      </c>
      <c r="E183" s="36" t="s">
        <v>46</v>
      </c>
      <c r="F183" s="52">
        <v>43465</v>
      </c>
      <c r="G183" s="53">
        <v>20842.97</v>
      </c>
      <c r="H183" s="66">
        <f t="shared" si="12"/>
        <v>13795.961843000001</v>
      </c>
      <c r="I183" s="67">
        <f t="shared" si="13"/>
        <v>7047.0081570000002</v>
      </c>
      <c r="J183" s="62"/>
      <c r="K183" s="61"/>
      <c r="L183" s="69">
        <f t="shared" si="15"/>
        <v>13795.961843000001</v>
      </c>
      <c r="M183" s="70">
        <f t="shared" si="16"/>
        <v>7047.0081570000002</v>
      </c>
      <c r="N183" s="82"/>
    </row>
    <row r="184" spans="1:14" x14ac:dyDescent="0.25">
      <c r="F184" s="52"/>
      <c r="G184" s="53"/>
      <c r="H184" s="66">
        <f t="shared" si="12"/>
        <v>0</v>
      </c>
      <c r="I184" s="67">
        <f t="shared" si="13"/>
        <v>0</v>
      </c>
      <c r="J184" s="62"/>
      <c r="K184" s="61"/>
      <c r="L184" s="69">
        <f t="shared" si="15"/>
        <v>0</v>
      </c>
      <c r="M184" s="70">
        <f t="shared" si="16"/>
        <v>0</v>
      </c>
      <c r="N184" s="82"/>
    </row>
    <row r="185" spans="1:14" x14ac:dyDescent="0.25">
      <c r="F185" s="52"/>
      <c r="G185" s="53"/>
      <c r="H185" s="66">
        <f t="shared" ref="H185:H186" si="17">+G185*H$3</f>
        <v>0</v>
      </c>
      <c r="I185" s="67">
        <f t="shared" ref="I185:I186" si="18">+G185*I$3</f>
        <v>0</v>
      </c>
      <c r="J185" s="62"/>
      <c r="K185" s="61"/>
      <c r="L185" s="69">
        <f t="shared" si="15"/>
        <v>0</v>
      </c>
      <c r="M185" s="70">
        <f t="shared" si="16"/>
        <v>0</v>
      </c>
      <c r="N185" s="82"/>
    </row>
    <row r="186" spans="1:14" x14ac:dyDescent="0.25">
      <c r="F186" s="52"/>
      <c r="G186" s="53"/>
      <c r="H186" s="66">
        <f t="shared" si="17"/>
        <v>0</v>
      </c>
      <c r="I186" s="67">
        <f t="shared" si="18"/>
        <v>0</v>
      </c>
      <c r="J186" s="62"/>
      <c r="K186" s="61"/>
      <c r="L186" s="69">
        <f t="shared" si="15"/>
        <v>0</v>
      </c>
      <c r="M186" s="70">
        <f t="shared" si="16"/>
        <v>0</v>
      </c>
      <c r="N186" s="82"/>
    </row>
    <row r="187" spans="1:14" x14ac:dyDescent="0.25">
      <c r="B187" s="36">
        <f>+'True-up prior period'!B13</f>
        <v>2019</v>
      </c>
      <c r="C187" s="36" t="str">
        <f>+'True-up prior period'!C13</f>
        <v>1</v>
      </c>
      <c r="D187" s="36" t="str">
        <f>+'True-up prior period'!D13</f>
        <v>State Excise Tax True-up - Common</v>
      </c>
      <c r="E187" s="36" t="str">
        <f>+'True-up prior period'!E13</f>
        <v>40810602</v>
      </c>
      <c r="F187" s="174">
        <f>+'True-up prior period'!F13</f>
        <v>43496</v>
      </c>
      <c r="G187" s="53"/>
      <c r="H187" s="66">
        <v>0</v>
      </c>
      <c r="I187" s="67">
        <v>0</v>
      </c>
      <c r="J187" s="60">
        <f>+'True-up prior period'!G13*J3</f>
        <v>0</v>
      </c>
      <c r="K187" s="72">
        <f>+'True-up prior period'!G13*K3</f>
        <v>0</v>
      </c>
      <c r="L187" s="69">
        <f t="shared" si="15"/>
        <v>0</v>
      </c>
      <c r="M187" s="70">
        <f t="shared" si="16"/>
        <v>0</v>
      </c>
      <c r="N187" s="83">
        <v>2</v>
      </c>
    </row>
    <row r="188" spans="1:14" x14ac:dyDescent="0.25">
      <c r="A188" s="46" t="s">
        <v>16</v>
      </c>
      <c r="B188" s="46" t="s">
        <v>16</v>
      </c>
      <c r="C188" s="46" t="s">
        <v>16</v>
      </c>
      <c r="D188" s="46" t="s">
        <v>16</v>
      </c>
      <c r="E188" s="46" t="s">
        <v>16</v>
      </c>
      <c r="F188" s="122"/>
      <c r="G188" s="123">
        <f>SUM(G120:G187)</f>
        <v>1946694.7299999997</v>
      </c>
      <c r="H188" s="123">
        <f t="shared" ref="H188:L188" si="19">SUM(H120:H187)</f>
        <v>1288517.2417869999</v>
      </c>
      <c r="I188" s="123">
        <f t="shared" si="19"/>
        <v>658177.488213</v>
      </c>
      <c r="J188" s="123">
        <f>SUM(J120:J187)</f>
        <v>3035.3277819999998</v>
      </c>
      <c r="K188" s="123">
        <f t="shared" si="19"/>
        <v>1550.4522179999999</v>
      </c>
      <c r="L188" s="123">
        <f t="shared" si="19"/>
        <v>1291552.5695689998</v>
      </c>
      <c r="M188" s="123">
        <f>SUM(M120:M187)</f>
        <v>659727.94043100008</v>
      </c>
      <c r="N188" s="82"/>
    </row>
    <row r="189" spans="1:14" x14ac:dyDescent="0.25">
      <c r="A189" s="46" t="s">
        <v>58</v>
      </c>
      <c r="B189" s="46"/>
      <c r="C189" s="46"/>
      <c r="D189" s="46"/>
      <c r="E189" s="46"/>
      <c r="F189" s="122"/>
      <c r="G189" s="123">
        <f t="shared" ref="G189:L189" si="20">+G54+G118+G188</f>
        <v>119240081.55</v>
      </c>
      <c r="H189" s="126">
        <f t="shared" si="20"/>
        <v>84579618.501786992</v>
      </c>
      <c r="I189" s="126">
        <f t="shared" si="20"/>
        <v>34660463.048212998</v>
      </c>
      <c r="J189" s="126">
        <f t="shared" si="20"/>
        <v>14061.997782</v>
      </c>
      <c r="K189" s="126">
        <f t="shared" si="20"/>
        <v>-142661.067782</v>
      </c>
      <c r="L189" s="126">
        <f t="shared" si="20"/>
        <v>84593680.499568984</v>
      </c>
      <c r="M189" s="126">
        <f>+M54+M118+M188</f>
        <v>34517801.980430998</v>
      </c>
      <c r="N189" s="84"/>
    </row>
    <row r="191" spans="1:14" x14ac:dyDescent="0.25">
      <c r="A191" s="36" t="s">
        <v>197</v>
      </c>
    </row>
    <row r="192" spans="1:14" x14ac:dyDescent="0.25">
      <c r="A192" s="36" t="s">
        <v>196</v>
      </c>
      <c r="J192" s="110"/>
    </row>
  </sheetData>
  <pageMargins left="0.75" right="0.75" top="1" bottom="1" header="0.5" footer="0.5"/>
  <pageSetup scale="53" fitToHeight="3" orientation="landscape" r:id="rId1"/>
  <headerFooter alignWithMargins="0"/>
  <rowBreaks count="2" manualBreakCount="2">
    <brk id="54" max="13" man="1"/>
    <brk id="118"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workbookViewId="0">
      <selection activeCell="D3" sqref="D3"/>
    </sheetView>
  </sheetViews>
  <sheetFormatPr defaultColWidth="9.140625" defaultRowHeight="12.75" x14ac:dyDescent="0.25"/>
  <cols>
    <col min="1" max="1" width="20" style="94" bestFit="1" customWidth="1"/>
    <col min="2" max="2" width="13" style="94" bestFit="1" customWidth="1"/>
    <col min="3" max="3" width="8" style="94" bestFit="1" customWidth="1"/>
    <col min="4" max="4" width="49" style="94" bestFit="1" customWidth="1"/>
    <col min="5" max="5" width="10" style="94" bestFit="1" customWidth="1"/>
    <col min="6" max="6" width="14" style="94" bestFit="1" customWidth="1"/>
    <col min="7" max="7" width="17" style="94" bestFit="1" customWidth="1"/>
    <col min="8" max="16384" width="9.140625" style="94"/>
  </cols>
  <sheetData>
    <row r="1" spans="1:8" ht="13.9" thickBot="1" x14ac:dyDescent="0.35">
      <c r="A1" s="95" t="s">
        <v>167</v>
      </c>
      <c r="B1" s="95" t="s">
        <v>20</v>
      </c>
      <c r="C1" s="95" t="s">
        <v>21</v>
      </c>
      <c r="D1" s="95" t="s">
        <v>22</v>
      </c>
      <c r="E1" s="95" t="s">
        <v>12</v>
      </c>
      <c r="F1" s="95" t="s">
        <v>13</v>
      </c>
      <c r="G1" s="95" t="s">
        <v>14</v>
      </c>
    </row>
    <row r="2" spans="1:8" ht="14.45" x14ac:dyDescent="0.3">
      <c r="A2" s="97" t="s">
        <v>23</v>
      </c>
      <c r="B2" s="163">
        <v>2019</v>
      </c>
      <c r="C2" s="98" t="s">
        <v>31</v>
      </c>
      <c r="D2" s="98" t="s">
        <v>27</v>
      </c>
      <c r="E2" s="98" t="s">
        <v>26</v>
      </c>
      <c r="F2" s="99">
        <v>43496</v>
      </c>
      <c r="G2" s="165">
        <v>0</v>
      </c>
      <c r="H2" s="96" t="s">
        <v>168</v>
      </c>
    </row>
    <row r="3" spans="1:8" ht="14.45" x14ac:dyDescent="0.3">
      <c r="A3" s="100" t="s">
        <v>23</v>
      </c>
      <c r="B3" s="170">
        <v>2019</v>
      </c>
      <c r="C3" s="101" t="s">
        <v>31</v>
      </c>
      <c r="D3" s="101" t="s">
        <v>25</v>
      </c>
      <c r="E3" s="101" t="s">
        <v>26</v>
      </c>
      <c r="F3" s="102">
        <v>43480</v>
      </c>
      <c r="G3" s="164">
        <v>-5475377.0599999996</v>
      </c>
    </row>
    <row r="4" spans="1:8" ht="14.45" x14ac:dyDescent="0.3">
      <c r="A4" s="100" t="s">
        <v>23</v>
      </c>
      <c r="B4" s="170">
        <v>2019</v>
      </c>
      <c r="C4" s="101" t="s">
        <v>31</v>
      </c>
      <c r="D4" s="101" t="s">
        <v>25</v>
      </c>
      <c r="E4" s="101" t="s">
        <v>26</v>
      </c>
      <c r="F4" s="102">
        <v>43496</v>
      </c>
      <c r="G4" s="164">
        <v>5705212.75</v>
      </c>
    </row>
    <row r="5" spans="1:8" ht="14.45" x14ac:dyDescent="0.3">
      <c r="A5" s="100" t="s">
        <v>23</v>
      </c>
      <c r="B5" s="170">
        <v>2019</v>
      </c>
      <c r="C5" s="101" t="s">
        <v>31</v>
      </c>
      <c r="D5" s="101" t="s">
        <v>28</v>
      </c>
      <c r="E5" s="101" t="s">
        <v>26</v>
      </c>
      <c r="F5" s="102">
        <v>43496</v>
      </c>
      <c r="G5" s="164">
        <v>8167035.4699999997</v>
      </c>
      <c r="H5" s="96"/>
    </row>
    <row r="6" spans="1:8" ht="14.45" x14ac:dyDescent="0.3">
      <c r="A6" s="100"/>
      <c r="B6" s="101"/>
      <c r="C6" s="101"/>
      <c r="D6" s="101"/>
      <c r="E6" s="101"/>
      <c r="F6" s="102"/>
      <c r="G6" s="103"/>
    </row>
    <row r="7" spans="1:8" ht="15" thickBot="1" x14ac:dyDescent="0.35">
      <c r="A7" s="100"/>
      <c r="B7" s="105"/>
      <c r="C7" s="105"/>
      <c r="D7" s="105"/>
      <c r="E7" s="105"/>
      <c r="F7" s="106"/>
      <c r="G7" s="107"/>
    </row>
    <row r="8" spans="1:8" ht="14.45" x14ac:dyDescent="0.3">
      <c r="A8" s="97" t="s">
        <v>23</v>
      </c>
      <c r="B8" s="163">
        <v>2019</v>
      </c>
      <c r="C8" s="98" t="s">
        <v>31</v>
      </c>
      <c r="D8" s="98" t="s">
        <v>42</v>
      </c>
      <c r="E8" s="98" t="s">
        <v>41</v>
      </c>
      <c r="F8" s="99">
        <v>43496</v>
      </c>
      <c r="G8" s="165">
        <v>-144576.54999999999</v>
      </c>
      <c r="H8" s="96" t="s">
        <v>168</v>
      </c>
    </row>
    <row r="9" spans="1:8" ht="14.45" x14ac:dyDescent="0.3">
      <c r="A9" s="100" t="s">
        <v>23</v>
      </c>
      <c r="B9" s="170">
        <v>2019</v>
      </c>
      <c r="C9" s="101" t="s">
        <v>31</v>
      </c>
      <c r="D9" s="101" t="s">
        <v>40</v>
      </c>
      <c r="E9" s="101" t="s">
        <v>41</v>
      </c>
      <c r="F9" s="102">
        <v>43480</v>
      </c>
      <c r="G9" s="164">
        <v>-2318086.25</v>
      </c>
      <c r="H9" s="96"/>
    </row>
    <row r="10" spans="1:8" ht="14.45" x14ac:dyDescent="0.3">
      <c r="A10" s="100" t="s">
        <v>23</v>
      </c>
      <c r="B10" s="170">
        <v>2019</v>
      </c>
      <c r="C10" s="101" t="s">
        <v>31</v>
      </c>
      <c r="D10" s="101" t="s">
        <v>188</v>
      </c>
      <c r="E10" s="101" t="s">
        <v>41</v>
      </c>
      <c r="F10" s="102">
        <v>43496</v>
      </c>
      <c r="G10" s="164">
        <v>225.47</v>
      </c>
      <c r="H10" s="96"/>
    </row>
    <row r="11" spans="1:8" ht="14.45" x14ac:dyDescent="0.3">
      <c r="A11" s="100" t="s">
        <v>23</v>
      </c>
      <c r="B11" s="170">
        <v>2019</v>
      </c>
      <c r="C11" s="101" t="s">
        <v>31</v>
      </c>
      <c r="D11" s="101" t="s">
        <v>40</v>
      </c>
      <c r="E11" s="101" t="s">
        <v>41</v>
      </c>
      <c r="F11" s="102">
        <v>43496</v>
      </c>
      <c r="G11" s="164">
        <v>2433137.4900000002</v>
      </c>
    </row>
    <row r="12" spans="1:8" ht="15" thickBot="1" x14ac:dyDescent="0.35">
      <c r="A12" s="104" t="s">
        <v>23</v>
      </c>
      <c r="B12" s="171">
        <v>2019</v>
      </c>
      <c r="C12" s="105" t="s">
        <v>31</v>
      </c>
      <c r="D12" s="105" t="s">
        <v>43</v>
      </c>
      <c r="E12" s="105" t="s">
        <v>41</v>
      </c>
      <c r="F12" s="106">
        <v>43496</v>
      </c>
      <c r="G12" s="107">
        <v>4106101.59</v>
      </c>
    </row>
    <row r="13" spans="1:8" ht="14.45" x14ac:dyDescent="0.3">
      <c r="A13" s="97" t="s">
        <v>44</v>
      </c>
      <c r="B13" s="163">
        <v>2019</v>
      </c>
      <c r="C13" s="98" t="s">
        <v>31</v>
      </c>
      <c r="D13" s="98" t="s">
        <v>45</v>
      </c>
      <c r="E13" s="98" t="s">
        <v>46</v>
      </c>
      <c r="F13" s="99">
        <v>43496</v>
      </c>
      <c r="G13" s="165">
        <v>0</v>
      </c>
      <c r="H13" s="96" t="s">
        <v>168</v>
      </c>
    </row>
    <row r="14" spans="1:8" ht="14.45" x14ac:dyDescent="0.3">
      <c r="A14" s="100" t="s">
        <v>44</v>
      </c>
      <c r="B14" s="170">
        <v>2019</v>
      </c>
      <c r="C14" s="101" t="s">
        <v>31</v>
      </c>
      <c r="D14" s="101" t="s">
        <v>47</v>
      </c>
      <c r="E14" s="101" t="s">
        <v>46</v>
      </c>
      <c r="F14" s="102">
        <v>43496</v>
      </c>
      <c r="G14" s="164">
        <v>11000</v>
      </c>
    </row>
    <row r="15" spans="1:8" ht="15" thickBot="1" x14ac:dyDescent="0.35">
      <c r="A15" s="166" t="s">
        <v>44</v>
      </c>
      <c r="B15" s="175">
        <v>2019</v>
      </c>
      <c r="C15" s="167" t="s">
        <v>31</v>
      </c>
      <c r="D15" s="167" t="s">
        <v>48</v>
      </c>
      <c r="E15" s="167" t="s">
        <v>46</v>
      </c>
      <c r="F15" s="168">
        <v>43496</v>
      </c>
      <c r="G15" s="169">
        <v>135417.57999999999</v>
      </c>
    </row>
  </sheetData>
  <pageMargins left="0.75" right="0.75" top="1" bottom="1" header="0.5" footer="0.5"/>
  <pageSetup scale="5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19" workbookViewId="0">
      <selection activeCell="F33" sqref="F33"/>
    </sheetView>
  </sheetViews>
  <sheetFormatPr defaultColWidth="9.140625" defaultRowHeight="15" x14ac:dyDescent="0.25"/>
  <cols>
    <col min="1" max="2" width="9.140625" style="29"/>
    <col min="3" max="3" width="30.42578125" style="29" bestFit="1" customWidth="1"/>
    <col min="4" max="4" width="9" style="29" bestFit="1" customWidth="1"/>
    <col min="5" max="5" width="12.140625" style="29" bestFit="1" customWidth="1"/>
    <col min="6" max="6" width="15" style="29" bestFit="1" customWidth="1"/>
    <col min="7" max="8" width="9.140625" style="29"/>
    <col min="9" max="9" width="30.42578125" style="29" bestFit="1" customWidth="1"/>
    <col min="10" max="10" width="9.140625" style="29"/>
    <col min="11" max="11" width="10.7109375" style="29" bestFit="1" customWidth="1"/>
    <col min="12" max="12" width="11.7109375" style="29" bestFit="1" customWidth="1"/>
    <col min="13" max="13" width="9.140625" style="29"/>
    <col min="14" max="14" width="10.7109375" style="29" bestFit="1" customWidth="1"/>
    <col min="15" max="15" width="10.140625" style="29" bestFit="1" customWidth="1"/>
    <col min="16" max="16384" width="9.140625" style="29"/>
  </cols>
  <sheetData>
    <row r="1" spans="1:6" x14ac:dyDescent="0.3">
      <c r="A1" s="127" t="s">
        <v>20</v>
      </c>
      <c r="B1" s="127" t="s">
        <v>21</v>
      </c>
      <c r="C1" s="127" t="s">
        <v>22</v>
      </c>
      <c r="D1" s="127" t="s">
        <v>12</v>
      </c>
      <c r="E1" s="127" t="s">
        <v>13</v>
      </c>
      <c r="F1" s="127" t="s">
        <v>14</v>
      </c>
    </row>
    <row r="2" spans="1:6" x14ac:dyDescent="0.3">
      <c r="A2" s="30" t="s">
        <v>186</v>
      </c>
      <c r="B2" s="30" t="s">
        <v>31</v>
      </c>
      <c r="C2" s="30" t="s">
        <v>169</v>
      </c>
      <c r="D2" s="30" t="s">
        <v>15</v>
      </c>
      <c r="E2" s="124">
        <v>43131</v>
      </c>
      <c r="F2" s="154">
        <v>489693</v>
      </c>
    </row>
    <row r="3" spans="1:6" x14ac:dyDescent="0.3">
      <c r="A3" s="30" t="s">
        <v>186</v>
      </c>
      <c r="B3" s="30" t="s">
        <v>32</v>
      </c>
      <c r="C3" s="30" t="s">
        <v>169</v>
      </c>
      <c r="D3" s="30" t="s">
        <v>15</v>
      </c>
      <c r="E3" s="124">
        <v>43159</v>
      </c>
      <c r="F3" s="154">
        <v>464165</v>
      </c>
    </row>
    <row r="4" spans="1:6" x14ac:dyDescent="0.3">
      <c r="A4" s="30" t="s">
        <v>186</v>
      </c>
      <c r="B4" s="30" t="s">
        <v>33</v>
      </c>
      <c r="C4" s="30" t="s">
        <v>169</v>
      </c>
      <c r="D4" s="30" t="s">
        <v>15</v>
      </c>
      <c r="E4" s="124">
        <v>43190</v>
      </c>
      <c r="F4" s="154">
        <v>425881</v>
      </c>
    </row>
    <row r="5" spans="1:6" x14ac:dyDescent="0.3">
      <c r="A5" s="30" t="s">
        <v>186</v>
      </c>
      <c r="B5" s="30" t="s">
        <v>34</v>
      </c>
      <c r="C5" s="30" t="s">
        <v>169</v>
      </c>
      <c r="D5" s="30" t="s">
        <v>15</v>
      </c>
      <c r="E5" s="124">
        <v>43220</v>
      </c>
      <c r="F5" s="154">
        <v>-54686.22</v>
      </c>
    </row>
    <row r="6" spans="1:6" x14ac:dyDescent="0.3">
      <c r="A6" s="30" t="s">
        <v>186</v>
      </c>
      <c r="B6" s="30" t="s">
        <v>34</v>
      </c>
      <c r="C6" s="30" t="s">
        <v>169</v>
      </c>
      <c r="D6" s="30" t="s">
        <v>15</v>
      </c>
      <c r="E6" s="124">
        <v>43220</v>
      </c>
      <c r="F6" s="154">
        <v>350431</v>
      </c>
    </row>
    <row r="7" spans="1:6" x14ac:dyDescent="0.3">
      <c r="A7" s="30" t="s">
        <v>186</v>
      </c>
      <c r="B7" s="30" t="s">
        <v>35</v>
      </c>
      <c r="C7" s="30" t="s">
        <v>169</v>
      </c>
      <c r="D7" s="30" t="s">
        <v>15</v>
      </c>
      <c r="E7" s="124">
        <v>43251</v>
      </c>
      <c r="F7" s="154">
        <v>333371</v>
      </c>
    </row>
    <row r="8" spans="1:6" x14ac:dyDescent="0.3">
      <c r="A8" s="30" t="s">
        <v>186</v>
      </c>
      <c r="B8" s="30" t="s">
        <v>36</v>
      </c>
      <c r="C8" s="30" t="s">
        <v>169</v>
      </c>
      <c r="D8" s="30" t="s">
        <v>15</v>
      </c>
      <c r="E8" s="124">
        <v>43281</v>
      </c>
      <c r="F8" s="154">
        <v>310790</v>
      </c>
    </row>
    <row r="9" spans="1:6" x14ac:dyDescent="0.3">
      <c r="A9" s="30" t="s">
        <v>186</v>
      </c>
      <c r="B9" s="30" t="s">
        <v>37</v>
      </c>
      <c r="C9" s="30" t="s">
        <v>169</v>
      </c>
      <c r="D9" s="30" t="s">
        <v>15</v>
      </c>
      <c r="E9" s="124">
        <v>43312</v>
      </c>
      <c r="F9" s="154">
        <v>356474</v>
      </c>
    </row>
    <row r="10" spans="1:6" x14ac:dyDescent="0.3">
      <c r="A10" s="30" t="s">
        <v>186</v>
      </c>
      <c r="B10" s="30" t="s">
        <v>38</v>
      </c>
      <c r="C10" s="30" t="s">
        <v>169</v>
      </c>
      <c r="D10" s="30" t="s">
        <v>15</v>
      </c>
      <c r="E10" s="124">
        <v>43343</v>
      </c>
      <c r="F10" s="154">
        <v>350326</v>
      </c>
    </row>
    <row r="11" spans="1:6" x14ac:dyDescent="0.3">
      <c r="A11" s="30" t="s">
        <v>186</v>
      </c>
      <c r="B11" s="30" t="s">
        <v>39</v>
      </c>
      <c r="C11" s="30" t="s">
        <v>169</v>
      </c>
      <c r="D11" s="30" t="s">
        <v>15</v>
      </c>
      <c r="E11" s="124">
        <v>43373</v>
      </c>
      <c r="F11" s="154">
        <v>300741</v>
      </c>
    </row>
    <row r="12" spans="1:6" x14ac:dyDescent="0.3">
      <c r="A12" s="30" t="s">
        <v>186</v>
      </c>
      <c r="B12" s="30" t="s">
        <v>24</v>
      </c>
      <c r="C12" s="30" t="s">
        <v>169</v>
      </c>
      <c r="D12" s="30" t="s">
        <v>15</v>
      </c>
      <c r="E12" s="124">
        <v>43404</v>
      </c>
      <c r="F12" s="154">
        <v>390052</v>
      </c>
    </row>
    <row r="13" spans="1:6" x14ac:dyDescent="0.3">
      <c r="A13" s="30" t="s">
        <v>186</v>
      </c>
      <c r="B13" s="30" t="s">
        <v>29</v>
      </c>
      <c r="C13" s="30" t="s">
        <v>169</v>
      </c>
      <c r="D13" s="30" t="s">
        <v>15</v>
      </c>
      <c r="E13" s="124">
        <v>43434</v>
      </c>
      <c r="F13" s="154">
        <v>395879</v>
      </c>
    </row>
    <row r="14" spans="1:6" x14ac:dyDescent="0.3">
      <c r="A14" s="30" t="s">
        <v>186</v>
      </c>
      <c r="B14" s="30" t="s">
        <v>29</v>
      </c>
      <c r="C14" s="30" t="s">
        <v>169</v>
      </c>
      <c r="D14" s="30" t="s">
        <v>15</v>
      </c>
      <c r="E14" s="124">
        <v>43434</v>
      </c>
      <c r="F14" s="154">
        <v>71142</v>
      </c>
    </row>
    <row r="15" spans="1:6" x14ac:dyDescent="0.3">
      <c r="A15" s="30" t="s">
        <v>186</v>
      </c>
      <c r="B15" s="30" t="s">
        <v>30</v>
      </c>
      <c r="C15" s="30" t="s">
        <v>169</v>
      </c>
      <c r="D15" s="30" t="s">
        <v>15</v>
      </c>
      <c r="E15" s="124">
        <v>43465</v>
      </c>
      <c r="F15" s="154">
        <v>485493</v>
      </c>
    </row>
    <row r="16" spans="1:6" x14ac:dyDescent="0.3">
      <c r="A16" s="127" t="s">
        <v>16</v>
      </c>
      <c r="B16" s="127" t="s">
        <v>16</v>
      </c>
      <c r="C16" s="127" t="s">
        <v>16</v>
      </c>
      <c r="D16" s="127" t="s">
        <v>16</v>
      </c>
      <c r="E16" s="128"/>
      <c r="F16" s="155">
        <f>SUM(F2:F15)</f>
        <v>4669751.78</v>
      </c>
    </row>
    <row r="17" spans="1:6" x14ac:dyDescent="0.3">
      <c r="C17" s="30"/>
      <c r="D17" s="30"/>
      <c r="E17" s="30"/>
      <c r="F17" s="31"/>
    </row>
    <row r="18" spans="1:6" x14ac:dyDescent="0.3">
      <c r="A18" s="127" t="s">
        <v>20</v>
      </c>
      <c r="B18" s="127" t="s">
        <v>21</v>
      </c>
      <c r="C18" s="127" t="s">
        <v>22</v>
      </c>
      <c r="D18" s="127" t="s">
        <v>12</v>
      </c>
      <c r="E18" s="127" t="s">
        <v>13</v>
      </c>
      <c r="F18" s="127" t="s">
        <v>14</v>
      </c>
    </row>
    <row r="19" spans="1:6" x14ac:dyDescent="0.3">
      <c r="A19" s="30" t="s">
        <v>186</v>
      </c>
      <c r="B19" s="30" t="s">
        <v>31</v>
      </c>
      <c r="C19" s="30" t="s">
        <v>170</v>
      </c>
      <c r="D19" s="30" t="s">
        <v>17</v>
      </c>
      <c r="E19" s="124">
        <v>43131</v>
      </c>
      <c r="F19" s="125">
        <v>242799</v>
      </c>
    </row>
    <row r="20" spans="1:6" x14ac:dyDescent="0.3">
      <c r="A20" s="30" t="s">
        <v>186</v>
      </c>
      <c r="B20" s="30" t="s">
        <v>32</v>
      </c>
      <c r="C20" s="30" t="s">
        <v>170</v>
      </c>
      <c r="D20" s="30" t="s">
        <v>17</v>
      </c>
      <c r="E20" s="124">
        <v>43159</v>
      </c>
      <c r="F20" s="125">
        <v>246718</v>
      </c>
    </row>
    <row r="21" spans="1:6" x14ac:dyDescent="0.3">
      <c r="A21" s="30" t="s">
        <v>186</v>
      </c>
      <c r="B21" s="30" t="s">
        <v>33</v>
      </c>
      <c r="C21" s="30" t="s">
        <v>170</v>
      </c>
      <c r="D21" s="30" t="s">
        <v>17</v>
      </c>
      <c r="E21" s="124">
        <v>43190</v>
      </c>
      <c r="F21" s="125">
        <v>218153</v>
      </c>
    </row>
    <row r="22" spans="1:6" x14ac:dyDescent="0.3">
      <c r="A22" s="30" t="s">
        <v>186</v>
      </c>
      <c r="B22" s="30" t="s">
        <v>34</v>
      </c>
      <c r="C22" s="30" t="s">
        <v>170</v>
      </c>
      <c r="D22" s="30" t="s">
        <v>17</v>
      </c>
      <c r="E22" s="124">
        <v>43220</v>
      </c>
      <c r="F22" s="125">
        <v>-50.26</v>
      </c>
    </row>
    <row r="23" spans="1:6" x14ac:dyDescent="0.3">
      <c r="A23" s="30" t="s">
        <v>186</v>
      </c>
      <c r="B23" s="30" t="s">
        <v>34</v>
      </c>
      <c r="C23" s="30" t="s">
        <v>170</v>
      </c>
      <c r="D23" s="30" t="s">
        <v>17</v>
      </c>
      <c r="E23" s="124">
        <v>43220</v>
      </c>
      <c r="F23" s="125">
        <v>154816</v>
      </c>
    </row>
    <row r="24" spans="1:6" x14ac:dyDescent="0.3">
      <c r="A24" s="30" t="s">
        <v>186</v>
      </c>
      <c r="B24" s="30" t="s">
        <v>35</v>
      </c>
      <c r="C24" s="30" t="s">
        <v>170</v>
      </c>
      <c r="D24" s="30" t="s">
        <v>17</v>
      </c>
      <c r="E24" s="124">
        <v>43251</v>
      </c>
      <c r="F24" s="125">
        <v>93193</v>
      </c>
    </row>
    <row r="25" spans="1:6" x14ac:dyDescent="0.3">
      <c r="A25" s="30" t="s">
        <v>186</v>
      </c>
      <c r="B25" s="30" t="s">
        <v>36</v>
      </c>
      <c r="C25" s="30" t="s">
        <v>170</v>
      </c>
      <c r="D25" s="30" t="s">
        <v>17</v>
      </c>
      <c r="E25" s="124">
        <v>43281</v>
      </c>
      <c r="F25" s="125">
        <v>84271</v>
      </c>
    </row>
    <row r="26" spans="1:6" x14ac:dyDescent="0.3">
      <c r="A26" s="30" t="s">
        <v>186</v>
      </c>
      <c r="B26" s="30" t="s">
        <v>37</v>
      </c>
      <c r="C26" s="30" t="s">
        <v>170</v>
      </c>
      <c r="D26" s="30" t="s">
        <v>17</v>
      </c>
      <c r="E26" s="124">
        <v>43312</v>
      </c>
      <c r="F26" s="125">
        <v>66277</v>
      </c>
    </row>
    <row r="27" spans="1:6" x14ac:dyDescent="0.3">
      <c r="A27" s="30" t="s">
        <v>186</v>
      </c>
      <c r="B27" s="30" t="s">
        <v>38</v>
      </c>
      <c r="C27" s="30" t="s">
        <v>170</v>
      </c>
      <c r="D27" s="30" t="s">
        <v>17</v>
      </c>
      <c r="E27" s="124">
        <v>43343</v>
      </c>
      <c r="F27" s="125">
        <v>73087</v>
      </c>
    </row>
    <row r="28" spans="1:6" x14ac:dyDescent="0.3">
      <c r="A28" s="30" t="s">
        <v>186</v>
      </c>
      <c r="B28" s="30" t="s">
        <v>39</v>
      </c>
      <c r="C28" s="30" t="s">
        <v>170</v>
      </c>
      <c r="D28" s="30" t="s">
        <v>17</v>
      </c>
      <c r="E28" s="124">
        <v>43373</v>
      </c>
      <c r="F28" s="125">
        <v>79153</v>
      </c>
    </row>
    <row r="29" spans="1:6" x14ac:dyDescent="0.3">
      <c r="A29" s="30" t="s">
        <v>186</v>
      </c>
      <c r="B29" s="30" t="s">
        <v>24</v>
      </c>
      <c r="C29" s="30" t="s">
        <v>170</v>
      </c>
      <c r="D29" s="30" t="s">
        <v>17</v>
      </c>
      <c r="E29" s="124">
        <v>43404</v>
      </c>
      <c r="F29" s="125">
        <v>136006</v>
      </c>
    </row>
    <row r="30" spans="1:6" x14ac:dyDescent="0.3">
      <c r="A30" s="30" t="s">
        <v>186</v>
      </c>
      <c r="B30" s="30" t="s">
        <v>29</v>
      </c>
      <c r="C30" s="30" t="s">
        <v>170</v>
      </c>
      <c r="D30" s="30" t="s">
        <v>17</v>
      </c>
      <c r="E30" s="124">
        <v>43434</v>
      </c>
      <c r="F30" s="125">
        <v>165978</v>
      </c>
    </row>
    <row r="31" spans="1:6" x14ac:dyDescent="0.3">
      <c r="A31" s="30" t="s">
        <v>186</v>
      </c>
      <c r="B31" s="30" t="s">
        <v>29</v>
      </c>
      <c r="C31" s="30" t="s">
        <v>170</v>
      </c>
      <c r="D31" s="30" t="s">
        <v>17</v>
      </c>
      <c r="E31" s="124">
        <v>43434</v>
      </c>
      <c r="F31" s="125">
        <v>-8656</v>
      </c>
    </row>
    <row r="32" spans="1:6" x14ac:dyDescent="0.3">
      <c r="A32" s="30" t="s">
        <v>186</v>
      </c>
      <c r="B32" s="30" t="s">
        <v>30</v>
      </c>
      <c r="C32" s="30" t="s">
        <v>170</v>
      </c>
      <c r="D32" s="30" t="s">
        <v>17</v>
      </c>
      <c r="E32" s="124">
        <v>43465</v>
      </c>
      <c r="F32" s="125">
        <v>147323</v>
      </c>
    </row>
    <row r="33" spans="1:6" x14ac:dyDescent="0.3">
      <c r="A33" s="127" t="s">
        <v>16</v>
      </c>
      <c r="B33" s="127" t="s">
        <v>16</v>
      </c>
      <c r="C33" s="127" t="s">
        <v>16</v>
      </c>
      <c r="D33" s="127" t="s">
        <v>16</v>
      </c>
      <c r="E33" s="128"/>
      <c r="F33" s="129">
        <f>SUM(F19:F32)</f>
        <v>1699067.74</v>
      </c>
    </row>
    <row r="36" spans="1:6" x14ac:dyDescent="0.3">
      <c r="F36" s="162">
        <f>F16+F33</f>
        <v>6368819.5200000005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zoomScaleNormal="100" workbookViewId="0">
      <selection activeCell="D12" sqref="D12"/>
    </sheetView>
  </sheetViews>
  <sheetFormatPr defaultColWidth="8.85546875" defaultRowHeight="15" x14ac:dyDescent="0.25"/>
  <cols>
    <col min="1" max="1" width="9.140625" style="141" customWidth="1"/>
    <col min="2" max="2" width="117.85546875" style="29" customWidth="1"/>
    <col min="3" max="3" width="3.7109375" style="29" bestFit="1" customWidth="1"/>
    <col min="4" max="4" width="17.7109375" style="29" bestFit="1" customWidth="1"/>
    <col min="5" max="5" width="15.85546875" style="29" bestFit="1" customWidth="1"/>
    <col min="6" max="6" width="19.85546875" style="29" bestFit="1" customWidth="1"/>
    <col min="7" max="16384" width="8.85546875" style="29"/>
  </cols>
  <sheetData>
    <row r="1" spans="1:6" ht="14.45" x14ac:dyDescent="0.3">
      <c r="A1" s="130" t="s">
        <v>59</v>
      </c>
      <c r="B1" s="130"/>
      <c r="C1" s="130"/>
      <c r="D1" s="130"/>
      <c r="E1" s="130"/>
      <c r="F1" s="130"/>
    </row>
    <row r="2" spans="1:6" ht="14.45" x14ac:dyDescent="0.3">
      <c r="A2" s="130" t="s">
        <v>60</v>
      </c>
      <c r="B2" s="130"/>
      <c r="C2" s="130"/>
      <c r="D2" s="130"/>
      <c r="E2" s="130"/>
      <c r="F2" s="130"/>
    </row>
    <row r="3" spans="1:6" ht="14.45" x14ac:dyDescent="0.3">
      <c r="A3" s="130" t="s">
        <v>118</v>
      </c>
      <c r="B3" s="131"/>
      <c r="C3" s="131"/>
      <c r="D3" s="131"/>
      <c r="E3" s="131"/>
      <c r="F3" s="131"/>
    </row>
    <row r="5" spans="1:6" ht="14.45" x14ac:dyDescent="0.3">
      <c r="A5" s="132" t="s">
        <v>113</v>
      </c>
    </row>
    <row r="6" spans="1:6" ht="14.45" x14ac:dyDescent="0.3">
      <c r="A6" s="133" t="s">
        <v>114</v>
      </c>
    </row>
    <row r="7" spans="1:6" ht="14.45" x14ac:dyDescent="0.3">
      <c r="A7" s="133" t="s">
        <v>115</v>
      </c>
    </row>
    <row r="8" spans="1:6" ht="14.45" x14ac:dyDescent="0.3">
      <c r="A8" s="133" t="s">
        <v>116</v>
      </c>
    </row>
    <row r="9" spans="1:6" ht="14.45" x14ac:dyDescent="0.3">
      <c r="A9" s="133" t="s">
        <v>117</v>
      </c>
    </row>
    <row r="10" spans="1:6" ht="14.45" x14ac:dyDescent="0.3">
      <c r="A10" s="133"/>
    </row>
    <row r="11" spans="1:6" ht="14.45" x14ac:dyDescent="0.3">
      <c r="A11" s="134" t="s">
        <v>62</v>
      </c>
    </row>
    <row r="12" spans="1:6" ht="14.45" x14ac:dyDescent="0.3">
      <c r="A12" s="134" t="s">
        <v>63</v>
      </c>
      <c r="B12" s="29" t="s">
        <v>64</v>
      </c>
      <c r="C12" s="135" t="s">
        <v>63</v>
      </c>
      <c r="D12" s="136">
        <f>'[2]Allocated (CBR)'!$B$9</f>
        <v>2165233766.8899999</v>
      </c>
    </row>
    <row r="13" spans="1:6" ht="14.45" x14ac:dyDescent="0.3">
      <c r="A13" s="134" t="s">
        <v>65</v>
      </c>
      <c r="B13" s="29" t="s">
        <v>66</v>
      </c>
      <c r="C13" s="137" t="s">
        <v>61</v>
      </c>
      <c r="D13" s="29" t="s">
        <v>65</v>
      </c>
    </row>
    <row r="14" spans="1:6" ht="14.45" x14ac:dyDescent="0.3">
      <c r="A14" s="134" t="s">
        <v>67</v>
      </c>
      <c r="B14" s="29" t="s">
        <v>68</v>
      </c>
      <c r="C14" s="137"/>
      <c r="D14" s="29" t="s">
        <v>67</v>
      </c>
    </row>
    <row r="15" spans="1:6" ht="14.45" x14ac:dyDescent="0.3">
      <c r="A15" s="134" t="s">
        <v>69</v>
      </c>
      <c r="B15" s="29" t="s">
        <v>124</v>
      </c>
      <c r="C15" s="29" t="s">
        <v>69</v>
      </c>
      <c r="D15" s="136"/>
    </row>
    <row r="16" spans="1:6" ht="14.45" x14ac:dyDescent="0.3">
      <c r="A16" s="134" t="s">
        <v>70</v>
      </c>
      <c r="B16" s="29" t="s">
        <v>125</v>
      </c>
      <c r="C16" s="29" t="s">
        <v>70</v>
      </c>
      <c r="D16" s="136"/>
    </row>
    <row r="17" spans="1:7" thickBot="1" x14ac:dyDescent="0.35">
      <c r="A17" s="134">
        <v>1</v>
      </c>
      <c r="B17" s="138" t="s">
        <v>71</v>
      </c>
      <c r="D17" s="29" t="s">
        <v>72</v>
      </c>
      <c r="E17" s="29">
        <v>1</v>
      </c>
      <c r="F17" s="80">
        <f>+D12</f>
        <v>2165233766.8899999</v>
      </c>
    </row>
    <row r="18" spans="1:7" ht="15.6" thickTop="1" thickBot="1" x14ac:dyDescent="0.35">
      <c r="A18" s="134">
        <v>2</v>
      </c>
      <c r="B18" s="29" t="s">
        <v>73</v>
      </c>
      <c r="E18" s="29">
        <v>2</v>
      </c>
      <c r="F18" s="80">
        <f>+E48</f>
        <v>117171083.17999999</v>
      </c>
      <c r="G18" s="29" t="s">
        <v>126</v>
      </c>
    </row>
    <row r="19" spans="1:7" thickTop="1" x14ac:dyDescent="0.3">
      <c r="A19" s="134">
        <v>3</v>
      </c>
      <c r="B19" s="29" t="s">
        <v>74</v>
      </c>
      <c r="E19" s="29">
        <v>3</v>
      </c>
      <c r="F19" s="139">
        <f>SUM(F17:F18)</f>
        <v>2282404850.0699997</v>
      </c>
    </row>
    <row r="20" spans="1:7" ht="14.45" x14ac:dyDescent="0.3">
      <c r="A20" s="134">
        <v>4</v>
      </c>
      <c r="B20" s="29" t="s">
        <v>75</v>
      </c>
      <c r="E20" s="29">
        <v>4</v>
      </c>
      <c r="F20" s="140"/>
    </row>
    <row r="21" spans="1:7" ht="14.45" x14ac:dyDescent="0.3">
      <c r="A21" s="134" t="s">
        <v>76</v>
      </c>
      <c r="B21" s="29" t="s">
        <v>119</v>
      </c>
      <c r="E21" s="141" t="s">
        <v>77</v>
      </c>
      <c r="F21" s="142">
        <f>IF(AND(F19&gt;=1,F19&lt;20000),"ZERO", 0)</f>
        <v>0</v>
      </c>
    </row>
    <row r="22" spans="1:7" ht="14.45" x14ac:dyDescent="0.3">
      <c r="A22" s="134" t="s">
        <v>78</v>
      </c>
      <c r="B22" s="29" t="s">
        <v>120</v>
      </c>
      <c r="C22" s="29" t="s">
        <v>79</v>
      </c>
      <c r="D22" s="143">
        <f>IF(AND(20000&lt;=F19,F19&lt;=50000),F19, 0)</f>
        <v>0</v>
      </c>
      <c r="E22" s="140" t="s">
        <v>80</v>
      </c>
      <c r="F22" s="144">
        <f>IF(D22&gt;1, (D22*0.001), 0)</f>
        <v>0</v>
      </c>
    </row>
    <row r="23" spans="1:7" ht="14.45" x14ac:dyDescent="0.3">
      <c r="A23" s="134"/>
      <c r="B23" s="29" t="s">
        <v>121</v>
      </c>
    </row>
    <row r="24" spans="1:7" ht="14.45" x14ac:dyDescent="0.3">
      <c r="A24" s="134" t="s">
        <v>81</v>
      </c>
      <c r="B24" s="29" t="s">
        <v>122</v>
      </c>
      <c r="C24" s="29" t="s">
        <v>82</v>
      </c>
      <c r="D24" s="144">
        <f>IF(F19&gt;50000, F19, 0)</f>
        <v>2282404850.0699997</v>
      </c>
    </row>
    <row r="25" spans="1:7" ht="14.45" x14ac:dyDescent="0.3">
      <c r="A25" s="134" t="s">
        <v>83</v>
      </c>
      <c r="B25" s="29" t="s">
        <v>123</v>
      </c>
      <c r="C25" s="29" t="s">
        <v>84</v>
      </c>
      <c r="D25" s="144">
        <f>IF(D24&gt;1, 50000, 0)</f>
        <v>50000</v>
      </c>
      <c r="E25" s="140" t="s">
        <v>80</v>
      </c>
      <c r="F25" s="144">
        <f t="shared" ref="F25" si="0">IF(D25&gt;1, (D25*0.001), 0)</f>
        <v>50</v>
      </c>
    </row>
    <row r="26" spans="1:7" ht="14.45" x14ac:dyDescent="0.3">
      <c r="A26" s="134" t="s">
        <v>85</v>
      </c>
      <c r="B26" s="29" t="s">
        <v>86</v>
      </c>
      <c r="C26" s="29" t="s">
        <v>87</v>
      </c>
      <c r="D26" s="144">
        <f>+D24-D25</f>
        <v>2282354850.0699997</v>
      </c>
      <c r="E26" s="140" t="s">
        <v>88</v>
      </c>
      <c r="F26" s="144">
        <f>IF(D26&gt;1, (D26*0.002), 0)</f>
        <v>4564709.7001399994</v>
      </c>
    </row>
    <row r="27" spans="1:7" ht="14.45" x14ac:dyDescent="0.3">
      <c r="A27" s="134">
        <v>5</v>
      </c>
      <c r="B27" s="29" t="s">
        <v>89</v>
      </c>
      <c r="E27" s="29">
        <v>5</v>
      </c>
      <c r="F27" s="144">
        <f>SUM(F25:F26)</f>
        <v>4564759.7001399994</v>
      </c>
    </row>
    <row r="28" spans="1:7" ht="14.45" x14ac:dyDescent="0.3">
      <c r="A28" s="134"/>
      <c r="E28" s="145" t="s">
        <v>90</v>
      </c>
      <c r="F28" s="146" t="s">
        <v>91</v>
      </c>
    </row>
    <row r="29" spans="1:7" ht="14.45" x14ac:dyDescent="0.3">
      <c r="A29" s="134"/>
      <c r="B29" s="138" t="s">
        <v>92</v>
      </c>
    </row>
    <row r="30" spans="1:7" ht="14.45" x14ac:dyDescent="0.3">
      <c r="A30" s="134">
        <v>6</v>
      </c>
      <c r="B30" s="29" t="s">
        <v>93</v>
      </c>
      <c r="E30" s="29">
        <v>6</v>
      </c>
      <c r="F30" s="140"/>
    </row>
    <row r="31" spans="1:7" ht="14.45" x14ac:dyDescent="0.3">
      <c r="A31" s="134" t="s">
        <v>94</v>
      </c>
      <c r="B31" s="29" t="s">
        <v>95</v>
      </c>
      <c r="C31" s="29" t="s">
        <v>96</v>
      </c>
      <c r="D31" s="147">
        <v>0</v>
      </c>
      <c r="E31" s="140" t="s">
        <v>97</v>
      </c>
      <c r="F31" s="144">
        <f>IF(D31&gt;0, (D31*0.02), 0)</f>
        <v>0</v>
      </c>
    </row>
    <row r="32" spans="1:7" ht="14.45" x14ac:dyDescent="0.3">
      <c r="A32" s="134">
        <v>7</v>
      </c>
      <c r="B32" s="29" t="s">
        <v>98</v>
      </c>
      <c r="E32" s="29">
        <v>7</v>
      </c>
      <c r="F32" s="140"/>
    </row>
    <row r="33" spans="1:6" ht="14.45" x14ac:dyDescent="0.3">
      <c r="A33" s="134" t="s">
        <v>99</v>
      </c>
      <c r="B33" s="29" t="s">
        <v>100</v>
      </c>
      <c r="E33" s="141" t="s">
        <v>99</v>
      </c>
      <c r="F33" s="148"/>
    </row>
    <row r="34" spans="1:6" ht="14.45" x14ac:dyDescent="0.3">
      <c r="A34" s="134" t="s">
        <v>101</v>
      </c>
      <c r="B34" s="29" t="s">
        <v>102</v>
      </c>
      <c r="E34" s="141" t="s">
        <v>101</v>
      </c>
      <c r="F34" s="144">
        <f>F27*F33*0.01</f>
        <v>0</v>
      </c>
    </row>
    <row r="35" spans="1:6" ht="14.45" x14ac:dyDescent="0.3">
      <c r="A35" s="134">
        <v>8</v>
      </c>
      <c r="B35" s="29" t="s">
        <v>103</v>
      </c>
      <c r="E35" s="29">
        <v>8</v>
      </c>
      <c r="F35" s="144">
        <f>SUM(F34,F31)</f>
        <v>0</v>
      </c>
    </row>
    <row r="36" spans="1:6" ht="14.45" x14ac:dyDescent="0.3">
      <c r="A36" s="134"/>
      <c r="E36" s="29" t="s">
        <v>90</v>
      </c>
      <c r="F36" s="146" t="s">
        <v>104</v>
      </c>
    </row>
    <row r="37" spans="1:6" ht="14.45" x14ac:dyDescent="0.3">
      <c r="A37" s="134"/>
    </row>
    <row r="38" spans="1:6" ht="14.45" x14ac:dyDescent="0.3">
      <c r="A38" s="134">
        <v>9</v>
      </c>
      <c r="B38" s="29" t="s">
        <v>105</v>
      </c>
      <c r="E38" s="29">
        <v>9</v>
      </c>
      <c r="F38" s="149">
        <f>IF((F21="ZERO"),"ZERO",SUM(F22,F27,F35))</f>
        <v>4564759.7001399994</v>
      </c>
    </row>
    <row r="39" spans="1:6" ht="14.45" x14ac:dyDescent="0.3">
      <c r="A39" s="134"/>
    </row>
    <row r="40" spans="1:6" ht="28.9" x14ac:dyDescent="0.3">
      <c r="A40" s="134" t="s">
        <v>106</v>
      </c>
      <c r="B40" s="150" t="s">
        <v>107</v>
      </c>
    </row>
    <row r="41" spans="1:6" ht="28.9" x14ac:dyDescent="0.3">
      <c r="A41" s="134" t="s">
        <v>108</v>
      </c>
      <c r="B41" s="150" t="s">
        <v>109</v>
      </c>
    </row>
    <row r="43" spans="1:6" x14ac:dyDescent="0.25">
      <c r="B43" s="151" t="s">
        <v>127</v>
      </c>
      <c r="C43" s="149"/>
      <c r="D43" s="149"/>
      <c r="E43" s="149"/>
      <c r="F43" s="149"/>
    </row>
    <row r="44" spans="1:6" x14ac:dyDescent="0.25">
      <c r="B44" s="79" t="s">
        <v>110</v>
      </c>
      <c r="E44" s="78">
        <f>'[2]Unallocated Detail (CBR)'!$G$29</f>
        <v>2451377.19</v>
      </c>
    </row>
    <row r="45" spans="1:6" x14ac:dyDescent="0.25">
      <c r="B45" s="79" t="s">
        <v>111</v>
      </c>
      <c r="E45" s="78">
        <f>'[2]Unallocated Detail (CBR)'!$G$30</f>
        <v>12237816.219999999</v>
      </c>
    </row>
    <row r="46" spans="1:6" x14ac:dyDescent="0.25">
      <c r="B46" s="79" t="s">
        <v>112</v>
      </c>
      <c r="E46" s="78">
        <f>'[2]Unallocated Detail (CBR)'!$G$31</f>
        <v>18352787.670000002</v>
      </c>
    </row>
    <row r="47" spans="1:6" x14ac:dyDescent="0.25">
      <c r="B47" s="79" t="s">
        <v>154</v>
      </c>
      <c r="E47" s="78">
        <f>-'456 Ord Grp 12ME 12-2018'!B54</f>
        <v>84129102.099999994</v>
      </c>
    </row>
    <row r="48" spans="1:6" ht="15.75" thickBot="1" x14ac:dyDescent="0.3">
      <c r="B48" s="29" t="s">
        <v>128</v>
      </c>
      <c r="E48" s="152">
        <f>SUM(E44:E47)</f>
        <v>117171083.17999999</v>
      </c>
      <c r="F48" s="153"/>
    </row>
    <row r="49" spans="6:6" ht="15.75" thickTop="1" x14ac:dyDescent="0.25">
      <c r="F49" s="153"/>
    </row>
  </sheetData>
  <dataValidations count="1">
    <dataValidation showInputMessage="1" errorTitle="test" error="test" sqref="F17"/>
  </dataValidations>
  <pageMargins left="0.7" right="0.7" top="0.75" bottom="0.75" header="0.3" footer="0.3"/>
  <pageSetup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Normal="100" workbookViewId="0">
      <selection activeCell="D12" sqref="D12"/>
    </sheetView>
  </sheetViews>
  <sheetFormatPr defaultColWidth="8.85546875" defaultRowHeight="15" x14ac:dyDescent="0.25"/>
  <cols>
    <col min="1" max="1" width="9.140625" style="141" customWidth="1"/>
    <col min="2" max="2" width="117.85546875" style="29" customWidth="1"/>
    <col min="3" max="3" width="3.7109375" style="29" bestFit="1" customWidth="1"/>
    <col min="4" max="4" width="17.7109375" style="29" bestFit="1" customWidth="1"/>
    <col min="5" max="5" width="15.85546875" style="29" bestFit="1" customWidth="1"/>
    <col min="6" max="6" width="19.85546875" style="29" bestFit="1" customWidth="1"/>
    <col min="7" max="16384" width="8.85546875" style="29"/>
  </cols>
  <sheetData>
    <row r="1" spans="1:6" ht="14.45" x14ac:dyDescent="0.3">
      <c r="A1" s="130" t="s">
        <v>59</v>
      </c>
      <c r="B1" s="130"/>
      <c r="C1" s="130"/>
      <c r="D1" s="130"/>
      <c r="E1" s="130"/>
      <c r="F1" s="130"/>
    </row>
    <row r="2" spans="1:6" ht="14.45" x14ac:dyDescent="0.3">
      <c r="A2" s="130" t="s">
        <v>163</v>
      </c>
      <c r="B2" s="130"/>
      <c r="C2" s="130"/>
      <c r="D2" s="130"/>
      <c r="E2" s="130"/>
      <c r="F2" s="130"/>
    </row>
    <row r="3" spans="1:6" ht="14.45" x14ac:dyDescent="0.3">
      <c r="A3" s="130" t="s">
        <v>118</v>
      </c>
      <c r="B3" s="131"/>
      <c r="C3" s="131"/>
      <c r="D3" s="131"/>
      <c r="E3" s="131"/>
      <c r="F3" s="131"/>
    </row>
    <row r="5" spans="1:6" ht="14.45" x14ac:dyDescent="0.3">
      <c r="A5" s="132" t="s">
        <v>155</v>
      </c>
    </row>
    <row r="6" spans="1:6" ht="14.45" x14ac:dyDescent="0.3">
      <c r="A6" s="133" t="s">
        <v>156</v>
      </c>
    </row>
    <row r="7" spans="1:6" ht="14.45" x14ac:dyDescent="0.3">
      <c r="A7" s="133" t="s">
        <v>157</v>
      </c>
    </row>
    <row r="8" spans="1:6" ht="14.45" x14ac:dyDescent="0.3">
      <c r="A8" s="133" t="s">
        <v>116</v>
      </c>
    </row>
    <row r="9" spans="1:6" ht="14.45" x14ac:dyDescent="0.3">
      <c r="A9" s="133" t="s">
        <v>158</v>
      </c>
    </row>
    <row r="10" spans="1:6" ht="14.45" x14ac:dyDescent="0.3">
      <c r="A10" s="133"/>
    </row>
    <row r="11" spans="1:6" ht="14.45" x14ac:dyDescent="0.3">
      <c r="A11" s="134" t="s">
        <v>62</v>
      </c>
    </row>
    <row r="12" spans="1:6" ht="14.45" x14ac:dyDescent="0.3">
      <c r="A12" s="134" t="s">
        <v>63</v>
      </c>
      <c r="B12" s="29" t="s">
        <v>159</v>
      </c>
      <c r="C12" s="135" t="s">
        <v>63</v>
      </c>
      <c r="D12" s="136">
        <f>'[2]Allocated (CBR)'!$C$9</f>
        <v>876657675.66999984</v>
      </c>
    </row>
    <row r="13" spans="1:6" ht="14.45" x14ac:dyDescent="0.3">
      <c r="A13" s="134" t="s">
        <v>65</v>
      </c>
      <c r="B13" s="29" t="s">
        <v>66</v>
      </c>
      <c r="C13" s="137" t="s">
        <v>61</v>
      </c>
      <c r="D13" s="29" t="s">
        <v>65</v>
      </c>
    </row>
    <row r="14" spans="1:6" ht="14.45" x14ac:dyDescent="0.3">
      <c r="A14" s="134" t="s">
        <v>67</v>
      </c>
      <c r="B14" s="29" t="s">
        <v>68</v>
      </c>
      <c r="C14" s="137"/>
      <c r="D14" s="29" t="s">
        <v>67</v>
      </c>
    </row>
    <row r="15" spans="1:6" ht="14.45" x14ac:dyDescent="0.3">
      <c r="A15" s="134" t="s">
        <v>69</v>
      </c>
      <c r="B15" s="29" t="s">
        <v>124</v>
      </c>
      <c r="C15" s="29" t="s">
        <v>69</v>
      </c>
      <c r="D15" s="136"/>
    </row>
    <row r="16" spans="1:6" ht="14.45" x14ac:dyDescent="0.3">
      <c r="A16" s="134" t="s">
        <v>70</v>
      </c>
      <c r="B16" s="29" t="s">
        <v>125</v>
      </c>
      <c r="C16" s="29" t="s">
        <v>70</v>
      </c>
      <c r="D16" s="136"/>
    </row>
    <row r="17" spans="1:6" thickBot="1" x14ac:dyDescent="0.35">
      <c r="A17" s="134">
        <v>1</v>
      </c>
      <c r="B17" s="138" t="s">
        <v>71</v>
      </c>
      <c r="D17" s="29" t="s">
        <v>72</v>
      </c>
      <c r="E17" s="29">
        <v>1</v>
      </c>
      <c r="F17" s="80">
        <f>+D12</f>
        <v>876657675.66999984</v>
      </c>
    </row>
    <row r="18" spans="1:6" ht="15.6" thickTop="1" thickBot="1" x14ac:dyDescent="0.35">
      <c r="A18" s="134">
        <v>2</v>
      </c>
      <c r="B18" s="29" t="s">
        <v>160</v>
      </c>
      <c r="E18" s="29">
        <v>2</v>
      </c>
      <c r="F18" s="80"/>
    </row>
    <row r="19" spans="1:6" thickTop="1" x14ac:dyDescent="0.3">
      <c r="A19" s="134">
        <v>3</v>
      </c>
      <c r="B19" s="29" t="s">
        <v>74</v>
      </c>
      <c r="E19" s="29">
        <v>3</v>
      </c>
      <c r="F19" s="139">
        <f>SUM(F17:F18)</f>
        <v>876657675.66999984</v>
      </c>
    </row>
    <row r="20" spans="1:6" ht="14.45" x14ac:dyDescent="0.3">
      <c r="A20" s="134">
        <v>4</v>
      </c>
      <c r="B20" s="29" t="s">
        <v>75</v>
      </c>
      <c r="E20" s="29">
        <v>4</v>
      </c>
      <c r="F20" s="140"/>
    </row>
    <row r="21" spans="1:6" ht="14.45" x14ac:dyDescent="0.3">
      <c r="A21" s="134" t="s">
        <v>76</v>
      </c>
      <c r="B21" s="29" t="s">
        <v>119</v>
      </c>
      <c r="E21" s="141" t="s">
        <v>77</v>
      </c>
      <c r="F21" s="142">
        <f>IF(AND(F19&gt;=1,F19&lt;20000),"ZERO", 0)</f>
        <v>0</v>
      </c>
    </row>
    <row r="22" spans="1:6" ht="14.45" x14ac:dyDescent="0.3">
      <c r="A22" s="134" t="s">
        <v>78</v>
      </c>
      <c r="B22" s="29" t="s">
        <v>120</v>
      </c>
      <c r="C22" s="29" t="s">
        <v>79</v>
      </c>
      <c r="D22" s="143">
        <f>IF(AND(20000&lt;=F19,F19&lt;=50000),F19, 0)</f>
        <v>0</v>
      </c>
      <c r="E22" s="140" t="s">
        <v>80</v>
      </c>
      <c r="F22" s="144">
        <f>IF(D22&gt;1, (D22*0.001), 0)</f>
        <v>0</v>
      </c>
    </row>
    <row r="23" spans="1:6" ht="14.45" x14ac:dyDescent="0.3">
      <c r="A23" s="134"/>
      <c r="B23" s="29" t="s">
        <v>121</v>
      </c>
    </row>
    <row r="24" spans="1:6" ht="14.45" x14ac:dyDescent="0.3">
      <c r="A24" s="134" t="s">
        <v>81</v>
      </c>
      <c r="B24" s="29" t="s">
        <v>122</v>
      </c>
      <c r="C24" s="29" t="s">
        <v>82</v>
      </c>
      <c r="D24" s="144">
        <f>IF(F19&gt;50000, F19, 0)</f>
        <v>876657675.66999984</v>
      </c>
    </row>
    <row r="25" spans="1:6" ht="14.45" x14ac:dyDescent="0.3">
      <c r="A25" s="134" t="s">
        <v>83</v>
      </c>
      <c r="B25" s="29" t="s">
        <v>123</v>
      </c>
      <c r="C25" s="29" t="s">
        <v>84</v>
      </c>
      <c r="D25" s="144">
        <f>IF(D24&gt;1, 50000, 0)</f>
        <v>50000</v>
      </c>
      <c r="E25" s="140" t="s">
        <v>80</v>
      </c>
      <c r="F25" s="144">
        <f t="shared" ref="F25" si="0">IF(D25&gt;1, (D25*0.001), 0)</f>
        <v>50</v>
      </c>
    </row>
    <row r="26" spans="1:6" ht="14.45" x14ac:dyDescent="0.3">
      <c r="A26" s="134" t="s">
        <v>85</v>
      </c>
      <c r="B26" s="29" t="s">
        <v>86</v>
      </c>
      <c r="C26" s="29" t="s">
        <v>87</v>
      </c>
      <c r="D26" s="144">
        <f>+D24-D25</f>
        <v>876607675.66999984</v>
      </c>
      <c r="E26" s="140" t="s">
        <v>88</v>
      </c>
      <c r="F26" s="144">
        <f>IF(D26&gt;1, (D26*0.002), 0)</f>
        <v>1753215.3513399998</v>
      </c>
    </row>
    <row r="27" spans="1:6" ht="14.45" x14ac:dyDescent="0.3">
      <c r="A27" s="134">
        <v>5</v>
      </c>
      <c r="B27" s="29" t="s">
        <v>89</v>
      </c>
      <c r="E27" s="29">
        <v>5</v>
      </c>
      <c r="F27" s="144">
        <f>SUM(F25:F26)</f>
        <v>1753265.3513399998</v>
      </c>
    </row>
    <row r="28" spans="1:6" ht="14.45" x14ac:dyDescent="0.3">
      <c r="A28" s="134"/>
      <c r="E28" s="145" t="s">
        <v>90</v>
      </c>
      <c r="F28" s="146" t="s">
        <v>91</v>
      </c>
    </row>
    <row r="29" spans="1:6" ht="14.45" x14ac:dyDescent="0.3">
      <c r="A29" s="134"/>
      <c r="B29" s="138" t="s">
        <v>92</v>
      </c>
    </row>
    <row r="30" spans="1:6" ht="14.45" x14ac:dyDescent="0.3">
      <c r="A30" s="134">
        <v>6</v>
      </c>
      <c r="B30" s="29" t="s">
        <v>93</v>
      </c>
      <c r="E30" s="29">
        <v>6</v>
      </c>
      <c r="F30" s="140"/>
    </row>
    <row r="31" spans="1:6" ht="14.45" x14ac:dyDescent="0.3">
      <c r="A31" s="134" t="s">
        <v>94</v>
      </c>
      <c r="B31" s="29" t="s">
        <v>95</v>
      </c>
      <c r="C31" s="29" t="s">
        <v>96</v>
      </c>
      <c r="D31" s="147">
        <v>0</v>
      </c>
      <c r="E31" s="140" t="s">
        <v>97</v>
      </c>
      <c r="F31" s="144">
        <f>IF(D31&gt;0, (D31*0.02), 0)</f>
        <v>0</v>
      </c>
    </row>
    <row r="32" spans="1:6" ht="14.45" x14ac:dyDescent="0.3">
      <c r="A32" s="134">
        <v>7</v>
      </c>
      <c r="B32" s="29" t="s">
        <v>98</v>
      </c>
      <c r="E32" s="29">
        <v>7</v>
      </c>
      <c r="F32" s="140"/>
    </row>
    <row r="33" spans="1:8" ht="14.45" x14ac:dyDescent="0.3">
      <c r="A33" s="134" t="s">
        <v>99</v>
      </c>
      <c r="B33" s="29" t="s">
        <v>100</v>
      </c>
      <c r="E33" s="141" t="s">
        <v>99</v>
      </c>
      <c r="F33" s="148"/>
    </row>
    <row r="34" spans="1:8" ht="14.45" x14ac:dyDescent="0.3">
      <c r="A34" s="134" t="s">
        <v>101</v>
      </c>
      <c r="B34" s="29" t="s">
        <v>102</v>
      </c>
      <c r="E34" s="141" t="s">
        <v>101</v>
      </c>
      <c r="F34" s="144">
        <f>F27*F33*0.01</f>
        <v>0</v>
      </c>
    </row>
    <row r="35" spans="1:8" ht="14.45" x14ac:dyDescent="0.3">
      <c r="A35" s="134">
        <v>8</v>
      </c>
      <c r="B35" s="29" t="s">
        <v>103</v>
      </c>
      <c r="E35" s="29">
        <v>8</v>
      </c>
      <c r="F35" s="144">
        <f>SUM(F34,F31)</f>
        <v>0</v>
      </c>
    </row>
    <row r="36" spans="1:8" ht="14.45" x14ac:dyDescent="0.3">
      <c r="A36" s="134"/>
      <c r="E36" s="29" t="s">
        <v>90</v>
      </c>
      <c r="F36" s="146" t="s">
        <v>104</v>
      </c>
    </row>
    <row r="37" spans="1:8" ht="14.45" x14ac:dyDescent="0.3">
      <c r="A37" s="134"/>
    </row>
    <row r="38" spans="1:8" ht="14.45" x14ac:dyDescent="0.3">
      <c r="A38" s="134">
        <v>9</v>
      </c>
      <c r="B38" s="29" t="s">
        <v>161</v>
      </c>
      <c r="E38" s="29">
        <v>9</v>
      </c>
      <c r="F38" s="149">
        <f>IF((F21="ZERO"),"ZERO",SUM(F22,F27,F35))</f>
        <v>1753265.3513399998</v>
      </c>
    </row>
    <row r="39" spans="1:8" ht="14.45" x14ac:dyDescent="0.3">
      <c r="A39" s="134"/>
    </row>
    <row r="40" spans="1:8" ht="100.9" x14ac:dyDescent="0.3">
      <c r="A40" s="134" t="s">
        <v>106</v>
      </c>
      <c r="B40" s="150" t="s">
        <v>162</v>
      </c>
    </row>
    <row r="41" spans="1:8" ht="30" x14ac:dyDescent="0.25">
      <c r="A41" s="134" t="s">
        <v>108</v>
      </c>
      <c r="B41" s="150" t="s">
        <v>109</v>
      </c>
    </row>
    <row r="43" spans="1:8" x14ac:dyDescent="0.25">
      <c r="G43" s="149"/>
      <c r="H43" s="149"/>
    </row>
    <row r="44" spans="1:8" x14ac:dyDescent="0.25">
      <c r="G44" s="149"/>
      <c r="H44" s="149"/>
    </row>
    <row r="45" spans="1:8" x14ac:dyDescent="0.25">
      <c r="G45" s="149"/>
      <c r="H45" s="149"/>
    </row>
    <row r="46" spans="1:8" x14ac:dyDescent="0.25">
      <c r="G46" s="149"/>
      <c r="H46" s="149"/>
    </row>
    <row r="47" spans="1:8" x14ac:dyDescent="0.25">
      <c r="G47" s="149"/>
      <c r="H47" s="149"/>
    </row>
    <row r="48" spans="1:8" x14ac:dyDescent="0.25">
      <c r="B48" s="149"/>
      <c r="C48" s="149"/>
      <c r="D48" s="149"/>
      <c r="E48" s="149"/>
      <c r="F48" s="149"/>
      <c r="G48" s="149"/>
      <c r="H48" s="149"/>
    </row>
  </sheetData>
  <dataValidations count="1">
    <dataValidation showInputMessage="1" errorTitle="test" error="test" sqref="F17"/>
  </dataValidations>
  <pageMargins left="0.7" right="0.7" top="0.75" bottom="0.75" header="0.3" footer="0.3"/>
  <pageSetup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topLeftCell="A30" workbookViewId="0">
      <selection activeCell="B54" sqref="B54"/>
    </sheetView>
  </sheetViews>
  <sheetFormatPr defaultRowHeight="15" x14ac:dyDescent="0.25"/>
  <cols>
    <col min="1" max="1" width="52.28515625" customWidth="1"/>
    <col min="2" max="2" width="21.42578125" customWidth="1"/>
  </cols>
  <sheetData>
    <row r="1" spans="1:2" ht="14.45" x14ac:dyDescent="0.3">
      <c r="A1" t="s">
        <v>198</v>
      </c>
    </row>
    <row r="2" spans="1:2" ht="14.45" x14ac:dyDescent="0.3">
      <c r="A2" t="s">
        <v>199</v>
      </c>
    </row>
    <row r="3" spans="1:2" ht="14.45" x14ac:dyDescent="0.3">
      <c r="A3" t="s">
        <v>129</v>
      </c>
    </row>
    <row r="5" spans="1:2" ht="14.45" x14ac:dyDescent="0.3">
      <c r="A5" s="156" t="s">
        <v>200</v>
      </c>
      <c r="B5" s="160" t="s">
        <v>171</v>
      </c>
    </row>
    <row r="6" spans="1:2" ht="14.45" x14ac:dyDescent="0.3">
      <c r="A6" t="s">
        <v>130</v>
      </c>
      <c r="B6" s="157">
        <v>-1720.49</v>
      </c>
    </row>
    <row r="7" spans="1:2" ht="14.45" x14ac:dyDescent="0.3">
      <c r="A7" t="s">
        <v>131</v>
      </c>
      <c r="B7" s="157">
        <v>-223368.24</v>
      </c>
    </row>
    <row r="8" spans="1:2" ht="14.45" x14ac:dyDescent="0.3">
      <c r="A8" t="s">
        <v>132</v>
      </c>
      <c r="B8" s="157">
        <v>684145.61</v>
      </c>
    </row>
    <row r="9" spans="1:2" ht="14.45" x14ac:dyDescent="0.3">
      <c r="A9" t="s">
        <v>201</v>
      </c>
      <c r="B9" s="157">
        <v>-35693.46</v>
      </c>
    </row>
    <row r="10" spans="1:2" ht="14.45" x14ac:dyDescent="0.3">
      <c r="A10" t="s">
        <v>202</v>
      </c>
      <c r="B10" s="157">
        <v>-236401.49</v>
      </c>
    </row>
    <row r="11" spans="1:2" ht="14.45" x14ac:dyDescent="0.3">
      <c r="A11" t="s">
        <v>133</v>
      </c>
      <c r="B11" s="157">
        <v>-220642424.13999999</v>
      </c>
    </row>
    <row r="12" spans="1:2" ht="14.45" x14ac:dyDescent="0.3">
      <c r="A12" t="s">
        <v>134</v>
      </c>
      <c r="B12" s="157">
        <v>151171612.16</v>
      </c>
    </row>
    <row r="13" spans="1:2" ht="14.45" x14ac:dyDescent="0.3">
      <c r="A13" t="s">
        <v>135</v>
      </c>
      <c r="B13" s="157">
        <v>-81157.8</v>
      </c>
    </row>
    <row r="14" spans="1:2" ht="14.45" x14ac:dyDescent="0.3">
      <c r="A14" t="s">
        <v>136</v>
      </c>
      <c r="B14" s="157">
        <v>-1026108</v>
      </c>
    </row>
    <row r="15" spans="1:2" ht="14.45" x14ac:dyDescent="0.3">
      <c r="A15" t="s">
        <v>137</v>
      </c>
      <c r="B15" s="157">
        <v>-544146.44999999995</v>
      </c>
    </row>
    <row r="16" spans="1:2" ht="14.45" x14ac:dyDescent="0.3">
      <c r="A16" t="s">
        <v>172</v>
      </c>
      <c r="B16" s="157">
        <v>-5245012.28</v>
      </c>
    </row>
    <row r="17" spans="1:2" ht="14.45" x14ac:dyDescent="0.3">
      <c r="A17" t="s">
        <v>173</v>
      </c>
      <c r="B17" s="157">
        <v>-1472859</v>
      </c>
    </row>
    <row r="18" spans="1:2" ht="14.45" x14ac:dyDescent="0.3">
      <c r="A18" t="s">
        <v>174</v>
      </c>
      <c r="B18" s="157">
        <v>-1866510.07</v>
      </c>
    </row>
    <row r="19" spans="1:2" ht="14.45" x14ac:dyDescent="0.3">
      <c r="A19" t="s">
        <v>175</v>
      </c>
      <c r="B19" s="157">
        <v>1431275.08</v>
      </c>
    </row>
    <row r="20" spans="1:2" ht="14.45" x14ac:dyDescent="0.3">
      <c r="A20" t="s">
        <v>176</v>
      </c>
      <c r="B20" s="157">
        <v>-2468307.36</v>
      </c>
    </row>
    <row r="21" spans="1:2" ht="14.45" x14ac:dyDescent="0.3">
      <c r="A21" t="s">
        <v>177</v>
      </c>
      <c r="B21" s="157">
        <v>3615896.98</v>
      </c>
    </row>
    <row r="22" spans="1:2" ht="14.45" x14ac:dyDescent="0.3">
      <c r="A22" t="s">
        <v>178</v>
      </c>
      <c r="B22" s="157">
        <v>-2784489.89</v>
      </c>
    </row>
    <row r="23" spans="1:2" ht="14.45" x14ac:dyDescent="0.3">
      <c r="A23" t="s">
        <v>179</v>
      </c>
      <c r="B23" s="157">
        <v>230971.08</v>
      </c>
    </row>
    <row r="24" spans="1:2" ht="14.45" x14ac:dyDescent="0.3">
      <c r="A24" t="s">
        <v>180</v>
      </c>
      <c r="B24" s="157">
        <v>319648.24</v>
      </c>
    </row>
    <row r="25" spans="1:2" ht="14.45" x14ac:dyDescent="0.3">
      <c r="A25" t="s">
        <v>181</v>
      </c>
      <c r="B25" s="157">
        <v>3385889.2</v>
      </c>
    </row>
    <row r="26" spans="1:2" ht="14.45" x14ac:dyDescent="0.3">
      <c r="A26" t="s">
        <v>182</v>
      </c>
      <c r="B26" s="157">
        <v>4115788.19</v>
      </c>
    </row>
    <row r="27" spans="1:2" ht="14.45" x14ac:dyDescent="0.3">
      <c r="A27" t="s">
        <v>183</v>
      </c>
      <c r="B27" s="157">
        <v>706816.16</v>
      </c>
    </row>
    <row r="28" spans="1:2" ht="14.45" x14ac:dyDescent="0.3">
      <c r="A28" t="s">
        <v>203</v>
      </c>
      <c r="B28" s="157">
        <v>-746789.89</v>
      </c>
    </row>
    <row r="29" spans="1:2" ht="14.45" x14ac:dyDescent="0.3">
      <c r="A29" t="s">
        <v>204</v>
      </c>
      <c r="B29" s="157">
        <v>-103174.15</v>
      </c>
    </row>
    <row r="30" spans="1:2" ht="14.45" x14ac:dyDescent="0.3">
      <c r="A30" t="s">
        <v>205</v>
      </c>
      <c r="B30" s="157">
        <v>69563.789999999994</v>
      </c>
    </row>
    <row r="31" spans="1:2" ht="14.45" x14ac:dyDescent="0.3">
      <c r="A31" t="s">
        <v>184</v>
      </c>
      <c r="B31" s="157">
        <v>104883.57</v>
      </c>
    </row>
    <row r="32" spans="1:2" ht="14.45" x14ac:dyDescent="0.3">
      <c r="A32" t="s">
        <v>206</v>
      </c>
      <c r="B32" s="157">
        <v>-46310.12</v>
      </c>
    </row>
    <row r="33" spans="1:2" ht="14.45" x14ac:dyDescent="0.3">
      <c r="A33" t="s">
        <v>185</v>
      </c>
      <c r="B33" s="157">
        <v>780538.25</v>
      </c>
    </row>
    <row r="34" spans="1:2" ht="14.45" x14ac:dyDescent="0.3">
      <c r="A34" t="s">
        <v>207</v>
      </c>
      <c r="B34" s="157">
        <v>4341.1499999999996</v>
      </c>
    </row>
    <row r="35" spans="1:2" ht="14.45" x14ac:dyDescent="0.3">
      <c r="A35" t="s">
        <v>208</v>
      </c>
      <c r="B35" s="157">
        <v>835357.9</v>
      </c>
    </row>
    <row r="36" spans="1:2" ht="14.45" x14ac:dyDescent="0.3">
      <c r="A36" t="s">
        <v>138</v>
      </c>
      <c r="B36" s="157">
        <v>-16227.01</v>
      </c>
    </row>
    <row r="37" spans="1:2" ht="14.45" x14ac:dyDescent="0.3">
      <c r="A37" t="s">
        <v>139</v>
      </c>
      <c r="B37" s="157">
        <v>-7972606.4299999997</v>
      </c>
    </row>
    <row r="38" spans="1:2" ht="14.45" x14ac:dyDescent="0.3">
      <c r="A38" t="s">
        <v>140</v>
      </c>
      <c r="B38" s="157">
        <v>-453538.18</v>
      </c>
    </row>
    <row r="39" spans="1:2" ht="14.45" x14ac:dyDescent="0.3">
      <c r="A39" t="s">
        <v>141</v>
      </c>
      <c r="B39" s="157">
        <v>-1498426.63</v>
      </c>
    </row>
    <row r="40" spans="1:2" ht="14.45" x14ac:dyDescent="0.3">
      <c r="A40" t="s">
        <v>142</v>
      </c>
      <c r="B40" s="157">
        <v>-516633.13</v>
      </c>
    </row>
    <row r="41" spans="1:2" ht="14.45" x14ac:dyDescent="0.3">
      <c r="A41" t="s">
        <v>143</v>
      </c>
      <c r="B41" s="157">
        <v>-305.69</v>
      </c>
    </row>
    <row r="42" spans="1:2" ht="14.45" x14ac:dyDescent="0.3">
      <c r="A42" t="s">
        <v>144</v>
      </c>
      <c r="B42" s="157">
        <v>-38487.33</v>
      </c>
    </row>
    <row r="43" spans="1:2" ht="14.45" x14ac:dyDescent="0.3">
      <c r="A43" t="s">
        <v>145</v>
      </c>
      <c r="B43" s="157">
        <v>-4524081.3899999997</v>
      </c>
    </row>
    <row r="44" spans="1:2" ht="14.45" x14ac:dyDescent="0.3">
      <c r="A44" t="s">
        <v>146</v>
      </c>
      <c r="B44" s="157">
        <v>-448990.33</v>
      </c>
    </row>
    <row r="45" spans="1:2" ht="14.45" x14ac:dyDescent="0.3">
      <c r="A45" t="s">
        <v>147</v>
      </c>
      <c r="B45" s="157">
        <v>-199722.53</v>
      </c>
    </row>
    <row r="46" spans="1:2" ht="14.45" x14ac:dyDescent="0.3">
      <c r="A46" t="s">
        <v>148</v>
      </c>
      <c r="B46" s="157">
        <v>-588011.56000000006</v>
      </c>
    </row>
    <row r="47" spans="1:2" ht="14.45" x14ac:dyDescent="0.3">
      <c r="A47" t="s">
        <v>149</v>
      </c>
      <c r="B47" s="157">
        <v>-331008.08</v>
      </c>
    </row>
    <row r="48" spans="1:2" ht="14.45" x14ac:dyDescent="0.3">
      <c r="A48" t="s">
        <v>150</v>
      </c>
      <c r="B48" s="157">
        <v>-402045.72</v>
      </c>
    </row>
    <row r="49" spans="1:2" x14ac:dyDescent="0.25">
      <c r="A49" t="s">
        <v>151</v>
      </c>
      <c r="B49" s="157">
        <v>2866548.56</v>
      </c>
    </row>
    <row r="50" spans="1:2" x14ac:dyDescent="0.25">
      <c r="A50" t="s">
        <v>152</v>
      </c>
      <c r="B50" s="157">
        <v>5112092.95</v>
      </c>
    </row>
    <row r="51" spans="1:2" x14ac:dyDescent="0.25">
      <c r="A51" t="s">
        <v>153</v>
      </c>
      <c r="B51" s="157">
        <v>-5029293.6900000004</v>
      </c>
    </row>
    <row r="52" spans="1:2" x14ac:dyDescent="0.25">
      <c r="A52" t="s">
        <v>209</v>
      </c>
      <c r="B52" s="157">
        <v>-9774.58</v>
      </c>
    </row>
    <row r="53" spans="1:2" x14ac:dyDescent="0.25">
      <c r="A53" t="s">
        <v>210</v>
      </c>
      <c r="B53" s="159">
        <v>-10845.86</v>
      </c>
    </row>
    <row r="54" spans="1:2" x14ac:dyDescent="0.25">
      <c r="A54" s="156" t="s">
        <v>211</v>
      </c>
      <c r="B54" s="158">
        <v>-84129102.099999994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2F97BD1BDA82C498D0C8725A0429E83" ma:contentTypeVersion="56" ma:contentTypeDescription="" ma:contentTypeScope="" ma:versionID="88fee3f45c30e0647de1ed9a3afd17e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2019-03-29T07:00:00+00:00</OpenedDate>
    <SignificantOrder xmlns="dc463f71-b30c-4ab2-9473-d307f9d35888">false</SignificantOrder>
    <Date1 xmlns="dc463f71-b30c-4ab2-9473-d307f9d35888">2019-03-29T07:00:00+00:00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190212</DocketNumber>
    <DelegatedOrder xmlns="dc463f71-b30c-4ab2-9473-d307f9d35888">false</DelegatedOrder>
  </documentManagement>
</p:properties>
</file>

<file path=customXml/itemProps1.xml><?xml version="1.0" encoding="utf-8"?>
<ds:datastoreItem xmlns:ds="http://schemas.openxmlformats.org/officeDocument/2006/customXml" ds:itemID="{3C95D232-671D-4F30-A48E-44955426E1A1}"/>
</file>

<file path=customXml/itemProps2.xml><?xml version="1.0" encoding="utf-8"?>
<ds:datastoreItem xmlns:ds="http://schemas.openxmlformats.org/officeDocument/2006/customXml" ds:itemID="{D7B72372-DDDB-41D0-9D55-884192DACC40}"/>
</file>

<file path=customXml/itemProps3.xml><?xml version="1.0" encoding="utf-8"?>
<ds:datastoreItem xmlns:ds="http://schemas.openxmlformats.org/officeDocument/2006/customXml" ds:itemID="{4EDB927D-3473-4D9A-B6B7-66668A40A08F}"/>
</file>

<file path=customXml/itemProps4.xml><?xml version="1.0" encoding="utf-8"?>
<ds:datastoreItem xmlns:ds="http://schemas.openxmlformats.org/officeDocument/2006/customXml" ds:itemID="{6F0B7DAE-AAB4-42AC-933C-83767B93E6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Lead E</vt:lpstr>
      <vt:lpstr>Lead G</vt:lpstr>
      <vt:lpstr>TY Excise Tax 2018</vt:lpstr>
      <vt:lpstr>True-up prior period</vt:lpstr>
      <vt:lpstr>TY Filing Fee 2018</vt:lpstr>
      <vt:lpstr>E Filing Fee Restated</vt:lpstr>
      <vt:lpstr>G Filing Fee Restated</vt:lpstr>
      <vt:lpstr>456 Ord Grp 12ME 12-2018</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nchar</dc:creator>
  <cp:lastModifiedBy>SFree</cp:lastModifiedBy>
  <cp:lastPrinted>2016-11-29T16:37:28Z</cp:lastPrinted>
  <dcterms:created xsi:type="dcterms:W3CDTF">2016-11-22T00:40:47Z</dcterms:created>
  <dcterms:modified xsi:type="dcterms:W3CDTF">2019-03-29T14:49:27Z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0x0101006E56B4D1795A2E4DB2F0B01679ED314A00C2F97BD1BDA82C498D0C8725A0429E83</vt:lpwstr>
  </property>
  <property fmtid="{D5CDD505-2E9C-101B-9397-08002B2CF9AE}" pid="3" name="_docset_NoMedatataSyncRequired">
    <vt:lpwstr>False</vt:lpwstr>
  </property>
  <property fmtid="{D5CDD505-2E9C-101B-9397-08002B2CF9AE}" pid="4" name="IsEFSEC">
    <vt:bool>false</vt:bool>
  </property>
</Properties>
</file>