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528" yWindow="696" windowWidth="19260" windowHeight="10980" tabRatio="931"/>
  </bookViews>
  <sheets>
    <sheet name="JAP-10 Page 1" sheetId="120" r:id="rId1"/>
    <sheet name="JAP-10 Page 2 " sheetId="189" r:id="rId2"/>
    <sheet name="JAP-10 Page 3" sheetId="185" r:id="rId3"/>
    <sheet name="Work Papers For Exhibits--&gt;" sheetId="36" r:id="rId4"/>
    <sheet name="2017 GRC PCA Costs (with MS)" sheetId="314" r:id="rId5"/>
    <sheet name="Exhibit A-1 (2017 GRC)" sheetId="315" r:id="rId6"/>
    <sheet name="2017 GRC PCA Costs (2018 ERF)" sheetId="322" r:id="rId7"/>
    <sheet name="JAP-10 Page 2 (2018 ERF)" sheetId="323" r:id="rId8"/>
    <sheet name="Summary Normal Monthly kWh" sheetId="319" r:id="rId9"/>
    <sheet name="Sch 40 Details" sheetId="318" r:id="rId10"/>
    <sheet name="Forecast F2018" sheetId="32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6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6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6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>[36]Mthly!$B$11:$D$11,[36]Mthly!$B$32:$D$32</definedName>
    <definedName name="MTR_YR3">[37]Variables!$E$14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[38]Inputs!$N$18</definedName>
    <definedName name="NRG">[4]CLASSIFIERS!$A$5:$IV$5</definedName>
    <definedName name="Number_of_Payments" localSheetId="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'[39]Dist Misc'!$F$120</definedName>
    <definedName name="OthRCF">[40]INPUTS!$F$41</definedName>
    <definedName name="OthUnc">[4]INPUTS!$F$36</definedName>
    <definedName name="outlookdata">'[41]pivoted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6">'2017 GRC PCA Costs (2018 ERF)'!$A$1:$Q$30</definedName>
    <definedName name="_xlnm.Print_Area" localSheetId="5">'Exhibit A-1 (2017 GRC)'!$A$1:$M$46</definedName>
    <definedName name="_xlnm.Print_Area" localSheetId="1">'JAP-10 Page 2 '!$A$1:$J$23</definedName>
    <definedName name="_xlnm.Print_Area" localSheetId="8">'Summary Normal Monthly kWh'!$A$1:$P$82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[42]QTD!$B$11:$D$11,[42]QTD!$B$35:$D$35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6">[15]INPUTS!$F$44</definedName>
    <definedName name="ResRCF">[16]INPUTS!$F$44</definedName>
    <definedName name="ResUnc" localSheetId="6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6">[15]INPUTS!$F$30</definedName>
    <definedName name="ROD">[16]INPUTS!$F$30</definedName>
    <definedName name="ROR" localSheetId="6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[40]INPUTS!$F$40</definedName>
    <definedName name="SbUnc">[4]INPUTS!$F$35</definedName>
    <definedName name="Schedule">[38]Inputs!$N$14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6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 localSheetId="7">Scheduled_Payment+Extra_Payment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7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'[49]Input Tab'!$B$11</definedName>
    <definedName name="WinterPeak">'[50]Load Data'!$D$9:$H$12,'[50]Load Data'!$D$20:$H$22</definedName>
    <definedName name="x">'[51]Weather Present'!$K$7</definedName>
    <definedName name="y">'[52]DSM Output'!$B$21:$B$23</definedName>
    <definedName name="Years_evaluated">'[53]Revison Inputs'!$B$6</definedName>
    <definedName name="YEFactors">[7]Factors!$S$3:$AG$99</definedName>
    <definedName name="YTD_Format">[42]YTD!$B$13:$D$13,[42]YTD!$B$36:$D$36</definedName>
    <definedName name="z">'[52]DSM Output'!$G$21:$G$23</definedName>
  </definedNames>
  <calcPr calcId="145621"/>
</workbook>
</file>

<file path=xl/calcChain.xml><?xml version="1.0" encoding="utf-8"?>
<calcChain xmlns="http://schemas.openxmlformats.org/spreadsheetml/2006/main">
  <c r="F23" i="189" l="1"/>
  <c r="F20" i="189"/>
  <c r="F19" i="189"/>
  <c r="F18" i="189"/>
  <c r="F15" i="189"/>
  <c r="F14" i="189"/>
  <c r="F13" i="189"/>
  <c r="F12" i="189"/>
  <c r="F9" i="189"/>
  <c r="F8" i="189"/>
  <c r="Q7" i="326"/>
  <c r="Q8" i="326"/>
  <c r="Q9" i="326"/>
  <c r="Q10" i="326"/>
  <c r="Q11" i="326"/>
  <c r="Q12" i="326"/>
  <c r="Q13" i="326"/>
  <c r="Q14" i="326"/>
  <c r="Q15" i="326"/>
  <c r="Q16" i="326"/>
  <c r="Q17" i="326"/>
  <c r="Q18" i="326"/>
  <c r="Q20" i="326"/>
  <c r="Q21" i="326"/>
  <c r="Q22" i="326"/>
  <c r="Q23" i="326"/>
  <c r="Q25" i="326"/>
  <c r="Q26" i="326"/>
  <c r="Q6" i="326"/>
  <c r="P23" i="326"/>
  <c r="P22" i="326"/>
  <c r="P21" i="326"/>
  <c r="P20" i="326"/>
  <c r="G21" i="189" l="1"/>
  <c r="F21" i="189"/>
  <c r="G16" i="189"/>
  <c r="F16" i="189"/>
  <c r="G10" i="189"/>
  <c r="F10" i="189"/>
  <c r="F30" i="185" l="1"/>
  <c r="G30" i="185"/>
  <c r="H30" i="185"/>
  <c r="I30" i="185"/>
  <c r="J30" i="185"/>
  <c r="K30" i="185"/>
  <c r="L30" i="185"/>
  <c r="M30" i="185"/>
  <c r="N30" i="185"/>
  <c r="O30" i="185"/>
  <c r="P30" i="185"/>
  <c r="E30" i="185"/>
  <c r="F26" i="185"/>
  <c r="G26" i="185"/>
  <c r="H26" i="185"/>
  <c r="I26" i="185"/>
  <c r="J26" i="185"/>
  <c r="K26" i="185"/>
  <c r="L26" i="185"/>
  <c r="M26" i="185"/>
  <c r="N26" i="185"/>
  <c r="O26" i="185"/>
  <c r="P26" i="185"/>
  <c r="E26" i="185"/>
  <c r="F18" i="185"/>
  <c r="G18" i="185"/>
  <c r="H18" i="185"/>
  <c r="I18" i="185"/>
  <c r="J18" i="185"/>
  <c r="K18" i="185"/>
  <c r="L18" i="185"/>
  <c r="M18" i="185"/>
  <c r="N18" i="185"/>
  <c r="O18" i="185"/>
  <c r="P18" i="185"/>
  <c r="E18" i="185"/>
  <c r="F14" i="185"/>
  <c r="G14" i="185"/>
  <c r="H14" i="185"/>
  <c r="I14" i="185"/>
  <c r="J14" i="185"/>
  <c r="K14" i="185"/>
  <c r="L14" i="185"/>
  <c r="M14" i="185"/>
  <c r="N14" i="185"/>
  <c r="O14" i="185"/>
  <c r="P14" i="185"/>
  <c r="E14" i="185"/>
  <c r="F10" i="185"/>
  <c r="G10" i="185"/>
  <c r="H10" i="185"/>
  <c r="I10" i="185"/>
  <c r="J10" i="185"/>
  <c r="K10" i="185"/>
  <c r="L10" i="185"/>
  <c r="M10" i="185"/>
  <c r="N10" i="185"/>
  <c r="O10" i="185"/>
  <c r="P10" i="185"/>
  <c r="E10" i="185"/>
  <c r="M14" i="120"/>
  <c r="L14" i="120"/>
  <c r="K14" i="120"/>
  <c r="F14" i="120" s="1"/>
  <c r="I14" i="120"/>
  <c r="H14" i="120"/>
  <c r="E14" i="120"/>
  <c r="D14" i="120"/>
  <c r="G14" i="120"/>
  <c r="M13" i="120"/>
  <c r="L13" i="120"/>
  <c r="K13" i="120"/>
  <c r="I13" i="120"/>
  <c r="H13" i="120"/>
  <c r="G13" i="120"/>
  <c r="E13" i="120"/>
  <c r="D13" i="120"/>
  <c r="I13" i="323"/>
  <c r="H13" i="323"/>
  <c r="G13" i="323"/>
  <c r="F13" i="323"/>
  <c r="E13" i="323"/>
  <c r="D13" i="323"/>
  <c r="A13" i="323"/>
  <c r="A14" i="323" s="1"/>
  <c r="A15" i="323" s="1"/>
  <c r="A12" i="323"/>
  <c r="F13" i="120" l="1"/>
  <c r="C15" i="323"/>
  <c r="E23" i="189" l="1"/>
  <c r="E20" i="189"/>
  <c r="E19" i="189"/>
  <c r="E18" i="189"/>
  <c r="E15" i="189"/>
  <c r="E14" i="189"/>
  <c r="E13" i="189"/>
  <c r="E12" i="189"/>
  <c r="E8" i="189"/>
  <c r="E9" i="189"/>
  <c r="Q30" i="322" l="1"/>
  <c r="P30" i="322"/>
  <c r="O30" i="322"/>
  <c r="N30" i="322"/>
  <c r="M30" i="322"/>
  <c r="L30" i="322"/>
  <c r="K30" i="322"/>
  <c r="J30" i="322"/>
  <c r="I30" i="322"/>
  <c r="H30" i="322"/>
  <c r="G30" i="322"/>
  <c r="C30" i="322" s="1"/>
  <c r="F30" i="322"/>
  <c r="E30" i="322"/>
  <c r="Q29" i="322"/>
  <c r="P29" i="322"/>
  <c r="O29" i="322"/>
  <c r="N29" i="322"/>
  <c r="M29" i="322"/>
  <c r="L29" i="322"/>
  <c r="K29" i="322"/>
  <c r="J29" i="322"/>
  <c r="I29" i="322"/>
  <c r="H29" i="322"/>
  <c r="G29" i="322"/>
  <c r="F29" i="322"/>
  <c r="E29" i="322"/>
  <c r="C29" i="322"/>
  <c r="Q28" i="322"/>
  <c r="P28" i="322"/>
  <c r="O28" i="322"/>
  <c r="N28" i="322"/>
  <c r="M28" i="322"/>
  <c r="L28" i="322"/>
  <c r="K28" i="322"/>
  <c r="J28" i="322"/>
  <c r="I28" i="322"/>
  <c r="H28" i="322"/>
  <c r="G28" i="322"/>
  <c r="F28" i="322"/>
  <c r="E28" i="322"/>
  <c r="C28" i="322"/>
  <c r="P25" i="322"/>
  <c r="N25" i="322"/>
  <c r="L25" i="322"/>
  <c r="J25" i="322"/>
  <c r="H25" i="322"/>
  <c r="F25" i="322"/>
  <c r="Q24" i="322"/>
  <c r="P24" i="322"/>
  <c r="O24" i="322"/>
  <c r="N24" i="322"/>
  <c r="M24" i="322"/>
  <c r="L24" i="322"/>
  <c r="K24" i="322"/>
  <c r="J24" i="322"/>
  <c r="I24" i="322"/>
  <c r="H24" i="322"/>
  <c r="G24" i="322"/>
  <c r="F24" i="322"/>
  <c r="E24" i="322"/>
  <c r="C24" i="322" s="1"/>
  <c r="Q23" i="322"/>
  <c r="Q25" i="322" s="1"/>
  <c r="P23" i="322"/>
  <c r="O23" i="322"/>
  <c r="O25" i="322" s="1"/>
  <c r="N23" i="322"/>
  <c r="M23" i="322"/>
  <c r="M25" i="322" s="1"/>
  <c r="L23" i="322"/>
  <c r="K23" i="322"/>
  <c r="K25" i="322" s="1"/>
  <c r="J23" i="322"/>
  <c r="I23" i="322"/>
  <c r="I25" i="322" s="1"/>
  <c r="H23" i="322"/>
  <c r="G23" i="322"/>
  <c r="G25" i="322" s="1"/>
  <c r="F23" i="322"/>
  <c r="E23" i="322"/>
  <c r="E25" i="322" s="1"/>
  <c r="C17" i="322"/>
  <c r="C15" i="322"/>
  <c r="A12" i="322"/>
  <c r="A13" i="322" s="1"/>
  <c r="A14" i="322" s="1"/>
  <c r="A15" i="322" s="1"/>
  <c r="A16" i="322" s="1"/>
  <c r="A17" i="322" s="1"/>
  <c r="A18" i="322" s="1"/>
  <c r="A19" i="322" s="1"/>
  <c r="A20" i="322" s="1"/>
  <c r="A21" i="322" s="1"/>
  <c r="A22" i="322" s="1"/>
  <c r="A23" i="322" s="1"/>
  <c r="A24" i="322" s="1"/>
  <c r="A25" i="322" s="1"/>
  <c r="A26" i="322" s="1"/>
  <c r="A27" i="322" s="1"/>
  <c r="A28" i="322" s="1"/>
  <c r="A29" i="322" s="1"/>
  <c r="A30" i="322" s="1"/>
  <c r="Q11" i="322"/>
  <c r="P11" i="322"/>
  <c r="O11" i="322"/>
  <c r="N11" i="322"/>
  <c r="M11" i="322"/>
  <c r="L11" i="322"/>
  <c r="K11" i="322"/>
  <c r="J11" i="322"/>
  <c r="I11" i="322"/>
  <c r="H11" i="322"/>
  <c r="G11" i="322"/>
  <c r="F11" i="322"/>
  <c r="E11" i="322"/>
  <c r="C11" i="322"/>
  <c r="A11" i="322"/>
  <c r="A10" i="322"/>
  <c r="C25" i="322" l="1"/>
  <c r="C23" i="322"/>
  <c r="A12" i="120" l="1"/>
  <c r="A13" i="120" s="1"/>
  <c r="A14" i="120" s="1"/>
  <c r="A15" i="120" s="1"/>
  <c r="A16" i="120" s="1"/>
  <c r="A17" i="120" s="1"/>
  <c r="A18" i="120" s="1"/>
  <c r="A19" i="120" s="1"/>
  <c r="A20" i="120" s="1"/>
  <c r="A21" i="120" s="1"/>
  <c r="M15" i="120" l="1"/>
  <c r="E15" i="120"/>
  <c r="E11" i="323" s="1"/>
  <c r="E15" i="323" s="1"/>
  <c r="H12" i="189" s="1"/>
  <c r="H15" i="120"/>
  <c r="H11" i="323" s="1"/>
  <c r="H15" i="323" s="1"/>
  <c r="H14" i="189" s="1"/>
  <c r="K15" i="120"/>
  <c r="G15" i="120"/>
  <c r="G11" i="323" s="1"/>
  <c r="G15" i="323" s="1"/>
  <c r="H23" i="189" s="1"/>
  <c r="D15" i="120"/>
  <c r="D11" i="323" s="1"/>
  <c r="D15" i="323" s="1"/>
  <c r="H8" i="189" s="1"/>
  <c r="I15" i="120"/>
  <c r="I11" i="323" s="1"/>
  <c r="I15" i="323" s="1"/>
  <c r="H18" i="189" s="1"/>
  <c r="F15" i="120"/>
  <c r="F11" i="323" s="1"/>
  <c r="F15" i="323" s="1"/>
  <c r="H9" i="189" s="1"/>
  <c r="L15" i="120"/>
  <c r="C14" i="120" l="1"/>
  <c r="C15" i="120" l="1"/>
  <c r="I23" i="189"/>
  <c r="K23" i="189" s="1"/>
  <c r="I18" i="189"/>
  <c r="K18" i="189" s="1"/>
  <c r="I14" i="189"/>
  <c r="K14" i="189" s="1"/>
  <c r="H20" i="189"/>
  <c r="I12" i="189"/>
  <c r="K12" i="189" s="1"/>
  <c r="I8" i="189"/>
  <c r="K8" i="189" s="1"/>
  <c r="I20" i="189" l="1"/>
  <c r="J20" i="189" s="1"/>
  <c r="J8" i="189"/>
  <c r="J14" i="189"/>
  <c r="J18" i="189"/>
  <c r="J12" i="189"/>
  <c r="J23" i="189"/>
  <c r="H13" i="189"/>
  <c r="H15" i="189"/>
  <c r="I9" i="189"/>
  <c r="K9" i="189" s="1"/>
  <c r="H19" i="189"/>
  <c r="B9" i="189"/>
  <c r="B10" i="189" s="1"/>
  <c r="B11" i="189" s="1"/>
  <c r="B12" i="189" s="1"/>
  <c r="B13" i="189" s="1"/>
  <c r="B14" i="189" s="1"/>
  <c r="B15" i="189" s="1"/>
  <c r="B16" i="189" s="1"/>
  <c r="B17" i="189" s="1"/>
  <c r="B18" i="189" s="1"/>
  <c r="B19" i="189" s="1"/>
  <c r="B20" i="189" s="1"/>
  <c r="B21" i="189" s="1"/>
  <c r="B22" i="189" s="1"/>
  <c r="B23" i="189" s="1"/>
  <c r="K20" i="189" l="1"/>
  <c r="K10" i="189"/>
  <c r="I15" i="189"/>
  <c r="K15" i="189" s="1"/>
  <c r="I13" i="189"/>
  <c r="K13" i="189" s="1"/>
  <c r="I19" i="189"/>
  <c r="J19" i="189" s="1"/>
  <c r="J9" i="189"/>
  <c r="J15" i="189"/>
  <c r="E21" i="189"/>
  <c r="E16" i="189"/>
  <c r="E10" i="189"/>
  <c r="K16" i="189" l="1"/>
  <c r="K19" i="189"/>
  <c r="J13" i="189"/>
  <c r="K21" i="189" l="1"/>
  <c r="Q36" i="314"/>
  <c r="N36" i="314"/>
  <c r="M36" i="314"/>
  <c r="J36" i="314"/>
  <c r="I36" i="314"/>
  <c r="F36" i="314"/>
  <c r="E36" i="314"/>
  <c r="Q35" i="314"/>
  <c r="Q37" i="314" s="1"/>
  <c r="P35" i="314"/>
  <c r="M35" i="314"/>
  <c r="M37" i="314" s="1"/>
  <c r="L35" i="314"/>
  <c r="I35" i="314"/>
  <c r="I37" i="314" s="1"/>
  <c r="H35" i="314"/>
  <c r="E35" i="314"/>
  <c r="E37" i="314" s="1"/>
  <c r="C24" i="314"/>
  <c r="C22" i="314"/>
  <c r="Q17" i="314"/>
  <c r="N17" i="314"/>
  <c r="M17" i="314"/>
  <c r="J17" i="314"/>
  <c r="I17" i="314"/>
  <c r="F17" i="314"/>
  <c r="E17" i="314"/>
  <c r="Q15" i="314"/>
  <c r="P15" i="314"/>
  <c r="O15" i="314"/>
  <c r="N15" i="314"/>
  <c r="M15" i="314"/>
  <c r="L15" i="314"/>
  <c r="K15" i="314"/>
  <c r="J15" i="314"/>
  <c r="I15" i="314"/>
  <c r="H15" i="314"/>
  <c r="G15" i="314"/>
  <c r="F15" i="314"/>
  <c r="E15" i="314"/>
  <c r="C14" i="314"/>
  <c r="C13" i="314"/>
  <c r="P36" i="314" s="1"/>
  <c r="Q11" i="314"/>
  <c r="P11" i="314"/>
  <c r="O11" i="314"/>
  <c r="N11" i="314"/>
  <c r="M11" i="314"/>
  <c r="L11" i="314"/>
  <c r="K11" i="314"/>
  <c r="J11" i="314"/>
  <c r="I11" i="314"/>
  <c r="H11" i="314"/>
  <c r="G11" i="314"/>
  <c r="F11" i="314"/>
  <c r="E11" i="314"/>
  <c r="C10" i="314"/>
  <c r="A10" i="314"/>
  <c r="A11" i="314" s="1"/>
  <c r="A12" i="314" s="1"/>
  <c r="A13" i="314" s="1"/>
  <c r="A14" i="314" s="1"/>
  <c r="A15" i="314" s="1"/>
  <c r="A16" i="314" s="1"/>
  <c r="A17" i="314" s="1"/>
  <c r="A18" i="314" s="1"/>
  <c r="A19" i="314" s="1"/>
  <c r="A20" i="314" s="1"/>
  <c r="A21" i="314" s="1"/>
  <c r="A22" i="314" s="1"/>
  <c r="A23" i="314" s="1"/>
  <c r="A24" i="314" s="1"/>
  <c r="A25" i="314" s="1"/>
  <c r="A26" i="314" s="1"/>
  <c r="A27" i="314" s="1"/>
  <c r="A28" i="314" s="1"/>
  <c r="A29" i="314" s="1"/>
  <c r="A30" i="314" s="1"/>
  <c r="A31" i="314" s="1"/>
  <c r="A32" i="314" s="1"/>
  <c r="A33" i="314" s="1"/>
  <c r="A34" i="314" s="1"/>
  <c r="A35" i="314" s="1"/>
  <c r="A36" i="314" s="1"/>
  <c r="A37" i="314" s="1"/>
  <c r="C9" i="314"/>
  <c r="O35" i="314" s="1"/>
  <c r="L18" i="314" l="1"/>
  <c r="M18" i="314"/>
  <c r="H37" i="314"/>
  <c r="P37" i="314"/>
  <c r="G17" i="314"/>
  <c r="C17" i="314" s="1"/>
  <c r="K17" i="314"/>
  <c r="O17" i="314"/>
  <c r="F35" i="314"/>
  <c r="J35" i="314"/>
  <c r="J37" i="314" s="1"/>
  <c r="N35" i="314"/>
  <c r="N37" i="314" s="1"/>
  <c r="G36" i="314"/>
  <c r="K36" i="314"/>
  <c r="C36" i="314" s="1"/>
  <c r="O36" i="314"/>
  <c r="O37" i="314" s="1"/>
  <c r="C11" i="314"/>
  <c r="C15" i="314"/>
  <c r="H18" i="314" s="1"/>
  <c r="H17" i="314"/>
  <c r="L17" i="314"/>
  <c r="P17" i="314"/>
  <c r="G35" i="314"/>
  <c r="G37" i="314" s="1"/>
  <c r="K35" i="314"/>
  <c r="K37" i="314" s="1"/>
  <c r="H36" i="314"/>
  <c r="L36" i="314"/>
  <c r="L37" i="314" s="1"/>
  <c r="I18" i="314" l="1"/>
  <c r="J18" i="314"/>
  <c r="O18" i="314"/>
  <c r="K18" i="314"/>
  <c r="G18" i="314"/>
  <c r="N18" i="314"/>
  <c r="F18" i="314"/>
  <c r="F37" i="314"/>
  <c r="C37" i="314" s="1"/>
  <c r="C35" i="314"/>
  <c r="E18" i="314"/>
  <c r="Q18" i="314"/>
  <c r="P18" i="314"/>
  <c r="C18" i="314" l="1"/>
  <c r="C20" i="120" l="1"/>
  <c r="O10" i="318" l="1"/>
  <c r="O11" i="318"/>
  <c r="O12" i="318"/>
  <c r="O13" i="318"/>
  <c r="O14" i="318"/>
  <c r="O15" i="318"/>
  <c r="O16" i="318"/>
  <c r="O17" i="318"/>
  <c r="O18" i="318"/>
  <c r="O19" i="318"/>
  <c r="O20" i="318"/>
  <c r="O21" i="318"/>
  <c r="O22" i="318"/>
  <c r="O23" i="318"/>
  <c r="O9" i="318"/>
  <c r="D24" i="318"/>
  <c r="D27" i="318" s="1"/>
  <c r="D28" i="318" s="1"/>
  <c r="E24" i="318"/>
  <c r="E27" i="318" s="1"/>
  <c r="E28" i="318" s="1"/>
  <c r="F24" i="318"/>
  <c r="F27" i="318" s="1"/>
  <c r="F28" i="318" s="1"/>
  <c r="G24" i="318"/>
  <c r="G27" i="318" s="1"/>
  <c r="G28" i="318" s="1"/>
  <c r="H24" i="318"/>
  <c r="H27" i="318" s="1"/>
  <c r="H28" i="318" s="1"/>
  <c r="I24" i="318"/>
  <c r="I27" i="318" s="1"/>
  <c r="I28" i="318" s="1"/>
  <c r="J24" i="318"/>
  <c r="J27" i="318" s="1"/>
  <c r="J28" i="318" s="1"/>
  <c r="K24" i="318"/>
  <c r="K27" i="318" s="1"/>
  <c r="K28" i="318" s="1"/>
  <c r="L24" i="318"/>
  <c r="L27" i="318" s="1"/>
  <c r="L28" i="318" s="1"/>
  <c r="M24" i="318"/>
  <c r="M27" i="318" s="1"/>
  <c r="M28" i="318" s="1"/>
  <c r="N24" i="318"/>
  <c r="N27" i="318" s="1"/>
  <c r="N28" i="318" s="1"/>
  <c r="C24" i="318"/>
  <c r="C27" i="318" s="1"/>
  <c r="D79" i="319"/>
  <c r="D78" i="319"/>
  <c r="D77" i="319"/>
  <c r="D76" i="319"/>
  <c r="H34" i="318"/>
  <c r="G34" i="318"/>
  <c r="F34" i="318"/>
  <c r="E34" i="318"/>
  <c r="D34" i="318"/>
  <c r="C34" i="318"/>
  <c r="N34" i="318"/>
  <c r="M34" i="318"/>
  <c r="L34" i="318"/>
  <c r="J34" i="318"/>
  <c r="I34" i="318"/>
  <c r="D73" i="319"/>
  <c r="D67" i="319"/>
  <c r="B62" i="319"/>
  <c r="B80" i="319" s="1"/>
  <c r="B60" i="319"/>
  <c r="B78" i="319" s="1"/>
  <c r="H30" i="318"/>
  <c r="G30" i="318"/>
  <c r="F30" i="318"/>
  <c r="E30" i="318"/>
  <c r="D30" i="318"/>
  <c r="C30" i="318"/>
  <c r="N30" i="318"/>
  <c r="M30" i="318"/>
  <c r="L30" i="318"/>
  <c r="K30" i="318"/>
  <c r="J30" i="318"/>
  <c r="I30" i="318"/>
  <c r="B56" i="319"/>
  <c r="B74" i="319" s="1"/>
  <c r="B52" i="319"/>
  <c r="B70" i="319" s="1"/>
  <c r="B48" i="319"/>
  <c r="B66" i="319" s="1"/>
  <c r="B45" i="319"/>
  <c r="B63" i="319" s="1"/>
  <c r="B81" i="319" s="1"/>
  <c r="B44" i="319"/>
  <c r="H25" i="319"/>
  <c r="B43" i="319"/>
  <c r="B61" i="319" s="1"/>
  <c r="B79" i="319" s="1"/>
  <c r="H24" i="319"/>
  <c r="B42" i="319"/>
  <c r="B41" i="319"/>
  <c r="B59" i="319" s="1"/>
  <c r="B77" i="319" s="1"/>
  <c r="N22" i="319"/>
  <c r="M22" i="319"/>
  <c r="J22" i="319"/>
  <c r="I22" i="319"/>
  <c r="F22" i="319"/>
  <c r="E22" i="319"/>
  <c r="B40" i="319"/>
  <c r="B58" i="319" s="1"/>
  <c r="B76" i="319" s="1"/>
  <c r="B39" i="319"/>
  <c r="B57" i="319" s="1"/>
  <c r="B75" i="319" s="1"/>
  <c r="I20" i="319"/>
  <c r="B38" i="319"/>
  <c r="J19" i="319"/>
  <c r="B37" i="319"/>
  <c r="B55" i="319" s="1"/>
  <c r="B73" i="319" s="1"/>
  <c r="B36" i="319"/>
  <c r="B54" i="319" s="1"/>
  <c r="B72" i="319" s="1"/>
  <c r="P17" i="319"/>
  <c r="L17" i="319"/>
  <c r="K17" i="319"/>
  <c r="H17" i="319"/>
  <c r="B35" i="319"/>
  <c r="B53" i="319" s="1"/>
  <c r="B71" i="319" s="1"/>
  <c r="B34" i="319"/>
  <c r="B33" i="319"/>
  <c r="B51" i="319" s="1"/>
  <c r="B69" i="319" s="1"/>
  <c r="B32" i="319"/>
  <c r="B50" i="319" s="1"/>
  <c r="B68" i="319" s="1"/>
  <c r="B31" i="319"/>
  <c r="B49" i="319" s="1"/>
  <c r="B67" i="319" s="1"/>
  <c r="B30" i="319"/>
  <c r="A10" i="319"/>
  <c r="A11" i="319" s="1"/>
  <c r="A12" i="319" s="1"/>
  <c r="A13" i="319" s="1"/>
  <c r="A14" i="319" s="1"/>
  <c r="A15" i="319" s="1"/>
  <c r="A16" i="319" s="1"/>
  <c r="A17" i="319" s="1"/>
  <c r="A18" i="319" s="1"/>
  <c r="A19" i="319" s="1"/>
  <c r="A20" i="319" s="1"/>
  <c r="A21" i="319" s="1"/>
  <c r="A22" i="319" s="1"/>
  <c r="A23" i="319" s="1"/>
  <c r="A24" i="319" s="1"/>
  <c r="A25" i="319" s="1"/>
  <c r="A26" i="319" s="1"/>
  <c r="A27" i="319" s="1"/>
  <c r="A28" i="319" s="1"/>
  <c r="A29" i="319" s="1"/>
  <c r="A30" i="319" s="1"/>
  <c r="A31" i="319" s="1"/>
  <c r="A32" i="319" s="1"/>
  <c r="A33" i="319" s="1"/>
  <c r="A34" i="319" s="1"/>
  <c r="A35" i="319" s="1"/>
  <c r="A36" i="319" s="1"/>
  <c r="A37" i="319" s="1"/>
  <c r="A38" i="319" s="1"/>
  <c r="A39" i="319" s="1"/>
  <c r="A40" i="319" s="1"/>
  <c r="A41" i="319" s="1"/>
  <c r="A42" i="319" s="1"/>
  <c r="A43" i="319" s="1"/>
  <c r="A44" i="319" s="1"/>
  <c r="A45" i="319" s="1"/>
  <c r="A46" i="319" s="1"/>
  <c r="A47" i="319" s="1"/>
  <c r="A48" i="319" s="1"/>
  <c r="A49" i="319" s="1"/>
  <c r="A50" i="319" s="1"/>
  <c r="A51" i="319" s="1"/>
  <c r="A52" i="319" s="1"/>
  <c r="A53" i="319" s="1"/>
  <c r="A54" i="319" s="1"/>
  <c r="A55" i="319" s="1"/>
  <c r="A56" i="319" s="1"/>
  <c r="A57" i="319" s="1"/>
  <c r="A58" i="319" s="1"/>
  <c r="A59" i="319" s="1"/>
  <c r="A60" i="319" s="1"/>
  <c r="A61" i="319" s="1"/>
  <c r="A62" i="319" s="1"/>
  <c r="A63" i="319" s="1"/>
  <c r="A64" i="319" s="1"/>
  <c r="A65" i="319" s="1"/>
  <c r="A66" i="319" s="1"/>
  <c r="A67" i="319" s="1"/>
  <c r="A68" i="319" s="1"/>
  <c r="A69" i="319" s="1"/>
  <c r="A70" i="319" s="1"/>
  <c r="A71" i="319" s="1"/>
  <c r="A72" i="319" s="1"/>
  <c r="A73" i="319" s="1"/>
  <c r="A74" i="319" s="1"/>
  <c r="A75" i="319" s="1"/>
  <c r="A76" i="319" s="1"/>
  <c r="A77" i="319" s="1"/>
  <c r="A78" i="319" s="1"/>
  <c r="A79" i="319" s="1"/>
  <c r="A80" i="319" s="1"/>
  <c r="A81" i="319" s="1"/>
  <c r="A82" i="319" s="1"/>
  <c r="F15" i="319" l="1"/>
  <c r="F13" i="319"/>
  <c r="J13" i="319"/>
  <c r="N13" i="319"/>
  <c r="N15" i="319"/>
  <c r="H18" i="319"/>
  <c r="G23" i="319"/>
  <c r="K23" i="319"/>
  <c r="O23" i="319"/>
  <c r="N24" i="319"/>
  <c r="G21" i="319"/>
  <c r="F26" i="319"/>
  <c r="H12" i="319"/>
  <c r="J24" i="319"/>
  <c r="I18" i="319"/>
  <c r="M12" i="319"/>
  <c r="F24" i="319"/>
  <c r="I13" i="319"/>
  <c r="M13" i="319"/>
  <c r="H14" i="319"/>
  <c r="P16" i="319"/>
  <c r="J18" i="319"/>
  <c r="E19" i="319"/>
  <c r="I19" i="319"/>
  <c r="M19" i="319"/>
  <c r="P24" i="319"/>
  <c r="G25" i="319"/>
  <c r="K25" i="319"/>
  <c r="O25" i="319"/>
  <c r="J26" i="319"/>
  <c r="N26" i="319"/>
  <c r="P12" i="319"/>
  <c r="K19" i="319"/>
  <c r="O19" i="319"/>
  <c r="F20" i="319"/>
  <c r="N23" i="319"/>
  <c r="F23" i="319"/>
  <c r="D68" i="319"/>
  <c r="I15" i="319"/>
  <c r="E12" i="319"/>
  <c r="L13" i="319"/>
  <c r="P13" i="319"/>
  <c r="K14" i="319"/>
  <c r="K15" i="319"/>
  <c r="G16" i="319"/>
  <c r="K16" i="319"/>
  <c r="O16" i="319"/>
  <c r="H19" i="319"/>
  <c r="P19" i="319"/>
  <c r="G20" i="319"/>
  <c r="K20" i="319"/>
  <c r="O20" i="319"/>
  <c r="H23" i="319"/>
  <c r="L23" i="319"/>
  <c r="P23" i="319"/>
  <c r="G24" i="319"/>
  <c r="K24" i="319"/>
  <c r="O24" i="319"/>
  <c r="F25" i="319"/>
  <c r="J25" i="319"/>
  <c r="N25" i="319"/>
  <c r="E26" i="319"/>
  <c r="I26" i="319"/>
  <c r="M26" i="319"/>
  <c r="K13" i="319"/>
  <c r="O13" i="319"/>
  <c r="D53" i="319"/>
  <c r="M20" i="319"/>
  <c r="L25" i="319"/>
  <c r="F25" i="318"/>
  <c r="E25" i="318"/>
  <c r="I25" i="318"/>
  <c r="K25" i="318"/>
  <c r="C25" i="318"/>
  <c r="L25" i="318"/>
  <c r="H25" i="318"/>
  <c r="M25" i="318"/>
  <c r="D25" i="318"/>
  <c r="E18" i="319"/>
  <c r="J25" i="318"/>
  <c r="F21" i="319"/>
  <c r="G14" i="319"/>
  <c r="O14" i="319"/>
  <c r="G15" i="319"/>
  <c r="J17" i="319"/>
  <c r="N17" i="319"/>
  <c r="L21" i="319"/>
  <c r="M15" i="319"/>
  <c r="L26" i="319"/>
  <c r="N18" i="319"/>
  <c r="I23" i="319"/>
  <c r="H13" i="319"/>
  <c r="P14" i="319"/>
  <c r="D59" i="319"/>
  <c r="D60" i="319"/>
  <c r="H26" i="319"/>
  <c r="P26" i="319"/>
  <c r="D80" i="319"/>
  <c r="I81" i="319"/>
  <c r="I82" i="319" s="1"/>
  <c r="M81" i="319"/>
  <c r="M82" i="319" s="1"/>
  <c r="E23" i="319"/>
  <c r="M23" i="319"/>
  <c r="L24" i="319"/>
  <c r="H63" i="319"/>
  <c r="H64" i="319" s="1"/>
  <c r="D30" i="319"/>
  <c r="K12" i="319"/>
  <c r="O12" i="319"/>
  <c r="E14" i="319"/>
  <c r="I14" i="319"/>
  <c r="M14" i="319"/>
  <c r="E16" i="319"/>
  <c r="I16" i="319"/>
  <c r="M16" i="319"/>
  <c r="F19" i="319"/>
  <c r="N19" i="319"/>
  <c r="E20" i="319"/>
  <c r="J23" i="319"/>
  <c r="E24" i="319"/>
  <c r="I24" i="319"/>
  <c r="M24" i="319"/>
  <c r="P25" i="319"/>
  <c r="L19" i="319"/>
  <c r="D72" i="319"/>
  <c r="J20" i="319"/>
  <c r="N20" i="319"/>
  <c r="G12" i="319"/>
  <c r="L12" i="319"/>
  <c r="G13" i="319"/>
  <c r="J14" i="319"/>
  <c r="N14" i="319"/>
  <c r="J15" i="319"/>
  <c r="E17" i="319"/>
  <c r="I17" i="319"/>
  <c r="M17" i="319"/>
  <c r="G19" i="319"/>
  <c r="M18" i="319"/>
  <c r="D55" i="319"/>
  <c r="H22" i="319"/>
  <c r="L22" i="319"/>
  <c r="P22" i="319"/>
  <c r="J81" i="319"/>
  <c r="J82" i="319" s="1"/>
  <c r="N81" i="319"/>
  <c r="N82" i="319" s="1"/>
  <c r="H16" i="319"/>
  <c r="L16" i="319"/>
  <c r="F18" i="319"/>
  <c r="D36" i="319"/>
  <c r="N21" i="319"/>
  <c r="K45" i="319"/>
  <c r="K46" i="319" s="1"/>
  <c r="D38" i="319"/>
  <c r="H20" i="319"/>
  <c r="L20" i="319"/>
  <c r="P20" i="319"/>
  <c r="O21" i="319"/>
  <c r="G25" i="318"/>
  <c r="D40" i="319"/>
  <c r="D44" i="319"/>
  <c r="L63" i="319"/>
  <c r="L64" i="319" s="1"/>
  <c r="N25" i="318"/>
  <c r="J21" i="319"/>
  <c r="H21" i="319"/>
  <c r="P21" i="319"/>
  <c r="D33" i="319"/>
  <c r="O15" i="319"/>
  <c r="G81" i="319"/>
  <c r="G82" i="319" s="1"/>
  <c r="K81" i="319"/>
  <c r="K82" i="319" s="1"/>
  <c r="O81" i="319"/>
  <c r="O82" i="319" s="1"/>
  <c r="D69" i="319"/>
  <c r="E15" i="319"/>
  <c r="D75" i="319"/>
  <c r="K34" i="318"/>
  <c r="K35" i="318" s="1"/>
  <c r="K36" i="318" s="1"/>
  <c r="K21" i="319"/>
  <c r="D31" i="319"/>
  <c r="L14" i="319"/>
  <c r="F17" i="319"/>
  <c r="D51" i="319"/>
  <c r="D52" i="319"/>
  <c r="D61" i="319"/>
  <c r="H15" i="319"/>
  <c r="O45" i="319"/>
  <c r="O46" i="319" s="1"/>
  <c r="D32" i="319"/>
  <c r="L15" i="319"/>
  <c r="P15" i="319"/>
  <c r="L18" i="319"/>
  <c r="P18" i="319"/>
  <c r="G22" i="319"/>
  <c r="K22" i="319"/>
  <c r="O22" i="319"/>
  <c r="I63" i="319"/>
  <c r="I64" i="319" s="1"/>
  <c r="M63" i="319"/>
  <c r="M64" i="319" s="1"/>
  <c r="P63" i="319"/>
  <c r="P64" i="319" s="1"/>
  <c r="D56" i="319"/>
  <c r="D70" i="319"/>
  <c r="J16" i="319"/>
  <c r="N16" i="319"/>
  <c r="I12" i="319"/>
  <c r="G45" i="319"/>
  <c r="G46" i="319" s="1"/>
  <c r="G17" i="319"/>
  <c r="O17" i="319"/>
  <c r="I21" i="319"/>
  <c r="M21" i="319"/>
  <c r="D42" i="319"/>
  <c r="I25" i="319"/>
  <c r="M25" i="319"/>
  <c r="D49" i="319"/>
  <c r="D57" i="319"/>
  <c r="D62" i="319"/>
  <c r="D71" i="319"/>
  <c r="N31" i="318"/>
  <c r="N32" i="318" s="1"/>
  <c r="J31" i="318"/>
  <c r="J32" i="318" s="1"/>
  <c r="F31" i="318"/>
  <c r="F32" i="318" s="1"/>
  <c r="I35" i="318"/>
  <c r="I36" i="318" s="1"/>
  <c r="K31" i="318"/>
  <c r="K32" i="318" s="1"/>
  <c r="G31" i="318"/>
  <c r="G32" i="318" s="1"/>
  <c r="I31" i="318"/>
  <c r="I32" i="318" s="1"/>
  <c r="L31" i="318"/>
  <c r="L32" i="318" s="1"/>
  <c r="L35" i="318"/>
  <c r="L36" i="318" s="1"/>
  <c r="H31" i="318"/>
  <c r="H32" i="318" s="1"/>
  <c r="H35" i="318"/>
  <c r="H36" i="318" s="1"/>
  <c r="D31" i="318"/>
  <c r="D32" i="318" s="1"/>
  <c r="D35" i="318"/>
  <c r="D36" i="318" s="1"/>
  <c r="O27" i="318"/>
  <c r="C28" i="318"/>
  <c r="G35" i="318"/>
  <c r="G36" i="318" s="1"/>
  <c r="M31" i="318"/>
  <c r="M32" i="318" s="1"/>
  <c r="M35" i="318"/>
  <c r="M36" i="318" s="1"/>
  <c r="E31" i="318"/>
  <c r="E32" i="318" s="1"/>
  <c r="E35" i="318"/>
  <c r="E36" i="318" s="1"/>
  <c r="F35" i="318"/>
  <c r="F36" i="318" s="1"/>
  <c r="N35" i="318"/>
  <c r="N36" i="318" s="1"/>
  <c r="J35" i="318"/>
  <c r="J36" i="318" s="1"/>
  <c r="O24" i="318"/>
  <c r="O30" i="318"/>
  <c r="D39" i="319"/>
  <c r="E21" i="319"/>
  <c r="D41" i="319"/>
  <c r="F81" i="319"/>
  <c r="F82" i="319" s="1"/>
  <c r="D66" i="319"/>
  <c r="F12" i="319"/>
  <c r="J12" i="319"/>
  <c r="N12" i="319"/>
  <c r="F14" i="319"/>
  <c r="F16" i="319"/>
  <c r="E45" i="319"/>
  <c r="E46" i="319" s="1"/>
  <c r="I45" i="319"/>
  <c r="I46" i="319" s="1"/>
  <c r="M45" i="319"/>
  <c r="M46" i="319" s="1"/>
  <c r="D35" i="319"/>
  <c r="D37" i="319"/>
  <c r="G26" i="319"/>
  <c r="K26" i="319"/>
  <c r="O26" i="319"/>
  <c r="F63" i="319"/>
  <c r="F64" i="319" s="1"/>
  <c r="J63" i="319"/>
  <c r="J64" i="319" s="1"/>
  <c r="N63" i="319"/>
  <c r="N64" i="319" s="1"/>
  <c r="H81" i="319"/>
  <c r="H82" i="319" s="1"/>
  <c r="L81" i="319"/>
  <c r="L82" i="319" s="1"/>
  <c r="P81" i="319"/>
  <c r="P82" i="319" s="1"/>
  <c r="E13" i="319"/>
  <c r="F45" i="319"/>
  <c r="F46" i="319" s="1"/>
  <c r="J45" i="319"/>
  <c r="J46" i="319" s="1"/>
  <c r="N45" i="319"/>
  <c r="N46" i="319" s="1"/>
  <c r="D34" i="319"/>
  <c r="G18" i="319"/>
  <c r="K18" i="319"/>
  <c r="O18" i="319"/>
  <c r="G63" i="319"/>
  <c r="G64" i="319" s="1"/>
  <c r="K63" i="319"/>
  <c r="K64" i="319" s="1"/>
  <c r="O63" i="319"/>
  <c r="O64" i="319" s="1"/>
  <c r="D50" i="319"/>
  <c r="D54" i="319"/>
  <c r="D58" i="319"/>
  <c r="E81" i="319"/>
  <c r="E82" i="319" s="1"/>
  <c r="D74" i="319"/>
  <c r="H45" i="319"/>
  <c r="H46" i="319" s="1"/>
  <c r="L45" i="319"/>
  <c r="L46" i="319" s="1"/>
  <c r="P45" i="319"/>
  <c r="P46" i="319" s="1"/>
  <c r="D43" i="319"/>
  <c r="E25" i="319"/>
  <c r="E63" i="319"/>
  <c r="E64" i="319" s="1"/>
  <c r="D48" i="319"/>
  <c r="P27" i="319" l="1"/>
  <c r="D24" i="319"/>
  <c r="O27" i="319"/>
  <c r="O9" i="319" s="1"/>
  <c r="D26" i="319"/>
  <c r="N27" i="319"/>
  <c r="N28" i="319" s="1"/>
  <c r="D22" i="319"/>
  <c r="L27" i="319"/>
  <c r="L28" i="319" s="1"/>
  <c r="D19" i="319"/>
  <c r="D16" i="319"/>
  <c r="M27" i="319"/>
  <c r="M9" i="319" s="1"/>
  <c r="D23" i="319"/>
  <c r="G27" i="319"/>
  <c r="G28" i="319" s="1"/>
  <c r="O25" i="318"/>
  <c r="I27" i="319"/>
  <c r="I28" i="319" s="1"/>
  <c r="D20" i="319"/>
  <c r="D25" i="319"/>
  <c r="D13" i="319"/>
  <c r="D17" i="319"/>
  <c r="K27" i="319"/>
  <c r="K9" i="319" s="1"/>
  <c r="J27" i="319"/>
  <c r="J9" i="319" s="1"/>
  <c r="D15" i="319"/>
  <c r="H27" i="319"/>
  <c r="O34" i="318"/>
  <c r="E27" i="319"/>
  <c r="E9" i="319" s="1"/>
  <c r="D45" i="319"/>
  <c r="D46" i="319" s="1"/>
  <c r="D14" i="319"/>
  <c r="D21" i="319"/>
  <c r="I38" i="318"/>
  <c r="E22" i="185" s="1"/>
  <c r="J38" i="318"/>
  <c r="F22" i="185" s="1"/>
  <c r="E38" i="318"/>
  <c r="M22" i="185" s="1"/>
  <c r="K38" i="318"/>
  <c r="G22" i="185" s="1"/>
  <c r="L38" i="318"/>
  <c r="H22" i="185" s="1"/>
  <c r="D38" i="318"/>
  <c r="L22" i="185" s="1"/>
  <c r="N38" i="318"/>
  <c r="J22" i="185" s="1"/>
  <c r="H38" i="318"/>
  <c r="P22" i="185" s="1"/>
  <c r="C31" i="318"/>
  <c r="C35" i="318"/>
  <c r="F38" i="318"/>
  <c r="N22" i="185" s="1"/>
  <c r="M38" i="318"/>
  <c r="I22" i="185" s="1"/>
  <c r="G38" i="318"/>
  <c r="O22" i="185" s="1"/>
  <c r="P28" i="319"/>
  <c r="P9" i="319"/>
  <c r="D63" i="319"/>
  <c r="D64" i="319" s="1"/>
  <c r="D18" i="319"/>
  <c r="F27" i="319"/>
  <c r="D12" i="319"/>
  <c r="N9" i="319"/>
  <c r="D81" i="319"/>
  <c r="D82" i="319" s="1"/>
  <c r="I9" i="319" l="1"/>
  <c r="J28" i="319"/>
  <c r="E28" i="319"/>
  <c r="K28" i="319"/>
  <c r="M28" i="319"/>
  <c r="O28" i="319"/>
  <c r="L9" i="319"/>
  <c r="G9" i="319"/>
  <c r="H28" i="319"/>
  <c r="H9" i="319"/>
  <c r="O31" i="318"/>
  <c r="C32" i="318"/>
  <c r="C36" i="318"/>
  <c r="O35" i="318"/>
  <c r="D27" i="319"/>
  <c r="D28" i="319" s="1"/>
  <c r="F28" i="319"/>
  <c r="F9" i="319"/>
  <c r="D9" i="319" l="1"/>
  <c r="O32" i="318"/>
  <c r="C38" i="318"/>
  <c r="K22" i="185" s="1"/>
  <c r="O36" i="318"/>
  <c r="O38" i="318" l="1"/>
  <c r="A2" i="185"/>
  <c r="A2" i="189"/>
  <c r="A39" i="315" l="1"/>
  <c r="A40" i="315" s="1"/>
  <c r="A41" i="315" s="1"/>
  <c r="A42" i="315" s="1"/>
  <c r="A43" i="315" s="1"/>
  <c r="A44" i="315" s="1"/>
  <c r="A45" i="315" s="1"/>
  <c r="A46" i="315" s="1"/>
  <c r="I38" i="315"/>
  <c r="J38" i="315" s="1"/>
  <c r="L38" i="315" s="1"/>
  <c r="M38" i="315" s="1"/>
  <c r="A36" i="315"/>
  <c r="A37" i="315" s="1"/>
  <c r="A38" i="315" s="1"/>
  <c r="I35" i="315"/>
  <c r="A35" i="315"/>
  <c r="F33" i="315"/>
  <c r="G30" i="315"/>
  <c r="I28" i="315"/>
  <c r="G26" i="315"/>
  <c r="I24" i="315"/>
  <c r="I22" i="315"/>
  <c r="I20" i="315"/>
  <c r="G18" i="315"/>
  <c r="I10" i="315"/>
  <c r="G9" i="315"/>
  <c r="I8" i="315"/>
  <c r="I7" i="315"/>
  <c r="I16" i="315" s="1"/>
  <c r="D23" i="315" l="1"/>
  <c r="D27" i="315"/>
  <c r="D19" i="315"/>
  <c r="I17" i="315"/>
  <c r="L17" i="315" s="1"/>
  <c r="G27" i="315"/>
  <c r="G19" i="315"/>
  <c r="D24" i="315"/>
  <c r="I33" i="315"/>
  <c r="L33" i="315" s="1"/>
  <c r="C14" i="315"/>
  <c r="F14" i="315" s="1"/>
  <c r="I6" i="315"/>
  <c r="I14" i="315" s="1"/>
  <c r="F24" i="315"/>
  <c r="D29" i="315"/>
  <c r="J24" i="315"/>
  <c r="L24" i="315"/>
  <c r="J35" i="315"/>
  <c r="L35" i="315"/>
  <c r="D35" i="315"/>
  <c r="C9" i="315"/>
  <c r="D20" i="315"/>
  <c r="D22" i="315"/>
  <c r="D26" i="315"/>
  <c r="D28" i="315"/>
  <c r="F35" i="315"/>
  <c r="C17" i="315"/>
  <c r="F20" i="315"/>
  <c r="F22" i="315"/>
  <c r="F28" i="315"/>
  <c r="D30" i="315"/>
  <c r="D33" i="315"/>
  <c r="L16" i="315"/>
  <c r="J16" i="315"/>
  <c r="I21" i="315"/>
  <c r="F21" i="315"/>
  <c r="G25" i="315"/>
  <c r="D25" i="315"/>
  <c r="J33" i="315"/>
  <c r="D18" i="315"/>
  <c r="D21" i="315"/>
  <c r="I34" i="315"/>
  <c r="F34" i="315"/>
  <c r="D38" i="315"/>
  <c r="F38" i="315" s="1"/>
  <c r="G38" i="315" s="1"/>
  <c r="C16" i="315"/>
  <c r="L22" i="315"/>
  <c r="J22" i="315"/>
  <c r="L28" i="315"/>
  <c r="J28" i="315"/>
  <c r="I32" i="315"/>
  <c r="F32" i="315"/>
  <c r="D34" i="315"/>
  <c r="M9" i="315"/>
  <c r="N8" i="315"/>
  <c r="G15" i="315"/>
  <c r="D15" i="315"/>
  <c r="L20" i="315"/>
  <c r="J20" i="315"/>
  <c r="G23" i="315"/>
  <c r="I29" i="315"/>
  <c r="F29" i="315"/>
  <c r="G31" i="315"/>
  <c r="D31" i="315"/>
  <c r="D32" i="315"/>
  <c r="J17" i="315" l="1"/>
  <c r="D14" i="315"/>
  <c r="I9" i="315"/>
  <c r="D17" i="315"/>
  <c r="F17" i="315"/>
  <c r="L32" i="315"/>
  <c r="J32" i="315"/>
  <c r="J34" i="315"/>
  <c r="L34" i="315"/>
  <c r="F16" i="315"/>
  <c r="D16" i="315"/>
  <c r="J14" i="315"/>
  <c r="L14" i="315"/>
  <c r="C37" i="315"/>
  <c r="C39" i="315" s="1"/>
  <c r="L21" i="315"/>
  <c r="J21" i="315"/>
  <c r="L29" i="315"/>
  <c r="J29" i="315"/>
  <c r="N9" i="315"/>
  <c r="I25" i="315"/>
  <c r="I23" i="315"/>
  <c r="G37" i="315"/>
  <c r="I15" i="315"/>
  <c r="D37" i="315" l="1"/>
  <c r="D39" i="315" s="1"/>
  <c r="F37" i="315"/>
  <c r="F43" i="315" s="1"/>
  <c r="J19" i="315"/>
  <c r="M19" i="315"/>
  <c r="N19" i="315" s="1"/>
  <c r="M31" i="315"/>
  <c r="N31" i="315" s="1"/>
  <c r="J31" i="315"/>
  <c r="M30" i="315"/>
  <c r="N30" i="315" s="1"/>
  <c r="J30" i="315"/>
  <c r="M18" i="315"/>
  <c r="N18" i="315" s="1"/>
  <c r="J18" i="315"/>
  <c r="L37" i="315"/>
  <c r="M25" i="315"/>
  <c r="N25" i="315" s="1"/>
  <c r="J25" i="315"/>
  <c r="F39" i="315"/>
  <c r="F44" i="315" s="1"/>
  <c r="I37" i="315"/>
  <c r="I39" i="315" s="1"/>
  <c r="M15" i="315"/>
  <c r="J15" i="315"/>
  <c r="J27" i="315"/>
  <c r="M27" i="315"/>
  <c r="N27" i="315" s="1"/>
  <c r="G43" i="315"/>
  <c r="G39" i="315"/>
  <c r="G44" i="315" s="1"/>
  <c r="M23" i="315"/>
  <c r="N23" i="315" s="1"/>
  <c r="J23" i="315"/>
  <c r="M26" i="315"/>
  <c r="N26" i="315" s="1"/>
  <c r="J26" i="315"/>
  <c r="J37" i="315" l="1"/>
  <c r="J39" i="315" s="1"/>
  <c r="D43" i="315"/>
  <c r="L43" i="315"/>
  <c r="L39" i="315"/>
  <c r="C26" i="314" s="1"/>
  <c r="D44" i="315"/>
  <c r="N15" i="315"/>
  <c r="M37" i="315"/>
  <c r="L30" i="314" l="1"/>
  <c r="M30" i="314"/>
  <c r="H30" i="314"/>
  <c r="F30" i="314"/>
  <c r="N30" i="314"/>
  <c r="P30" i="314"/>
  <c r="K30" i="314"/>
  <c r="G30" i="314"/>
  <c r="O30" i="314"/>
  <c r="E30" i="314"/>
  <c r="I30" i="314"/>
  <c r="J30" i="314"/>
  <c r="Q30" i="314"/>
  <c r="L44" i="315"/>
  <c r="M43" i="315"/>
  <c r="J43" i="315" s="1"/>
  <c r="M39" i="315"/>
  <c r="C28" i="314" s="1"/>
  <c r="C30" i="314" l="1"/>
  <c r="E32" i="314"/>
  <c r="O32" i="314"/>
  <c r="N32" i="314"/>
  <c r="H31" i="314"/>
  <c r="M31" i="314"/>
  <c r="L31" i="314"/>
  <c r="L32" i="314" s="1"/>
  <c r="G31" i="314"/>
  <c r="G32" i="314" s="1"/>
  <c r="O31" i="314"/>
  <c r="J31" i="314"/>
  <c r="Q31" i="314"/>
  <c r="I31" i="314"/>
  <c r="E31" i="314"/>
  <c r="F31" i="314"/>
  <c r="F32" i="314" s="1"/>
  <c r="P31" i="314"/>
  <c r="K31" i="314"/>
  <c r="K32" i="314" s="1"/>
  <c r="N31" i="314"/>
  <c r="J32" i="314"/>
  <c r="I32" i="314"/>
  <c r="H32" i="314"/>
  <c r="M44" i="315"/>
  <c r="J44" i="315" s="1"/>
  <c r="M32" i="314" l="1"/>
  <c r="C31" i="314"/>
  <c r="Q32" i="314"/>
  <c r="P32" i="314"/>
  <c r="D20" i="120"/>
  <c r="C32" i="314" l="1"/>
  <c r="D30" i="185"/>
  <c r="D26" i="185"/>
  <c r="D22" i="185"/>
  <c r="D18" i="185"/>
  <c r="D14" i="185"/>
  <c r="C30" i="185" l="1"/>
  <c r="C26" i="185"/>
  <c r="H20" i="120" l="1"/>
  <c r="G20" i="120"/>
  <c r="I20" i="120"/>
  <c r="L20" i="120"/>
  <c r="E20" i="120"/>
  <c r="H19" i="120" l="1"/>
  <c r="L19" i="120"/>
  <c r="D19" i="120"/>
  <c r="M20" i="120"/>
  <c r="G19" i="120"/>
  <c r="G21" i="120" s="1"/>
  <c r="K20" i="120"/>
  <c r="D21" i="120" l="1"/>
  <c r="I19" i="120"/>
  <c r="E19" i="120"/>
  <c r="K19" i="120"/>
  <c r="M19" i="120"/>
  <c r="Q47" i="185" l="1"/>
  <c r="D55" i="185" l="1"/>
  <c r="B54" i="185"/>
  <c r="D51" i="185"/>
  <c r="B50" i="185"/>
  <c r="D47" i="185"/>
  <c r="B46" i="185"/>
  <c r="D43" i="185"/>
  <c r="B42" i="185"/>
  <c r="D39" i="185"/>
  <c r="B38" i="185"/>
  <c r="B34" i="185"/>
  <c r="C22" i="185"/>
  <c r="Q18" i="185"/>
  <c r="C18" i="185"/>
  <c r="C14" i="185"/>
  <c r="A10" i="185"/>
  <c r="A11" i="185" s="1"/>
  <c r="I19" i="185" l="1"/>
  <c r="M19" i="185"/>
  <c r="E19" i="185"/>
  <c r="F19" i="185"/>
  <c r="J19" i="185"/>
  <c r="N19" i="185"/>
  <c r="H19" i="185"/>
  <c r="Q14" i="185"/>
  <c r="I15" i="185" s="1"/>
  <c r="G19" i="185"/>
  <c r="K19" i="185"/>
  <c r="O19" i="185"/>
  <c r="L19" i="185"/>
  <c r="Q22" i="185"/>
  <c r="L23" i="185" s="1"/>
  <c r="Q26" i="185"/>
  <c r="N27" i="185" s="1"/>
  <c r="P19" i="185"/>
  <c r="A12" i="185"/>
  <c r="A13" i="185" s="1"/>
  <c r="A14" i="185" s="1"/>
  <c r="A15" i="185" s="1"/>
  <c r="Q30" i="185"/>
  <c r="N31" i="185" s="1"/>
  <c r="Q10" i="185"/>
  <c r="P11" i="185" s="1"/>
  <c r="J15" i="185" l="1"/>
  <c r="F15" i="185"/>
  <c r="M15" i="185"/>
  <c r="J31" i="185"/>
  <c r="G23" i="185"/>
  <c r="E15" i="185"/>
  <c r="N15" i="185"/>
  <c r="H11" i="185"/>
  <c r="L27" i="185"/>
  <c r="P27" i="185"/>
  <c r="H27" i="185"/>
  <c r="K27" i="185"/>
  <c r="G27" i="185"/>
  <c r="O27" i="185"/>
  <c r="O23" i="185"/>
  <c r="L11" i="185"/>
  <c r="F27" i="185"/>
  <c r="K31" i="185"/>
  <c r="I27" i="185"/>
  <c r="P23" i="185"/>
  <c r="I11" i="185"/>
  <c r="K23" i="185"/>
  <c r="G31" i="185"/>
  <c r="E27" i="185"/>
  <c r="E11" i="185"/>
  <c r="N23" i="185"/>
  <c r="F23" i="185"/>
  <c r="J23" i="185"/>
  <c r="M23" i="185"/>
  <c r="I23" i="185"/>
  <c r="E23" i="185"/>
  <c r="E48" i="185" s="1"/>
  <c r="H23" i="185"/>
  <c r="Q19" i="185"/>
  <c r="G11" i="185"/>
  <c r="O11" i="185"/>
  <c r="K11" i="185"/>
  <c r="N11" i="185"/>
  <c r="J11" i="185"/>
  <c r="F11" i="185"/>
  <c r="M31" i="185"/>
  <c r="E31" i="185"/>
  <c r="I31" i="185"/>
  <c r="P31" i="185"/>
  <c r="L31" i="185"/>
  <c r="H31" i="185"/>
  <c r="A16" i="185"/>
  <c r="A17" i="185" s="1"/>
  <c r="A18" i="185" s="1"/>
  <c r="A19" i="185" s="1"/>
  <c r="J27" i="185"/>
  <c r="O31" i="185"/>
  <c r="M27" i="185"/>
  <c r="L15" i="185"/>
  <c r="P15" i="185"/>
  <c r="H15" i="185"/>
  <c r="K15" i="185"/>
  <c r="G15" i="185"/>
  <c r="O15" i="185"/>
  <c r="F31" i="185"/>
  <c r="M11" i="185"/>
  <c r="A20" i="185" l="1"/>
  <c r="A21" i="185" s="1"/>
  <c r="Q23" i="185"/>
  <c r="Q31" i="185"/>
  <c r="Q15" i="185"/>
  <c r="Q11" i="185"/>
  <c r="Q27" i="185"/>
  <c r="A22" i="185" l="1"/>
  <c r="A23" i="185" s="1"/>
  <c r="A24" i="185" s="1"/>
  <c r="A25" i="185" s="1"/>
  <c r="A26" i="185" s="1"/>
  <c r="A27" i="185" s="1"/>
  <c r="A28" i="185" l="1"/>
  <c r="A29" i="185" s="1"/>
  <c r="A30" i="185" s="1"/>
  <c r="A31" i="185" s="1"/>
  <c r="A32" i="185" l="1"/>
  <c r="A33" i="185" s="1"/>
  <c r="A34" i="185" s="1"/>
  <c r="A35" i="185" s="1"/>
  <c r="A36" i="185" l="1"/>
  <c r="A37" i="185" s="1"/>
  <c r="A38" i="185" s="1"/>
  <c r="A39" i="185" s="1"/>
  <c r="D36" i="185"/>
  <c r="A40" i="185" l="1"/>
  <c r="A41" i="185" s="1"/>
  <c r="A42" i="185" s="1"/>
  <c r="A43" i="185" s="1"/>
  <c r="D44" i="185" s="1"/>
  <c r="D40" i="185"/>
  <c r="A44" i="185" l="1"/>
  <c r="A45" i="185" s="1"/>
  <c r="A46" i="185" s="1"/>
  <c r="A47" i="185" l="1"/>
  <c r="A48" i="185" s="1"/>
  <c r="A49" i="185" s="1"/>
  <c r="A50" i="185" s="1"/>
  <c r="A51" i="185" s="1"/>
  <c r="A52" i="185" s="1"/>
  <c r="A53" i="185" s="1"/>
  <c r="A54" i="185" s="1"/>
  <c r="A55" i="185" s="1"/>
  <c r="A56" i="185" s="1"/>
  <c r="D48" i="185" l="1"/>
  <c r="D52" i="185"/>
  <c r="D56" i="185" l="1"/>
  <c r="F20" i="120" l="1"/>
  <c r="F19" i="120"/>
  <c r="E21" i="120"/>
  <c r="H21" i="120"/>
  <c r="I21" i="120"/>
  <c r="K21" i="120"/>
  <c r="L21" i="120"/>
  <c r="M21" i="120"/>
  <c r="Q35" i="185" l="1"/>
  <c r="Q39" i="185"/>
  <c r="Q55" i="185"/>
  <c r="Q51" i="185"/>
  <c r="F21" i="120"/>
  <c r="Q43" i="185" l="1"/>
  <c r="P36" i="185"/>
  <c r="H36" i="185"/>
  <c r="G36" i="185"/>
  <c r="I36" i="185"/>
  <c r="N36" i="185"/>
  <c r="F36" i="185"/>
  <c r="M36" i="185"/>
  <c r="J36" i="185"/>
  <c r="O36" i="185"/>
  <c r="L36" i="185"/>
  <c r="K36" i="185"/>
  <c r="E36" i="185"/>
  <c r="Q36" i="185" l="1"/>
  <c r="O52" i="185" l="1"/>
  <c r="J56" i="185"/>
  <c r="J52" i="185"/>
  <c r="E52" i="185"/>
  <c r="L52" i="185"/>
  <c r="N56" i="185"/>
  <c r="O56" i="185"/>
  <c r="M56" i="185"/>
  <c r="G56" i="185"/>
  <c r="F56" i="185"/>
  <c r="E56" i="185"/>
  <c r="K56" i="185"/>
  <c r="L56" i="185"/>
  <c r="H56" i="185"/>
  <c r="P56" i="185"/>
  <c r="I56" i="185"/>
  <c r="P52" i="185" l="1"/>
  <c r="K52" i="185"/>
  <c r="N52" i="185"/>
  <c r="H52" i="185"/>
  <c r="F52" i="185"/>
  <c r="G52" i="185"/>
  <c r="M52" i="185"/>
  <c r="I52" i="185"/>
  <c r="Q56" i="185"/>
  <c r="K44" i="185"/>
  <c r="H44" i="185"/>
  <c r="P44" i="185"/>
  <c r="F44" i="185"/>
  <c r="N44" i="185"/>
  <c r="O44" i="185"/>
  <c r="J44" i="185"/>
  <c r="M44" i="185"/>
  <c r="G44" i="185"/>
  <c r="L44" i="185"/>
  <c r="E44" i="185"/>
  <c r="I44" i="185"/>
  <c r="N40" i="185"/>
  <c r="J40" i="185"/>
  <c r="E40" i="185"/>
  <c r="I40" i="185"/>
  <c r="F40" i="185"/>
  <c r="M40" i="185"/>
  <c r="K40" i="185"/>
  <c r="P40" i="185"/>
  <c r="G40" i="185"/>
  <c r="H40" i="185"/>
  <c r="L40" i="185"/>
  <c r="O40" i="185"/>
  <c r="G48" i="185"/>
  <c r="L48" i="185"/>
  <c r="O48" i="185"/>
  <c r="K48" i="185"/>
  <c r="H48" i="185"/>
  <c r="M48" i="185"/>
  <c r="P48" i="185"/>
  <c r="N48" i="185"/>
  <c r="F48" i="185"/>
  <c r="J48" i="185"/>
  <c r="I48" i="185"/>
  <c r="Q52" i="185" l="1"/>
  <c r="Q40" i="185"/>
  <c r="Q44" i="185"/>
  <c r="Q48" i="185"/>
  <c r="C21" i="120"/>
</calcChain>
</file>

<file path=xl/sharedStrings.xml><?xml version="1.0" encoding="utf-8"?>
<sst xmlns="http://schemas.openxmlformats.org/spreadsheetml/2006/main" count="527" uniqueCount="279">
  <si>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</si>
  <si>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</si>
  <si>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</si>
  <si>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</si>
  <si>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</si>
  <si>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</si>
  <si>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</si>
  <si>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</si>
  <si>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</si>
  <si>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</si>
  <si>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</si>
  <si>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</si>
  <si>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</si>
  <si>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</si>
  <si>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</si>
  <si>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</si>
  <si>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</si>
  <si>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Description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</si>
  <si>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</si>
  <si>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</si>
  <si>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</si>
  <si>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</si>
  <si>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</si>
  <si>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</si>
  <si>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</si>
  <si>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</si>
  <si>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</si>
  <si>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</si>
  <si>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</si>
  <si>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</si>
  <si>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</si>
  <si>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</si>
  <si>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</si>
  <si>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% of Annual Total</t>
  </si>
  <si>
    <t>Sales</t>
  </si>
  <si>
    <t>Schedule 7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</si>
  <si>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</si>
  <si>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</si>
  <si>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</si>
  <si>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</si>
  <si>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</si>
  <si>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</si>
  <si>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>Total Allocated Power Costs</t>
  </si>
  <si>
    <t xml:space="preserve">   Allocated Variable Power Costs</t>
  </si>
  <si>
    <t>ELECTRIC COST OF SERVICE SUMMARY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</si>
  <si>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</si>
  <si>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</si>
  <si>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</si>
  <si>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</si>
  <si>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</si>
  <si>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</si>
  <si>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</si>
  <si>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</si>
  <si>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</si>
  <si>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</si>
  <si>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</si>
  <si>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</si>
  <si>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</si>
  <si>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</si>
  <si>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</si>
  <si>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PC-3</t>
  </si>
  <si>
    <t>NRG</t>
  </si>
  <si>
    <t>DEM</t>
  </si>
  <si>
    <t>Power Cost Revenue: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</si>
  <si>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</si>
  <si>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</si>
  <si>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</si>
  <si>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</si>
  <si>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</si>
  <si>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</si>
  <si>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</si>
  <si>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</si>
  <si>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Adjusted Test Year Twelve Months ended September 2016 @ Proforma Rev Requirement</t>
  </si>
  <si>
    <t>Peak Credit Allocation</t>
  </si>
  <si>
    <t>% Applicable to Energy</t>
  </si>
  <si>
    <t>% Applicable to Demand</t>
  </si>
  <si>
    <t>Total Allocation to Class</t>
  </si>
  <si>
    <t>Allocate Fixed PCA Costs on PC-3</t>
  </si>
  <si>
    <t>Allocate Variable PCA Costs on PC-3</t>
  </si>
  <si>
    <t>Volumetric Fixed Power Cost Revenue Per Unit ($/kWh)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</si>
  <si>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</si>
  <si>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</si>
  <si>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</si>
  <si>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</si>
  <si>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</si>
  <si>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</si>
  <si>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Allowed Fixed Power Cost Revenue</t>
  </si>
  <si>
    <t>Total PCA Costs Net of Other Revenue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</si>
  <si>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</si>
  <si>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</si>
  <si>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</si>
  <si>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</si>
  <si>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</si>
  <si>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Development of Fixed Power Cost Allowed Revenue by Decoupling Group</t>
  </si>
  <si>
    <t>(e) = Σ (i thru k)</t>
  </si>
  <si>
    <t>Schedule 40</t>
  </si>
  <si>
    <t>JAP-10 Page 1</t>
  </si>
  <si>
    <t>Weather-Normalized kWh Sales</t>
  </si>
  <si>
    <t>Rate Year Fixed PCA Costs (Exhibit A-1)</t>
  </si>
  <si>
    <t>Variable PCA Costs (Exhibit A-1)</t>
  </si>
  <si>
    <t>Electric Decoupling Mechanism (Schedule 142)</t>
  </si>
  <si>
    <t>Delivery Costs (ECOS Model - 2017 GRC - UE-170033)</t>
  </si>
  <si>
    <t>kWh</t>
  </si>
  <si>
    <t>Demand</t>
  </si>
  <si>
    <t>Total Revenue Requirement</t>
  </si>
  <si>
    <t xml:space="preserve">Revenues Other Than Rate Sch. Rev. </t>
  </si>
  <si>
    <t>Exhibit A-1 Power Cost Baseline Rates With and Without Microsoft</t>
  </si>
  <si>
    <t>Exhibit H to the 2017 GRC - Multi-Party Settelement Adjusted for Tax Reform</t>
  </si>
  <si>
    <t>&lt;=TAX REFORM=&gt;</t>
  </si>
  <si>
    <t>&lt;=Contingent Calculation - NO MS Settlement=&gt;</t>
  </si>
  <si>
    <t>Row</t>
  </si>
  <si>
    <t xml:space="preserve">Test Year </t>
  </si>
  <si>
    <t>Regulatory Assets (1) (Fixed)</t>
  </si>
  <si>
    <t>Change in (V)</t>
  </si>
  <si>
    <t>Causes of Change</t>
  </si>
  <si>
    <t>Transmission Rate Base (Fixed)</t>
  </si>
  <si>
    <t>Production Rate Base (Fixed)</t>
  </si>
  <si>
    <t>Settlement Variable PF=&gt;</t>
  </si>
  <si>
    <t>NO MS Variable PF=&gt;</t>
  </si>
  <si>
    <t>Remove MS load from TY and RY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</si>
  <si>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</si>
  <si>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</si>
  <si>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</si>
  <si>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</si>
  <si>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</si>
  <si>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</si>
  <si>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</si>
  <si>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</si>
  <si>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</si>
  <si>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</si>
  <si>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</si>
  <si>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</si>
  <si>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</si>
  <si>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</si>
  <si>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</si>
  <si>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</si>
  <si>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</si>
  <si>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</si>
  <si>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</si>
  <si>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</si>
  <si>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Prod Factor Only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</si>
  <si>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</si>
  <si>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</si>
  <si>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</si>
  <si>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</si>
  <si>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Pwr Costs and Prod Factor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</si>
  <si>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</si>
  <si>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</si>
  <si>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</si>
  <si>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</si>
  <si>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</si>
  <si>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</si>
  <si>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</si>
  <si>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</si>
  <si>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</si>
  <si>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</si>
  <si>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</si>
  <si>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</si>
  <si>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</si>
  <si>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</si>
  <si>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</si>
  <si>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</si>
  <si>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</si>
  <si>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</si>
  <si>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</si>
  <si>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</si>
  <si>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</si>
  <si>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</si>
  <si>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</si>
  <si>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</si>
  <si>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</si>
  <si>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</si>
  <si>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</si>
  <si>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Total</t>
  </si>
  <si>
    <t>Variable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</si>
  <si>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</si>
  <si>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</si>
  <si>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</si>
  <si>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</si>
  <si>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50-59</t>
  </si>
  <si>
    <t>Firm Resale</t>
  </si>
  <si>
    <t>Less: MS Energy</t>
  </si>
  <si>
    <t>kWh - Net of MS</t>
  </si>
  <si>
    <t>Less:  MS Demand</t>
  </si>
  <si>
    <t>Demand - Net of MS</t>
  </si>
  <si>
    <t>PC-3 (Less MS Sch 40)</t>
  </si>
  <si>
    <t>Summary Delivered kWh</t>
  </si>
  <si>
    <t>Normalized Actual Load</t>
  </si>
  <si>
    <t>Test Year ended June 2018</t>
  </si>
  <si>
    <t>Tariff</t>
  </si>
  <si>
    <t>Delivered Load less Retail Wheeling (kWh)</t>
  </si>
  <si>
    <t>Delivered Load (kWh)</t>
  </si>
  <si>
    <t>7A</t>
  </si>
  <si>
    <t>8/24</t>
  </si>
  <si>
    <t>11/25</t>
  </si>
  <si>
    <t>12/26/26P</t>
  </si>
  <si>
    <t>10/31</t>
  </si>
  <si>
    <t>449/459</t>
  </si>
  <si>
    <t>Excl 449/459</t>
  </si>
  <si>
    <t>Total Billed Load (kWh)</t>
  </si>
  <si>
    <t>Total Change in Unbilled Load (kWh)</t>
  </si>
  <si>
    <t>Total Temperature Adjustment Load (kWh)</t>
  </si>
  <si>
    <t>Customer 6</t>
  </si>
  <si>
    <t>Customer 11</t>
  </si>
  <si>
    <t>Customer 12</t>
  </si>
  <si>
    <t>Customer 4</t>
  </si>
  <si>
    <t>Customer 9</t>
  </si>
  <si>
    <t>Customer 1</t>
  </si>
  <si>
    <t>Customer 3</t>
  </si>
  <si>
    <t>Customer 2</t>
  </si>
  <si>
    <t>Customer 10</t>
  </si>
  <si>
    <t>Customer 8</t>
  </si>
  <si>
    <t>Customer 5</t>
  </si>
  <si>
    <t/>
  </si>
  <si>
    <t>Rate Category</t>
  </si>
  <si>
    <t>Business Partner</t>
  </si>
  <si>
    <t>007/2017</t>
  </si>
  <si>
    <t>008/2017</t>
  </si>
  <si>
    <t>009/2017</t>
  </si>
  <si>
    <t>010/2017</t>
  </si>
  <si>
    <t>011/2017</t>
  </si>
  <si>
    <t>012/2017</t>
  </si>
  <si>
    <t>001/2018</t>
  </si>
  <si>
    <t>002/2018</t>
  </si>
  <si>
    <t>003/2018</t>
  </si>
  <si>
    <t>004/2018</t>
  </si>
  <si>
    <t>005/2018</t>
  </si>
  <si>
    <t>006/2018</t>
  </si>
  <si>
    <t>SCH_40EC : Large Demand Gen Service greater 3 aMW</t>
  </si>
  <si>
    <t>SCH_40EI :  Large Demand Gen Service greater 3 aMW</t>
  </si>
  <si>
    <t xml:space="preserve"> Total YE</t>
  </si>
  <si>
    <t xml:space="preserve">% Allocation </t>
  </si>
  <si>
    <t xml:space="preserve">Unbilled </t>
  </si>
  <si>
    <t xml:space="preserve">Allocated Microsoft Portion </t>
  </si>
  <si>
    <t xml:space="preserve">Total Temperature Adjustment </t>
  </si>
  <si>
    <t>Customer 7</t>
  </si>
  <si>
    <t>Customer 13</t>
  </si>
  <si>
    <t>Customer 14</t>
  </si>
  <si>
    <t xml:space="preserve">Unbilled excluding Microsoft </t>
  </si>
  <si>
    <t xml:space="preserve">Temperature Adj excluding Microsoft </t>
  </si>
  <si>
    <t xml:space="preserve">Billed excluding Microsoft </t>
  </si>
  <si>
    <t>[NEW-PSE-WP-JAP-4-Elec-Annualized-Monthly-Revenue-TYJun18ERF-11-2018.xlsx]Proforma kWh'!L13</t>
  </si>
  <si>
    <t>WP JAP-4 Elec Annualized Monthly Revenue</t>
  </si>
  <si>
    <t>UE-180282 WP/Exhibit A-1</t>
  </si>
  <si>
    <t>Exhibit JAP-4</t>
  </si>
  <si>
    <t>Normalized Actual Load (Schedule 40)</t>
  </si>
  <si>
    <t>cross check</t>
  </si>
  <si>
    <t>2018 Expedited Rate Filing (UE-180899) - Updated to remove Microsoft</t>
  </si>
  <si>
    <t>Residential</t>
  </si>
  <si>
    <t>Total Secondary Voltage</t>
  </si>
  <si>
    <t>Total Primary Voltage</t>
  </si>
  <si>
    <t>29</t>
  </si>
  <si>
    <t xml:space="preserve">Proposed </t>
  </si>
  <si>
    <t xml:space="preserve">Current </t>
  </si>
  <si>
    <t>2018 Electric Expedited Rate Filing (ERF)</t>
  </si>
  <si>
    <t>2017 GRC Adjusted Test Year Twelve Months ended September 2016 @ Proforma Rev Requirement</t>
  </si>
  <si>
    <t>Delivery Costs</t>
  </si>
  <si>
    <t>Revenues Other Than Rate Sch. Rev.</t>
  </si>
  <si>
    <t>Rate Year Fixed PCA Costs</t>
  </si>
  <si>
    <t>Variable PCA Costs</t>
  </si>
  <si>
    <t>2018 ERF Volumes KWHs</t>
  </si>
  <si>
    <t>(d) = (c)-(b)</t>
  </si>
  <si>
    <t>Projected
Revenue 
(Based on Rates
Effective
1-1-2019)</t>
  </si>
  <si>
    <t>Schedule 142 Revenue Change</t>
  </si>
  <si>
    <t>Schedule 142 % Change</t>
  </si>
  <si>
    <r>
      <t xml:space="preserve">Current FPC Rates 
Eff. </t>
    </r>
    <r>
      <rPr>
        <sz val="8"/>
        <color rgb="FF0000FF"/>
        <rFont val="Arial"/>
        <family val="2"/>
      </rPr>
      <t>3-1-19</t>
    </r>
  </si>
  <si>
    <t>Development of Fixed Power Cost Revenue Per Unit ($/kWh)</t>
  </si>
  <si>
    <t>F2018 kWh 
April 2019
to March 2020</t>
  </si>
  <si>
    <r>
      <t xml:space="preserve">Updated FPC Rates
Eff. </t>
    </r>
    <r>
      <rPr>
        <sz val="8"/>
        <color rgb="FF0000FF"/>
        <rFont val="Arial"/>
        <family val="2"/>
      </rPr>
      <t>4-1-19</t>
    </r>
  </si>
  <si>
    <r>
      <t xml:space="preserve">Proposed SCH 142 Rates
Eff. </t>
    </r>
    <r>
      <rPr>
        <sz val="8"/>
        <color rgb="FF0000FF"/>
        <rFont val="Arial"/>
        <family val="2"/>
      </rPr>
      <t>4-1-19</t>
    </r>
  </si>
  <si>
    <t>Forecast Delivered Sales Volumes and Customer Counts</t>
  </si>
  <si>
    <t>Projected Delivered Sales Volume by Month (kWh)</t>
  </si>
  <si>
    <t>Rate Schedule</t>
  </si>
  <si>
    <t>11 &amp; 25</t>
  </si>
  <si>
    <t>Schedules 7A,11,25,29,35&amp;43</t>
  </si>
  <si>
    <t>Schedules 40,46&amp;49</t>
  </si>
  <si>
    <t>Schedule 50-59</t>
  </si>
  <si>
    <t>Schedule 5</t>
  </si>
  <si>
    <t>Apr 19-Mar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</si>
</sst>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0.000000"/>
    <numFmt numFmtId="170" formatCode="0.0000000"/>
    <numFmt numFmtId="171" formatCode="_(&quot;$&quot;* #,##0.000_);_(&quot;$&quot;* \(#,##0.000\);_(&quot;$&quot;* &quot;-&quot;??_);_(@_)"/>
    <numFmt numFmtId="172" formatCode="_(* #,##0.0000000_);_(* \(#,##0.0000000\);_(* &quot;-&quot;??_);_(@_)"/>
    <numFmt numFmtId="173" formatCode="#,##0&quot; KWH&quot;;&quot;-&quot;#,##0&quot; KWH&quot;"/>
    <numFmt numFmtId="174" formatCode="0.000%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Helv"/>
    </font>
    <font>
      <b/>
      <sz val="8"/>
      <color rgb="FF0000FF"/>
      <name val="Helv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color rgb="FF0000FF"/>
      <name val="Times New Roman"/>
      <family val="1"/>
    </font>
    <font>
      <sz val="8"/>
      <color rgb="FF0000FF"/>
      <name val="Helv"/>
    </font>
    <font>
      <sz val="8"/>
      <color theme="1"/>
      <name val="Arial"/>
      <family val="2"/>
    </font>
    <font>
      <b/>
      <i/>
      <sz val="8"/>
      <color rgb="FF0000FF"/>
      <name val="Calibri"/>
      <family val="2"/>
      <scheme val="minor"/>
    </font>
    <font>
      <sz val="8"/>
      <color rgb="FF0000FF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rgb="FF0000FF"/>
      <name val="Arial"/>
      <family val="2"/>
    </font>
    <font>
      <sz val="8"/>
      <color theme="1"/>
      <name val="Calibri"/>
      <family val="2"/>
      <scheme val="minor"/>
    </font>
    <font>
      <b/>
      <i/>
      <sz val="8"/>
      <name val="Arial"/>
      <family val="2"/>
    </font>
    <font>
      <b/>
      <i/>
      <sz val="8"/>
      <color rgb="FF0000FF"/>
      <name val="Times New Roman"/>
      <family val="1"/>
    </font>
    <font>
      <sz val="8"/>
      <color rgb="FF008080"/>
      <name val="Arial"/>
      <family val="2"/>
    </font>
    <font>
      <sz val="8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8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Calibri"/>
      <family val="2"/>
    </font>
    <font>
      <b/>
      <i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ECECEC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169" fontId="4" fillId="0" borderId="0">
      <alignment horizontal="left" wrapText="1"/>
    </xf>
    <xf numFmtId="43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2" borderId="3" applyNumberFormat="0">
      <alignment horizontal="center" vertical="center" wrapText="1"/>
    </xf>
    <xf numFmtId="9" fontId="3" fillId="0" borderId="0" applyFont="0" applyFill="0" applyBorder="0" applyAlignment="0" applyProtection="0"/>
    <xf numFmtId="0" fontId="2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</cellStyleXfs>
  <cellXfs count="287">
    <xf numFmtId="0" fontId="0" fillId="0" borderId="0" xfId="0"/>
    <xf numFmtId="169" fontId="4" fillId="0" borderId="0" xfId="3" applyFont="1">
      <alignment horizontal="left" wrapText="1"/>
    </xf>
    <xf numFmtId="169" fontId="4" fillId="0" borderId="0" xfId="3" applyFont="1" applyAlignment="1">
      <alignment horizontal="left"/>
    </xf>
    <xf numFmtId="169" fontId="4" fillId="0" borderId="0" xfId="3" applyFont="1" applyBorder="1">
      <alignment horizontal="left" wrapText="1"/>
    </xf>
    <xf numFmtId="169" fontId="4" fillId="0" borderId="11" xfId="3" applyFont="1" applyBorder="1">
      <alignment horizontal="left" wrapText="1"/>
    </xf>
    <xf numFmtId="169" fontId="5" fillId="0" borderId="0" xfId="3" applyFont="1" applyAlignment="1">
      <alignment horizontal="left"/>
    </xf>
    <xf numFmtId="0" fontId="4" fillId="0" borderId="0" xfId="3" applyNumberFormat="1" applyFont="1" applyAlignment="1"/>
    <xf numFmtId="0" fontId="6" fillId="0" borderId="0" xfId="3" applyNumberFormat="1" applyFont="1" applyBorder="1" applyAlignment="1"/>
    <xf numFmtId="0" fontId="7" fillId="0" borderId="0" xfId="3" applyNumberFormat="1" applyFont="1" applyFill="1" applyAlignment="1">
      <alignment horizontal="left"/>
    </xf>
    <xf numFmtId="0" fontId="6" fillId="0" borderId="0" xfId="3" applyNumberFormat="1" applyFont="1" applyFill="1" applyAlignment="1"/>
    <xf numFmtId="0" fontId="8" fillId="0" borderId="0" xfId="3" applyNumberFormat="1" applyFont="1" applyAlignment="1"/>
    <xf numFmtId="0" fontId="9" fillId="0" borderId="0" xfId="3" applyNumberFormat="1" applyFont="1" applyFill="1" applyAlignment="1">
      <alignment horizontal="right"/>
    </xf>
    <xf numFmtId="169" fontId="7" fillId="0" borderId="0" xfId="3" applyFont="1" applyFill="1" applyAlignment="1">
      <alignment horizontal="left"/>
    </xf>
    <xf numFmtId="0" fontId="7" fillId="0" borderId="0" xfId="3" applyNumberFormat="1" applyFont="1" applyFill="1" applyAlignment="1"/>
    <xf numFmtId="0" fontId="10" fillId="0" borderId="0" xfId="3" applyNumberFormat="1" applyFont="1" applyFill="1" applyAlignment="1">
      <alignment horizontal="right"/>
    </xf>
    <xf numFmtId="0" fontId="11" fillId="3" borderId="4" xfId="3" applyNumberFormat="1" applyFont="1" applyFill="1" applyBorder="1" applyAlignment="1">
      <alignment horizontal="centerContinuous"/>
    </xf>
    <xf numFmtId="0" fontId="11" fillId="3" borderId="5" xfId="3" applyNumberFormat="1" applyFont="1" applyFill="1" applyBorder="1" applyAlignment="1">
      <alignment horizontal="centerContinuous"/>
    </xf>
    <xf numFmtId="169" fontId="12" fillId="3" borderId="5" xfId="3" applyFont="1" applyFill="1" applyBorder="1" applyAlignment="1">
      <alignment horizontal="centerContinuous" wrapText="1"/>
    </xf>
    <xf numFmtId="169" fontId="12" fillId="3" borderId="6" xfId="3" applyFont="1" applyFill="1" applyBorder="1" applyAlignment="1">
      <alignment horizontal="centerContinuous" wrapText="1"/>
    </xf>
    <xf numFmtId="0" fontId="6" fillId="0" borderId="0" xfId="3" applyNumberFormat="1" applyFont="1" applyFill="1" applyAlignment="1">
      <alignment horizontal="center"/>
    </xf>
    <xf numFmtId="0" fontId="6" fillId="0" borderId="0" xfId="3" quotePrefix="1" applyNumberFormat="1" applyFont="1" applyFill="1" applyAlignment="1">
      <alignment horizontal="left"/>
    </xf>
    <xf numFmtId="0" fontId="7" fillId="0" borderId="7" xfId="3" applyNumberFormat="1" applyFont="1" applyFill="1" applyBorder="1" applyAlignment="1">
      <alignment horizontal="center"/>
    </xf>
    <xf numFmtId="0" fontId="8" fillId="0" borderId="8" xfId="3" applyNumberFormat="1" applyFont="1" applyBorder="1" applyAlignment="1"/>
    <xf numFmtId="0" fontId="8" fillId="0" borderId="9" xfId="3" applyNumberFormat="1" applyFont="1" applyBorder="1" applyAlignment="1"/>
    <xf numFmtId="0" fontId="6" fillId="0" borderId="0" xfId="3" applyNumberFormat="1" applyFont="1" applyFill="1" applyAlignment="1">
      <alignment horizontal="left"/>
    </xf>
    <xf numFmtId="165" fontId="6" fillId="0" borderId="10" xfId="3" applyNumberFormat="1" applyFont="1" applyFill="1" applyBorder="1" applyAlignment="1"/>
    <xf numFmtId="164" fontId="6" fillId="0" borderId="10" xfId="3" applyNumberFormat="1" applyFont="1" applyFill="1" applyBorder="1" applyAlignment="1">
      <alignment horizontal="right"/>
    </xf>
    <xf numFmtId="0" fontId="6" fillId="0" borderId="11" xfId="3" applyNumberFormat="1" applyFont="1" applyBorder="1" applyAlignment="1"/>
    <xf numFmtId="0" fontId="13" fillId="0" borderId="0" xfId="3" applyNumberFormat="1" applyFont="1" applyBorder="1" applyAlignment="1"/>
    <xf numFmtId="0" fontId="13" fillId="0" borderId="12" xfId="3" applyNumberFormat="1" applyFont="1" applyBorder="1" applyAlignment="1"/>
    <xf numFmtId="0" fontId="8" fillId="0" borderId="13" xfId="3" applyNumberFormat="1" applyFont="1" applyBorder="1" applyAlignment="1">
      <alignment horizontal="right"/>
    </xf>
    <xf numFmtId="170" fontId="8" fillId="0" borderId="14" xfId="3" applyNumberFormat="1" applyFont="1" applyBorder="1" applyAlignment="1"/>
    <xf numFmtId="0" fontId="15" fillId="0" borderId="0" xfId="3" applyNumberFormat="1" applyFont="1" applyFill="1" applyAlignment="1">
      <alignment horizontal="left"/>
    </xf>
    <xf numFmtId="165" fontId="6" fillId="0" borderId="15" xfId="3" applyNumberFormat="1" applyFont="1" applyFill="1" applyBorder="1" applyAlignment="1">
      <alignment horizontal="right"/>
    </xf>
    <xf numFmtId="0" fontId="6" fillId="0" borderId="0" xfId="3" applyNumberFormat="1" applyFont="1" applyFill="1" applyBorder="1" applyAlignment="1"/>
    <xf numFmtId="0" fontId="7" fillId="0" borderId="0" xfId="3" applyNumberFormat="1" applyFont="1" applyFill="1" applyBorder="1" applyAlignment="1">
      <alignment horizontal="center"/>
    </xf>
    <xf numFmtId="0" fontId="16" fillId="0" borderId="0" xfId="3" applyNumberFormat="1" applyFont="1" applyFill="1" applyBorder="1" applyAlignment="1">
      <alignment horizontal="center"/>
    </xf>
    <xf numFmtId="10" fontId="6" fillId="0" borderId="10" xfId="3" applyNumberFormat="1" applyFont="1" applyBorder="1" applyAlignment="1"/>
    <xf numFmtId="43" fontId="6" fillId="0" borderId="0" xfId="3" applyNumberFormat="1" applyFont="1" applyFill="1" applyBorder="1" applyAlignment="1">
      <alignment horizontal="right"/>
    </xf>
    <xf numFmtId="0" fontId="7" fillId="0" borderId="11" xfId="3" applyNumberFormat="1" applyFont="1" applyFill="1" applyBorder="1" applyAlignment="1">
      <alignment horizontal="center"/>
    </xf>
    <xf numFmtId="165" fontId="6" fillId="0" borderId="0" xfId="3" applyNumberFormat="1" applyFont="1" applyFill="1" applyAlignment="1">
      <alignment horizontal="left"/>
    </xf>
    <xf numFmtId="0" fontId="6" fillId="0" borderId="10" xfId="3" applyNumberFormat="1" applyFont="1" applyBorder="1" applyAlignment="1"/>
    <xf numFmtId="43" fontId="6" fillId="0" borderId="0" xfId="3" applyNumberFormat="1" applyFont="1" applyFill="1" applyAlignment="1">
      <alignment horizontal="left"/>
    </xf>
    <xf numFmtId="164" fontId="7" fillId="0" borderId="0" xfId="3" applyNumberFormat="1" applyFont="1" applyFill="1" applyBorder="1" applyAlignment="1">
      <alignment horizontal="center"/>
    </xf>
    <xf numFmtId="164" fontId="7" fillId="0" borderId="11" xfId="3" applyNumberFormat="1" applyFont="1" applyFill="1" applyBorder="1" applyAlignment="1">
      <alignment horizontal="center"/>
    </xf>
    <xf numFmtId="0" fontId="8" fillId="0" borderId="0" xfId="3" applyNumberFormat="1" applyFont="1" applyFill="1" applyAlignment="1"/>
    <xf numFmtId="0" fontId="7" fillId="0" borderId="10" xfId="3" applyNumberFormat="1" applyFont="1" applyFill="1" applyBorder="1" applyAlignment="1">
      <alignment horizontal="center"/>
    </xf>
    <xf numFmtId="171" fontId="6" fillId="0" borderId="0" xfId="3" applyNumberFormat="1" applyFont="1" applyFill="1" applyBorder="1" applyAlignment="1"/>
    <xf numFmtId="164" fontId="6" fillId="0" borderId="0" xfId="3" applyNumberFormat="1" applyFont="1" applyFill="1" applyBorder="1" applyAlignment="1">
      <alignment horizontal="center"/>
    </xf>
    <xf numFmtId="165" fontId="6" fillId="0" borderId="0" xfId="3" applyNumberFormat="1" applyFont="1" applyBorder="1" applyAlignment="1"/>
    <xf numFmtId="165" fontId="6" fillId="0" borderId="11" xfId="3" applyNumberFormat="1" applyFont="1" applyBorder="1" applyAlignment="1"/>
    <xf numFmtId="164" fontId="8" fillId="0" borderId="0" xfId="3" applyNumberFormat="1" applyFont="1" applyFill="1" applyAlignment="1"/>
    <xf numFmtId="164" fontId="6" fillId="0" borderId="11" xfId="3" applyNumberFormat="1" applyFont="1" applyBorder="1" applyAlignment="1"/>
    <xf numFmtId="164" fontId="6" fillId="0" borderId="10" xfId="3" applyNumberFormat="1" applyFont="1" applyFill="1" applyBorder="1" applyAlignment="1"/>
    <xf numFmtId="164" fontId="6" fillId="0" borderId="0" xfId="3" applyNumberFormat="1" applyFont="1" applyBorder="1" applyAlignment="1"/>
    <xf numFmtId="0" fontId="6" fillId="0" borderId="0" xfId="3" applyNumberFormat="1" applyFont="1" applyFill="1" applyBorder="1" applyAlignment="1">
      <alignment horizontal="left" indent="1"/>
    </xf>
    <xf numFmtId="0" fontId="6" fillId="0" borderId="0" xfId="3" applyNumberFormat="1" applyFont="1" applyFill="1" applyAlignment="1">
      <alignment horizontal="center" vertical="top"/>
    </xf>
    <xf numFmtId="0" fontId="6" fillId="0" borderId="0" xfId="3" applyNumberFormat="1" applyFont="1" applyFill="1" applyAlignment="1">
      <alignment vertical="top"/>
    </xf>
    <xf numFmtId="0" fontId="6" fillId="0" borderId="0" xfId="3" quotePrefix="1" applyNumberFormat="1" applyFont="1" applyFill="1" applyBorder="1" applyAlignment="1">
      <alignment horizontal="left"/>
    </xf>
    <xf numFmtId="0" fontId="16" fillId="0" borderId="0" xfId="3" applyNumberFormat="1" applyFont="1" applyAlignment="1"/>
    <xf numFmtId="0" fontId="8" fillId="0" borderId="10" xfId="3" applyNumberFormat="1" applyFont="1" applyFill="1" applyBorder="1" applyAlignment="1"/>
    <xf numFmtId="0" fontId="8" fillId="0" borderId="0" xfId="3" applyNumberFormat="1" applyFont="1" applyFill="1" applyBorder="1" applyAlignment="1"/>
    <xf numFmtId="0" fontId="8" fillId="0" borderId="11" xfId="3" applyNumberFormat="1" applyFont="1" applyFill="1" applyBorder="1" applyAlignment="1"/>
    <xf numFmtId="0" fontId="19" fillId="0" borderId="0" xfId="3" applyNumberFormat="1" applyFont="1" applyFill="1" applyBorder="1" applyAlignment="1"/>
    <xf numFmtId="0" fontId="6" fillId="0" borderId="0" xfId="3" applyNumberFormat="1" applyFont="1" applyFill="1" applyAlignment="1">
      <alignment horizontal="left" vertical="center" indent="1"/>
    </xf>
    <xf numFmtId="165" fontId="6" fillId="0" borderId="15" xfId="3" applyNumberFormat="1" applyFont="1" applyFill="1" applyBorder="1" applyAlignment="1"/>
    <xf numFmtId="171" fontId="6" fillId="0" borderId="16" xfId="3" applyNumberFormat="1" applyFont="1" applyBorder="1" applyAlignment="1"/>
    <xf numFmtId="165" fontId="6" fillId="0" borderId="16" xfId="3" applyNumberFormat="1" applyFont="1" applyFill="1" applyBorder="1" applyAlignment="1"/>
    <xf numFmtId="165" fontId="6" fillId="0" borderId="17" xfId="3" applyNumberFormat="1" applyFont="1" applyFill="1" applyBorder="1" applyAlignment="1"/>
    <xf numFmtId="172" fontId="6" fillId="0" borderId="10" xfId="3" applyNumberFormat="1" applyFont="1" applyFill="1" applyBorder="1" applyAlignment="1">
      <alignment horizontal="right"/>
    </xf>
    <xf numFmtId="172" fontId="6" fillId="0" borderId="0" xfId="3" applyNumberFormat="1" applyFont="1" applyFill="1" applyBorder="1" applyAlignment="1">
      <alignment horizontal="right"/>
    </xf>
    <xf numFmtId="172" fontId="6" fillId="0" borderId="0" xfId="3" applyNumberFormat="1" applyFont="1" applyBorder="1" applyAlignment="1"/>
    <xf numFmtId="172" fontId="6" fillId="0" borderId="11" xfId="3" applyNumberFormat="1" applyFont="1" applyBorder="1" applyAlignment="1"/>
    <xf numFmtId="172" fontId="13" fillId="0" borderId="0" xfId="3" applyNumberFormat="1" applyFont="1" applyBorder="1" applyAlignment="1"/>
    <xf numFmtId="165" fontId="18" fillId="0" borderId="0" xfId="3" applyNumberFormat="1" applyFont="1" applyFill="1" applyBorder="1" applyAlignment="1"/>
    <xf numFmtId="164" fontId="6" fillId="0" borderId="0" xfId="1" applyNumberFormat="1" applyFont="1" applyFill="1" applyBorder="1"/>
    <xf numFmtId="165" fontId="20" fillId="0" borderId="10" xfId="3" applyNumberFormat="1" applyFont="1" applyBorder="1" applyAlignment="1"/>
    <xf numFmtId="0" fontId="6" fillId="0" borderId="0" xfId="3" applyNumberFormat="1" applyFont="1" applyBorder="1" applyAlignment="1">
      <alignment horizontal="center" wrapText="1"/>
    </xf>
    <xf numFmtId="0" fontId="6" fillId="0" borderId="11" xfId="3" applyNumberFormat="1" applyFont="1" applyBorder="1" applyAlignment="1">
      <alignment horizontal="center" wrapText="1"/>
    </xf>
    <xf numFmtId="0" fontId="13" fillId="0" borderId="0" xfId="3" applyNumberFormat="1" applyFont="1" applyBorder="1" applyAlignment="1">
      <alignment horizontal="center" wrapText="1"/>
    </xf>
    <xf numFmtId="0" fontId="8" fillId="0" borderId="10" xfId="3" applyNumberFormat="1" applyFont="1" applyBorder="1" applyAlignment="1"/>
    <xf numFmtId="0" fontId="8" fillId="0" borderId="0" xfId="3" applyNumberFormat="1" applyFont="1" applyBorder="1" applyAlignment="1"/>
    <xf numFmtId="0" fontId="8" fillId="0" borderId="11" xfId="3" applyNumberFormat="1" applyFont="1" applyBorder="1" applyAlignment="1"/>
    <xf numFmtId="0" fontId="19" fillId="0" borderId="0" xfId="3" applyNumberFormat="1" applyFont="1" applyBorder="1" applyAlignment="1"/>
    <xf numFmtId="165" fontId="8" fillId="0" borderId="10" xfId="3" applyNumberFormat="1" applyFont="1" applyBorder="1" applyAlignment="1"/>
    <xf numFmtId="171" fontId="6" fillId="0" borderId="0" xfId="3" applyNumberFormat="1" applyFont="1" applyBorder="1" applyAlignment="1"/>
    <xf numFmtId="171" fontId="6" fillId="0" borderId="11" xfId="3" applyNumberFormat="1" applyFont="1" applyBorder="1" applyAlignment="1"/>
    <xf numFmtId="171" fontId="18" fillId="0" borderId="0" xfId="3" applyNumberFormat="1" applyFont="1" applyBorder="1" applyAlignment="1"/>
    <xf numFmtId="0" fontId="8" fillId="0" borderId="18" xfId="3" applyNumberFormat="1" applyFont="1" applyBorder="1" applyAlignment="1"/>
    <xf numFmtId="171" fontId="6" fillId="0" borderId="19" xfId="3" applyNumberFormat="1" applyFont="1" applyBorder="1" applyAlignment="1"/>
    <xf numFmtId="171" fontId="6" fillId="0" borderId="20" xfId="3" applyNumberFormat="1" applyFont="1" applyBorder="1" applyAlignment="1"/>
    <xf numFmtId="169" fontId="21" fillId="0" borderId="0" xfId="3" applyFont="1" applyFill="1" applyBorder="1" applyAlignment="1"/>
    <xf numFmtId="0" fontId="19" fillId="0" borderId="0" xfId="3" applyNumberFormat="1" applyFont="1" applyAlignment="1"/>
    <xf numFmtId="0" fontId="6" fillId="2" borderId="0" xfId="0" applyNumberFormat="1" applyFont="1" applyFill="1" applyAlignment="1"/>
    <xf numFmtId="0" fontId="7" fillId="2" borderId="3" xfId="0" applyNumberFormat="1" applyFont="1" applyFill="1" applyBorder="1" applyAlignment="1">
      <alignment horizontal="center" wrapText="1"/>
    </xf>
    <xf numFmtId="0" fontId="7" fillId="2" borderId="0" xfId="0" applyNumberFormat="1" applyFont="1" applyFill="1" applyAlignment="1">
      <alignment wrapText="1"/>
    </xf>
    <xf numFmtId="0" fontId="7" fillId="2" borderId="0" xfId="0" applyNumberFormat="1" applyFont="1" applyFill="1" applyAlignment="1">
      <alignment horizontal="center" wrapText="1"/>
    </xf>
    <xf numFmtId="0" fontId="7" fillId="2" borderId="0" xfId="0" applyNumberFormat="1" applyFont="1" applyFill="1" applyAlignment="1"/>
    <xf numFmtId="164" fontId="6" fillId="0" borderId="0" xfId="0" applyNumberFormat="1" applyFont="1" applyFill="1" applyAlignment="1">
      <alignment horizontal="left" wrapText="1"/>
    </xf>
    <xf numFmtId="0" fontId="7" fillId="2" borderId="0" xfId="0" quotePrefix="1" applyNumberFormat="1" applyFont="1" applyFill="1" applyAlignment="1">
      <alignment horizontal="left"/>
    </xf>
    <xf numFmtId="0" fontId="7" fillId="2" borderId="0" xfId="0" quotePrefix="1" applyNumberFormat="1" applyFont="1" applyFill="1" applyAlignment="1">
      <alignment horizontal="left" indent="1"/>
    </xf>
    <xf numFmtId="0" fontId="6" fillId="0" borderId="0" xfId="0" applyNumberFormat="1" applyFont="1" applyFill="1" applyAlignment="1"/>
    <xf numFmtId="0" fontId="7" fillId="0" borderId="0" xfId="0" quotePrefix="1" applyNumberFormat="1" applyFont="1" applyFill="1" applyAlignment="1">
      <alignment horizontal="left"/>
    </xf>
    <xf numFmtId="0" fontId="7" fillId="0" borderId="0" xfId="0" quotePrefix="1" applyNumberFormat="1" applyFont="1" applyFill="1" applyAlignment="1">
      <alignment horizontal="left" indent="1"/>
    </xf>
    <xf numFmtId="0" fontId="7" fillId="0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170" fontId="14" fillId="0" borderId="0" xfId="3" applyNumberFormat="1" applyFont="1" applyFill="1" applyBorder="1" applyAlignment="1"/>
    <xf numFmtId="0" fontId="17" fillId="0" borderId="0" xfId="3" applyNumberFormat="1" applyFont="1" applyFill="1" applyBorder="1" applyAlignment="1">
      <alignment horizontal="center"/>
    </xf>
    <xf numFmtId="169" fontId="4" fillId="0" borderId="0" xfId="3" applyFont="1" applyFill="1" applyBorder="1">
      <alignment horizontal="left" wrapText="1"/>
    </xf>
    <xf numFmtId="165" fontId="13" fillId="0" borderId="0" xfId="3" applyNumberFormat="1" applyFont="1" applyFill="1" applyBorder="1" applyAlignment="1"/>
    <xf numFmtId="164" fontId="18" fillId="0" borderId="0" xfId="3" applyNumberFormat="1" applyFont="1" applyFill="1" applyBorder="1" applyAlignment="1"/>
    <xf numFmtId="0" fontId="13" fillId="0" borderId="0" xfId="3" applyNumberFormat="1" applyFont="1" applyFill="1" applyBorder="1" applyAlignment="1"/>
    <xf numFmtId="0" fontId="27" fillId="0" borderId="0" xfId="0" applyFont="1" applyAlignment="1">
      <alignment horizontal="left" vertical="top"/>
    </xf>
    <xf numFmtId="0" fontId="19" fillId="0" borderId="0" xfId="0" applyFont="1"/>
    <xf numFmtId="0" fontId="28" fillId="0" borderId="0" xfId="0" applyFont="1"/>
    <xf numFmtId="0" fontId="19" fillId="0" borderId="0" xfId="0" applyFont="1" applyAlignment="1"/>
    <xf numFmtId="0" fontId="30" fillId="0" borderId="0" xfId="10" applyFont="1"/>
    <xf numFmtId="0" fontId="13" fillId="0" borderId="0" xfId="10" applyNumberFormat="1" applyFont="1" applyAlignment="1"/>
    <xf numFmtId="0" fontId="13" fillId="0" borderId="3" xfId="10" applyNumberFormat="1" applyFont="1" applyBorder="1" applyAlignment="1">
      <alignment horizontal="center" wrapText="1"/>
    </xf>
    <xf numFmtId="17" fontId="31" fillId="0" borderId="0" xfId="10" applyNumberFormat="1" applyFont="1" applyAlignment="1">
      <alignment horizontal="center" wrapText="1"/>
    </xf>
    <xf numFmtId="0" fontId="13" fillId="4" borderId="0" xfId="10" applyNumberFormat="1" applyFont="1" applyFill="1" applyBorder="1" applyAlignment="1">
      <alignment horizontal="center" wrapText="1"/>
    </xf>
    <xf numFmtId="0" fontId="13" fillId="4" borderId="0" xfId="10" applyNumberFormat="1" applyFont="1" applyFill="1" applyAlignment="1">
      <alignment horizontal="center"/>
    </xf>
    <xf numFmtId="164" fontId="13" fillId="4" borderId="0" xfId="10" applyNumberFormat="1" applyFont="1" applyFill="1" applyAlignment="1"/>
    <xf numFmtId="0" fontId="13" fillId="0" borderId="0" xfId="10" applyNumberFormat="1" applyFont="1" applyAlignment="1">
      <alignment horizontal="center"/>
    </xf>
    <xf numFmtId="164" fontId="13" fillId="0" borderId="0" xfId="10" applyNumberFormat="1" applyFont="1" applyAlignment="1"/>
    <xf numFmtId="0" fontId="13" fillId="0" borderId="0" xfId="10" applyNumberFormat="1" applyFont="1" applyBorder="1" applyAlignment="1">
      <alignment horizontal="center" wrapText="1"/>
    </xf>
    <xf numFmtId="0" fontId="13" fillId="0" borderId="0" xfId="10" quotePrefix="1" applyNumberFormat="1" applyFont="1" applyAlignment="1">
      <alignment horizontal="center"/>
    </xf>
    <xf numFmtId="164" fontId="6" fillId="5" borderId="0" xfId="10" applyNumberFormat="1" applyFont="1" applyFill="1" applyAlignment="1"/>
    <xf numFmtId="164" fontId="13" fillId="5" borderId="0" xfId="10" applyNumberFormat="1" applyFont="1" applyFill="1" applyAlignment="1"/>
    <xf numFmtId="0" fontId="7" fillId="2" borderId="0" xfId="0" applyNumberFormat="1" applyFont="1" applyFill="1" applyAlignment="1">
      <alignment horizontal="center"/>
    </xf>
    <xf numFmtId="173" fontId="19" fillId="0" borderId="0" xfId="0" applyNumberFormat="1" applyFont="1" applyFill="1" applyBorder="1" applyAlignment="1">
      <alignment horizontal="right" vertical="top"/>
    </xf>
    <xf numFmtId="173" fontId="28" fillId="0" borderId="21" xfId="0" applyNumberFormat="1" applyFont="1" applyFill="1" applyBorder="1"/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73" fontId="28" fillId="0" borderId="0" xfId="0" applyNumberFormat="1" applyFont="1" applyFill="1" applyBorder="1"/>
    <xf numFmtId="0" fontId="19" fillId="0" borderId="0" xfId="0" applyFont="1" applyFill="1" applyBorder="1"/>
    <xf numFmtId="0" fontId="29" fillId="0" borderId="0" xfId="0" applyFont="1" applyFill="1" applyBorder="1"/>
    <xf numFmtId="173" fontId="29" fillId="0" borderId="0" xfId="0" applyNumberFormat="1" applyFont="1" applyFill="1" applyBorder="1"/>
    <xf numFmtId="174" fontId="19" fillId="0" borderId="0" xfId="9" applyNumberFormat="1" applyFont="1" applyFill="1" applyBorder="1"/>
    <xf numFmtId="173" fontId="19" fillId="0" borderId="0" xfId="0" applyNumberFormat="1" applyFont="1" applyFill="1" applyBorder="1"/>
    <xf numFmtId="0" fontId="28" fillId="0" borderId="0" xfId="0" applyFont="1" applyFill="1" applyBorder="1"/>
    <xf numFmtId="0" fontId="19" fillId="0" borderId="0" xfId="0" applyFont="1" applyBorder="1"/>
    <xf numFmtId="164" fontId="6" fillId="0" borderId="0" xfId="0" quotePrefix="1" applyNumberFormat="1" applyFont="1" applyFill="1" applyBorder="1" applyAlignment="1">
      <alignment horizontal="left"/>
    </xf>
    <xf numFmtId="165" fontId="13" fillId="0" borderId="0" xfId="0" quotePrefix="1" applyNumberFormat="1" applyFont="1" applyFill="1" applyBorder="1" applyAlignment="1">
      <alignment horizontal="left"/>
    </xf>
    <xf numFmtId="165" fontId="6" fillId="0" borderId="0" xfId="0" quotePrefix="1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165" fontId="22" fillId="0" borderId="0" xfId="0" quotePrefix="1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5" fontId="23" fillId="0" borderId="0" xfId="0" quotePrefix="1" applyNumberFormat="1" applyFont="1" applyFill="1" applyBorder="1" applyAlignment="1">
      <alignment horizontal="left"/>
    </xf>
    <xf numFmtId="164" fontId="13" fillId="0" borderId="0" xfId="4" quotePrefix="1" applyNumberFormat="1" applyFont="1" applyFill="1" applyBorder="1" applyAlignment="1">
      <alignment horizontal="left"/>
    </xf>
    <xf numFmtId="164" fontId="6" fillId="0" borderId="0" xfId="4" applyNumberFormat="1" applyFont="1" applyFill="1" applyBorder="1" applyAlignment="1"/>
    <xf numFmtId="168" fontId="13" fillId="0" borderId="0" xfId="0" quotePrefix="1" applyNumberFormat="1" applyFont="1" applyFill="1" applyBorder="1" applyAlignment="1">
      <alignment horizontal="left"/>
    </xf>
    <xf numFmtId="168" fontId="6" fillId="0" borderId="0" xfId="0" applyNumberFormat="1" applyFont="1" applyFill="1" applyBorder="1" applyAlignment="1"/>
    <xf numFmtId="9" fontId="6" fillId="0" borderId="0" xfId="0" quotePrefix="1" applyNumberFormat="1" applyFont="1" applyFill="1" applyBorder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4" fontId="22" fillId="0" borderId="0" xfId="0" applyNumberFormat="1" applyFont="1" applyFill="1"/>
    <xf numFmtId="164" fontId="6" fillId="0" borderId="0" xfId="0" applyNumberFormat="1" applyFont="1" applyFill="1"/>
    <xf numFmtId="167" fontId="22" fillId="0" borderId="0" xfId="0" applyNumberFormat="1" applyFont="1" applyFill="1" applyBorder="1"/>
    <xf numFmtId="0" fontId="6" fillId="0" borderId="0" xfId="0" quotePrefix="1" applyFont="1" applyFill="1" applyAlignment="1">
      <alignment horizontal="center"/>
    </xf>
    <xf numFmtId="164" fontId="6" fillId="0" borderId="1" xfId="0" applyNumberFormat="1" applyFont="1" applyFill="1" applyBorder="1"/>
    <xf numFmtId="167" fontId="6" fillId="0" borderId="0" xfId="0" applyNumberFormat="1" applyFont="1" applyFill="1" applyBorder="1"/>
    <xf numFmtId="0" fontId="6" fillId="0" borderId="0" xfId="0" quotePrefix="1" applyFont="1" applyFill="1" applyAlignment="1">
      <alignment horizontal="left"/>
    </xf>
    <xf numFmtId="164" fontId="22" fillId="0" borderId="1" xfId="0" applyNumberFormat="1" applyFont="1" applyFill="1" applyBorder="1"/>
    <xf numFmtId="0" fontId="7" fillId="0" borderId="0" xfId="0" applyFont="1" applyAlignment="1"/>
    <xf numFmtId="0" fontId="7" fillId="0" borderId="0" xfId="0" applyFont="1" applyFill="1" applyAlignment="1"/>
    <xf numFmtId="0" fontId="13" fillId="0" borderId="0" xfId="0" applyFont="1"/>
    <xf numFmtId="0" fontId="7" fillId="0" borderId="0" xfId="0" applyFont="1" applyFill="1" applyAlignment="1">
      <alignment horizontal="center" wrapText="1"/>
    </xf>
    <xf numFmtId="16" fontId="6" fillId="0" borderId="0" xfId="0" quotePrefix="1" applyNumberFormat="1" applyFont="1" applyFill="1" applyAlignment="1">
      <alignment horizontal="center"/>
    </xf>
    <xf numFmtId="44" fontId="13" fillId="0" borderId="0" xfId="2" applyFo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7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/>
    <xf numFmtId="166" fontId="7" fillId="0" borderId="3" xfId="0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33" fillId="0" borderId="0" xfId="0" applyFont="1" applyFill="1" applyAlignment="1">
      <alignment horizontal="left"/>
    </xf>
    <xf numFmtId="0" fontId="34" fillId="0" borderId="0" xfId="0" applyFont="1" applyFill="1"/>
    <xf numFmtId="3" fontId="13" fillId="0" borderId="0" xfId="0" applyNumberFormat="1" applyFont="1" applyFill="1"/>
    <xf numFmtId="164" fontId="22" fillId="0" borderId="0" xfId="0" applyNumberFormat="1" applyFont="1" applyFill="1" applyBorder="1"/>
    <xf numFmtId="3" fontId="6" fillId="0" borderId="0" xfId="0" applyNumberFormat="1" applyFont="1" applyFill="1"/>
    <xf numFmtId="164" fontId="13" fillId="0" borderId="0" xfId="0" applyNumberFormat="1" applyFont="1"/>
    <xf numFmtId="10" fontId="6" fillId="0" borderId="0" xfId="0" applyNumberFormat="1" applyFont="1" applyFill="1"/>
    <xf numFmtId="0" fontId="13" fillId="0" borderId="0" xfId="0" quotePrefix="1" applyFont="1" applyFill="1" applyAlignment="1">
      <alignment horizontal="center"/>
    </xf>
    <xf numFmtId="10" fontId="13" fillId="0" borderId="0" xfId="0" applyNumberFormat="1" applyFont="1" applyFill="1"/>
    <xf numFmtId="3" fontId="13" fillId="0" borderId="0" xfId="0" applyNumberFormat="1" applyFont="1"/>
    <xf numFmtId="3" fontId="6" fillId="0" borderId="0" xfId="0" applyNumberFormat="1" applyFont="1" applyFill="1" applyBorder="1"/>
    <xf numFmtId="44" fontId="13" fillId="0" borderId="0" xfId="0" applyNumberFormat="1" applyFont="1" applyFill="1"/>
    <xf numFmtId="44" fontId="22" fillId="0" borderId="0" xfId="0" applyNumberFormat="1" applyFont="1" applyFill="1" applyAlignment="1">
      <alignment horizontal="center"/>
    </xf>
    <xf numFmtId="44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13" fillId="0" borderId="0" xfId="0" applyNumberFormat="1" applyFont="1"/>
    <xf numFmtId="165" fontId="13" fillId="0" borderId="0" xfId="0" applyNumberFormat="1" applyFont="1" applyAlignment="1">
      <alignment horizontal="center"/>
    </xf>
    <xf numFmtId="165" fontId="13" fillId="0" borderId="0" xfId="0" applyNumberFormat="1" applyFont="1"/>
    <xf numFmtId="0" fontId="17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41" fontId="7" fillId="0" borderId="0" xfId="0" applyNumberFormat="1" applyFont="1" applyFill="1" applyBorder="1" applyAlignment="1">
      <alignment horizontal="center" wrapText="1"/>
    </xf>
    <xf numFmtId="41" fontId="7" fillId="0" borderId="3" xfId="0" applyNumberFormat="1" applyFont="1" applyFill="1" applyBorder="1" applyAlignment="1">
      <alignment horizontal="center" wrapText="1"/>
    </xf>
    <xf numFmtId="41" fontId="7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165" fontId="22" fillId="0" borderId="0" xfId="0" applyNumberFormat="1" applyFont="1" applyFill="1" applyBorder="1"/>
    <xf numFmtId="165" fontId="13" fillId="0" borderId="0" xfId="0" applyNumberFormat="1" applyFont="1" applyFill="1" applyBorder="1"/>
    <xf numFmtId="165" fontId="13" fillId="0" borderId="2" xfId="0" applyNumberFormat="1" applyFont="1" applyFill="1" applyBorder="1"/>
    <xf numFmtId="165" fontId="13" fillId="0" borderId="0" xfId="0" applyNumberFormat="1" applyFont="1" applyFill="1"/>
    <xf numFmtId="165" fontId="13" fillId="0" borderId="0" xfId="0" applyNumberFormat="1" applyFont="1" applyFill="1" applyAlignment="1">
      <alignment horizontal="center"/>
    </xf>
    <xf numFmtId="10" fontId="13" fillId="0" borderId="0" xfId="9" applyNumberFormat="1" applyFont="1"/>
    <xf numFmtId="9" fontId="13" fillId="0" borderId="0" xfId="9" applyFont="1"/>
    <xf numFmtId="165" fontId="13" fillId="0" borderId="0" xfId="9" applyNumberFormat="1" applyFont="1"/>
    <xf numFmtId="0" fontId="35" fillId="0" borderId="0" xfId="0" applyFont="1"/>
    <xf numFmtId="0" fontId="35" fillId="0" borderId="0" xfId="0" applyFont="1" applyFill="1"/>
    <xf numFmtId="0" fontId="13" fillId="0" borderId="3" xfId="0" applyFont="1" applyFill="1" applyBorder="1" applyAlignment="1"/>
    <xf numFmtId="165" fontId="22" fillId="0" borderId="0" xfId="0" applyNumberFormat="1" applyFont="1" applyFill="1"/>
    <xf numFmtId="164" fontId="13" fillId="0" borderId="0" xfId="0" applyNumberFormat="1" applyFont="1" applyFill="1" applyBorder="1"/>
    <xf numFmtId="167" fontId="13" fillId="0" borderId="1" xfId="0" applyNumberFormat="1" applyFont="1" applyFill="1" applyBorder="1"/>
    <xf numFmtId="164" fontId="35" fillId="0" borderId="0" xfId="0" applyNumberFormat="1" applyFont="1"/>
    <xf numFmtId="165" fontId="17" fillId="0" borderId="0" xfId="0" quotePrefix="1" applyNumberFormat="1" applyFont="1" applyFill="1" applyAlignment="1">
      <alignment horizontal="left"/>
    </xf>
    <xf numFmtId="164" fontId="13" fillId="0" borderId="0" xfId="0" quotePrefix="1" applyNumberFormat="1" applyFont="1" applyFill="1" applyAlignment="1">
      <alignment horizontal="left"/>
    </xf>
    <xf numFmtId="168" fontId="13" fillId="0" borderId="0" xfId="0" quotePrefix="1" applyNumberFormat="1" applyFont="1" applyFill="1" applyAlignment="1">
      <alignment horizontal="left"/>
    </xf>
    <xf numFmtId="168" fontId="6" fillId="2" borderId="0" xfId="0" applyNumberFormat="1" applyFont="1" applyFill="1" applyAlignment="1"/>
    <xf numFmtId="9" fontId="6" fillId="0" borderId="23" xfId="0" quotePrefix="1" applyNumberFormat="1" applyFont="1" applyBorder="1"/>
    <xf numFmtId="165" fontId="13" fillId="0" borderId="0" xfId="0" quotePrefix="1" applyNumberFormat="1" applyFont="1" applyFill="1" applyAlignment="1">
      <alignment horizontal="left"/>
    </xf>
    <xf numFmtId="165" fontId="22" fillId="0" borderId="0" xfId="0" quotePrefix="1" applyNumberFormat="1" applyFont="1" applyFill="1" applyAlignment="1">
      <alignment horizontal="left"/>
    </xf>
    <xf numFmtId="168" fontId="6" fillId="0" borderId="0" xfId="0" applyNumberFormat="1" applyFont="1" applyFill="1" applyAlignment="1"/>
    <xf numFmtId="0" fontId="6" fillId="0" borderId="3" xfId="0" quotePrefix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1" xfId="2" applyNumberFormat="1" applyFont="1" applyFill="1" applyBorder="1"/>
    <xf numFmtId="165" fontId="6" fillId="0" borderId="0" xfId="2" applyNumberFormat="1" applyFont="1" applyFill="1"/>
    <xf numFmtId="165" fontId="15" fillId="0" borderId="0" xfId="2" applyNumberFormat="1" applyFont="1" applyFill="1"/>
    <xf numFmtId="165" fontId="15" fillId="0" borderId="1" xfId="2" applyNumberFormat="1" applyFont="1" applyFill="1" applyBorder="1"/>
    <xf numFmtId="165" fontId="6" fillId="0" borderId="0" xfId="0" quotePrefix="1" applyNumberFormat="1" applyFont="1" applyFill="1" applyAlignment="1">
      <alignment horizontal="left"/>
    </xf>
    <xf numFmtId="10" fontId="6" fillId="0" borderId="0" xfId="0" quotePrefix="1" applyNumberFormat="1" applyFont="1" applyFill="1" applyAlignment="1">
      <alignment horizontal="center"/>
    </xf>
    <xf numFmtId="165" fontId="6" fillId="0" borderId="1" xfId="0" quotePrefix="1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0" fontId="6" fillId="0" borderId="3" xfId="0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/>
    </xf>
    <xf numFmtId="164" fontId="6" fillId="0" borderId="16" xfId="0" applyNumberFormat="1" applyFont="1" applyFill="1" applyBorder="1"/>
    <xf numFmtId="164" fontId="3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left"/>
    </xf>
    <xf numFmtId="164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0" fillId="0" borderId="0" xfId="0" applyFill="1"/>
    <xf numFmtId="0" fontId="20" fillId="0" borderId="0" xfId="0" applyFont="1" applyFill="1" applyAlignment="1">
      <alignment horizontal="center"/>
    </xf>
    <xf numFmtId="164" fontId="7" fillId="0" borderId="16" xfId="0" applyNumberFormat="1" applyFont="1" applyFill="1" applyBorder="1"/>
    <xf numFmtId="164" fontId="7" fillId="0" borderId="0" xfId="0" applyNumberFormat="1" applyFont="1" applyFill="1" applyBorder="1"/>
    <xf numFmtId="164" fontId="7" fillId="0" borderId="3" xfId="0" applyNumberFormat="1" applyFont="1" applyFill="1" applyBorder="1"/>
    <xf numFmtId="164" fontId="7" fillId="0" borderId="0" xfId="0" applyNumberFormat="1" applyFont="1" applyFill="1"/>
    <xf numFmtId="0" fontId="36" fillId="0" borderId="0" xfId="0" applyFont="1" applyFill="1"/>
    <xf numFmtId="0" fontId="1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/>
    <xf numFmtId="0" fontId="32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9" fillId="0" borderId="0" xfId="0" applyFont="1" applyBorder="1" applyAlignment="1"/>
    <xf numFmtId="0" fontId="7" fillId="2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3" fillId="0" borderId="4" xfId="10" quotePrefix="1" applyNumberFormat="1" applyFont="1" applyBorder="1" applyAlignment="1">
      <alignment horizontal="center" wrapText="1"/>
    </xf>
    <xf numFmtId="0" fontId="13" fillId="0" borderId="5" xfId="10" applyNumberFormat="1" applyFont="1" applyBorder="1" applyAlignment="1">
      <alignment horizontal="center" wrapText="1"/>
    </xf>
    <xf numFmtId="0" fontId="13" fillId="0" borderId="6" xfId="10" applyNumberFormat="1" applyFont="1" applyBorder="1" applyAlignment="1">
      <alignment horizontal="center" wrapText="1"/>
    </xf>
    <xf numFmtId="0" fontId="17" fillId="0" borderId="0" xfId="10" quotePrefix="1" applyNumberFormat="1" applyFont="1" applyAlignment="1">
      <alignment horizontal="center"/>
    </xf>
    <xf numFmtId="0" fontId="17" fillId="0" borderId="0" xfId="10" applyNumberFormat="1" applyFont="1" applyAlignment="1">
      <alignment horizontal="center"/>
    </xf>
    <xf numFmtId="0" fontId="13" fillId="4" borderId="4" xfId="10" quotePrefix="1" applyNumberFormat="1" applyFont="1" applyFill="1" applyBorder="1" applyAlignment="1">
      <alignment horizontal="center" wrapText="1"/>
    </xf>
    <xf numFmtId="0" fontId="13" fillId="4" borderId="5" xfId="10" applyNumberFormat="1" applyFont="1" applyFill="1" applyBorder="1" applyAlignment="1">
      <alignment horizontal="center" wrapText="1"/>
    </xf>
    <xf numFmtId="0" fontId="13" fillId="4" borderId="6" xfId="10" applyNumberFormat="1" applyFont="1" applyFill="1" applyBorder="1" applyAlignment="1">
      <alignment horizontal="center" wrapText="1"/>
    </xf>
    <xf numFmtId="0" fontId="19" fillId="0" borderId="22" xfId="0" applyFont="1" applyBorder="1" applyAlignment="1">
      <alignment horizontal="left" vertical="top"/>
    </xf>
    <xf numFmtId="0" fontId="32" fillId="0" borderId="0" xfId="0" applyFont="1" applyBorder="1" applyAlignment="1">
      <alignment horizontal="center" vertical="center" wrapText="1"/>
    </xf>
  </cellXfs>
  <cellStyles count="15">
    <cellStyle name="Comma 10 2 2 3" xfId="1"/>
    <cellStyle name="Comma 2" xfId="4"/>
    <cellStyle name="Currency" xfId="2" builtinId="4"/>
    <cellStyle name="Currency 2" xfId="11"/>
    <cellStyle name="Currency 5" xfId="12"/>
    <cellStyle name="Normal" xfId="0" builtinId="0"/>
    <cellStyle name="Normal - Style1 2 2 3 4" xfId="6"/>
    <cellStyle name="Normal 2" xfId="3"/>
    <cellStyle name="Normal 2 2" xfId="5"/>
    <cellStyle name="Normal 3" xfId="10"/>
    <cellStyle name="Normal 510" xfId="14"/>
    <cellStyle name="Normal 7" xfId="13"/>
    <cellStyle name="Percent" xfId="9" builtinId="5"/>
    <cellStyle name="Percent 10" xfId="7"/>
    <cellStyle name="Report Heading" xfId="8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63" Type="http://schemas.openxmlformats.org/officeDocument/2006/relationships/externalLink" Target="externalLinks/externalLink52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externalLink" Target="externalLinks/externalLink47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0.xml"/><Relationship Id="rId1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53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48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62" Type="http://schemas.openxmlformats.org/officeDocument/2006/relationships/externalLink" Target="externalLinks/externalLink51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49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8.xml"/><Relationship Id="rId34" Type="http://schemas.openxmlformats.org/officeDocument/2006/relationships/externalLink" Target="externalLinks/externalLink23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%20%202017%20GRC/Supplemental%204-3-2017/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 refreshError="1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G24" sqref="G24"/>
    </sheetView>
  </sheetViews>
  <sheetFormatPr defaultColWidth="8.88671875" defaultRowHeight="10.199999999999999" x14ac:dyDescent="0.2"/>
  <cols>
    <col min="1" max="1" width="4.5546875" style="171" bestFit="1" customWidth="1"/>
    <col min="2" max="2" width="30.6640625" style="171" customWidth="1"/>
    <col min="3" max="3" width="18.5546875" style="171" bestFit="1" customWidth="1"/>
    <col min="4" max="5" width="10.33203125" style="171" bestFit="1" customWidth="1"/>
    <col min="6" max="6" width="15.88671875" style="171" bestFit="1" customWidth="1"/>
    <col min="7" max="7" width="9.5546875" style="171" bestFit="1" customWidth="1"/>
    <col min="8" max="8" width="10.33203125" style="171" bestFit="1" customWidth="1"/>
    <col min="9" max="9" width="9.5546875" style="171" bestFit="1" customWidth="1"/>
    <col min="10" max="10" width="0.88671875" style="171" customWidth="1"/>
    <col min="11" max="11" width="10.88671875" style="171" bestFit="1" customWidth="1"/>
    <col min="12" max="12" width="7.5546875" style="171" bestFit="1" customWidth="1"/>
    <col min="13" max="13" width="8.77734375" style="171" bestFit="1" customWidth="1"/>
    <col min="14" max="16384" width="8.88671875" style="171"/>
  </cols>
  <sheetData>
    <row r="1" spans="1:13" x14ac:dyDescent="0.2">
      <c r="A1" s="265" t="s">
        <v>16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x14ac:dyDescent="0.2">
      <c r="A2" s="265" t="s">
        <v>247</v>
      </c>
      <c r="B2" s="265"/>
      <c r="C2" s="265"/>
      <c r="D2" s="265"/>
      <c r="E2" s="265"/>
      <c r="F2" s="265"/>
      <c r="G2" s="265"/>
      <c r="H2" s="265"/>
      <c r="I2" s="265"/>
      <c r="J2" s="266"/>
      <c r="K2" s="266"/>
      <c r="L2" s="266"/>
      <c r="M2" s="266"/>
    </row>
    <row r="3" spans="1:13" x14ac:dyDescent="0.2">
      <c r="A3" s="265" t="s">
        <v>100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x14ac:dyDescent="0.2">
      <c r="A4" s="265" t="s">
        <v>93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x14ac:dyDescent="0.2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3" x14ac:dyDescent="0.2">
      <c r="A6" s="264"/>
      <c r="B6" s="267"/>
      <c r="C6" s="267"/>
      <c r="D6" s="267"/>
      <c r="E6" s="267"/>
      <c r="F6" s="267"/>
      <c r="G6" s="267"/>
      <c r="H6" s="267"/>
      <c r="I6" s="267"/>
      <c r="J6" s="267"/>
      <c r="K6" s="268"/>
      <c r="L6" s="268"/>
      <c r="M6" s="268"/>
    </row>
    <row r="7" spans="1:13" ht="10.199999999999999" customHeight="1" x14ac:dyDescent="0.2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175"/>
      <c r="L7" s="175"/>
      <c r="M7" s="175"/>
    </row>
    <row r="8" spans="1:13" ht="15" customHeight="1" x14ac:dyDescent="0.2">
      <c r="A8" s="206" t="s">
        <v>65</v>
      </c>
      <c r="B8" s="175"/>
      <c r="C8" s="175"/>
      <c r="D8" s="175" t="s">
        <v>67</v>
      </c>
      <c r="E8" s="175" t="s">
        <v>68</v>
      </c>
      <c r="F8" s="175" t="s">
        <v>68</v>
      </c>
      <c r="G8" s="175" t="s">
        <v>32</v>
      </c>
      <c r="H8" s="175" t="s">
        <v>68</v>
      </c>
      <c r="I8" s="175" t="s">
        <v>68</v>
      </c>
      <c r="J8" s="175"/>
      <c r="K8" s="175" t="s">
        <v>68</v>
      </c>
      <c r="L8" s="175" t="s">
        <v>32</v>
      </c>
      <c r="M8" s="175" t="s">
        <v>32</v>
      </c>
    </row>
    <row r="9" spans="1:13" ht="15" customHeight="1" x14ac:dyDescent="0.2">
      <c r="A9" s="207" t="s">
        <v>66</v>
      </c>
      <c r="B9" s="181"/>
      <c r="C9" s="208" t="s">
        <v>14</v>
      </c>
      <c r="D9" s="209">
        <v>7</v>
      </c>
      <c r="E9" s="209" t="s">
        <v>39</v>
      </c>
      <c r="F9" s="209" t="s">
        <v>69</v>
      </c>
      <c r="G9" s="209">
        <v>40</v>
      </c>
      <c r="H9" s="209" t="s">
        <v>40</v>
      </c>
      <c r="I9" s="209" t="s">
        <v>41</v>
      </c>
      <c r="J9" s="210"/>
      <c r="K9" s="209" t="s">
        <v>70</v>
      </c>
      <c r="L9" s="209">
        <v>35</v>
      </c>
      <c r="M9" s="209">
        <v>43</v>
      </c>
    </row>
    <row r="10" spans="1:13" x14ac:dyDescent="0.2">
      <c r="A10" s="178"/>
      <c r="B10" s="179" t="s">
        <v>13</v>
      </c>
      <c r="C10" s="179" t="s">
        <v>12</v>
      </c>
      <c r="D10" s="179" t="s">
        <v>11</v>
      </c>
      <c r="E10" s="179" t="s">
        <v>10</v>
      </c>
      <c r="F10" s="179" t="s">
        <v>94</v>
      </c>
      <c r="G10" s="179" t="s">
        <v>8</v>
      </c>
      <c r="H10" s="179" t="s">
        <v>7</v>
      </c>
      <c r="I10" s="179" t="s">
        <v>6</v>
      </c>
      <c r="J10" s="149"/>
      <c r="K10" s="179" t="s">
        <v>5</v>
      </c>
      <c r="L10" s="179" t="s">
        <v>4</v>
      </c>
      <c r="M10" s="179" t="s">
        <v>3</v>
      </c>
    </row>
    <row r="11" spans="1:13" x14ac:dyDescent="0.2">
      <c r="A11" s="179">
        <v>1</v>
      </c>
      <c r="B11" s="179" t="s">
        <v>253</v>
      </c>
      <c r="C11" s="179"/>
      <c r="D11" s="179"/>
      <c r="E11" s="179"/>
      <c r="F11" s="179"/>
      <c r="G11" s="179"/>
      <c r="H11" s="179"/>
      <c r="I11" s="179"/>
      <c r="J11" s="149"/>
      <c r="K11" s="179"/>
      <c r="L11" s="179"/>
      <c r="M11" s="179"/>
    </row>
    <row r="12" spans="1:13" x14ac:dyDescent="0.2">
      <c r="A12" s="179">
        <f t="shared" ref="A12:A21" si="0">A11+1</f>
        <v>2</v>
      </c>
      <c r="B12" s="184" t="s">
        <v>63</v>
      </c>
      <c r="C12" s="179"/>
      <c r="D12" s="179"/>
      <c r="E12" s="179"/>
      <c r="F12" s="179"/>
      <c r="G12" s="179"/>
      <c r="H12" s="179"/>
      <c r="I12" s="179"/>
      <c r="J12" s="149"/>
      <c r="K12" s="179"/>
      <c r="L12" s="179"/>
      <c r="M12" s="179"/>
    </row>
    <row r="13" spans="1:13" x14ac:dyDescent="0.2">
      <c r="A13" s="179">
        <f t="shared" si="0"/>
        <v>3</v>
      </c>
      <c r="B13" s="178" t="s">
        <v>42</v>
      </c>
      <c r="C13" s="191" t="s">
        <v>243</v>
      </c>
      <c r="D13" s="211">
        <f>'2017 GRC PCA Costs (2018 ERF)'!$E$25</f>
        <v>684554175.04511344</v>
      </c>
      <c r="E13" s="211">
        <f>'2017 GRC PCA Costs (2018 ERF)'!$F$25</f>
        <v>167825427.28655797</v>
      </c>
      <c r="F13" s="212">
        <f>SUM(K13:M13)</f>
        <v>175027738.08634326</v>
      </c>
      <c r="G13" s="211">
        <f>'2017 GRC PCA Costs (2018 ERF)'!$L$25</f>
        <v>34082074.729610875</v>
      </c>
      <c r="H13" s="211">
        <f>'2017 GRC PCA Costs (2018 ERF)'!$H$25</f>
        <v>109590711.72582525</v>
      </c>
      <c r="I13" s="211">
        <f>'2017 GRC PCA Costs (2018 ERF)'!$I$25</f>
        <v>72394838.319535881</v>
      </c>
      <c r="J13" s="212"/>
      <c r="K13" s="211">
        <f>'2017 GRC PCA Costs (2018 ERF)'!$G$25</f>
        <v>169446807.7872144</v>
      </c>
      <c r="L13" s="211">
        <f>'2017 GRC PCA Costs (2018 ERF)'!$J$25</f>
        <v>198210.81872943015</v>
      </c>
      <c r="M13" s="211">
        <f>'2017 GRC PCA Costs (2018 ERF)'!$K$25</f>
        <v>5382719.4803994419</v>
      </c>
    </row>
    <row r="14" spans="1:13" x14ac:dyDescent="0.2">
      <c r="A14" s="179">
        <f t="shared" si="0"/>
        <v>4</v>
      </c>
      <c r="B14" s="178" t="s">
        <v>43</v>
      </c>
      <c r="C14" s="191" t="str">
        <f>C13</f>
        <v>UE-180282 WP/Exhibit A-1</v>
      </c>
      <c r="D14" s="211">
        <f>'2017 GRC PCA Costs (2018 ERF)'!E24</f>
        <v>387097137.15228051</v>
      </c>
      <c r="E14" s="211">
        <f>'2017 GRC PCA Costs (2018 ERF)'!F24</f>
        <v>94900805.242628917</v>
      </c>
      <c r="F14" s="214">
        <f>SUM(K14:M14)</f>
        <v>98973520.00080581</v>
      </c>
      <c r="G14" s="211">
        <f>'2017 GRC PCA Costs (2018 ERF)'!$L$24</f>
        <v>19272504.700118154</v>
      </c>
      <c r="H14" s="211">
        <f>'2017 GRC PCA Costs (2018 ERF)'!H24</f>
        <v>61970626.013276607</v>
      </c>
      <c r="I14" s="211">
        <f>'2017 GRC PCA Costs (2018 ERF)'!I24</f>
        <v>40937351.169098817</v>
      </c>
      <c r="J14" s="212"/>
      <c r="K14" s="211">
        <f>'2017 GRC PCA Costs (2018 ERF)'!G24</f>
        <v>95817652.693011165</v>
      </c>
      <c r="L14" s="211">
        <f>'2017 GRC PCA Costs (2018 ERF)'!J24</f>
        <v>112082.93409022826</v>
      </c>
      <c r="M14" s="211">
        <f>'2017 GRC PCA Costs (2018 ERF)'!K24</f>
        <v>3043784.3737044176</v>
      </c>
    </row>
    <row r="15" spans="1:13" ht="10.8" thickBot="1" x14ac:dyDescent="0.25">
      <c r="A15" s="179">
        <f t="shared" si="0"/>
        <v>5</v>
      </c>
      <c r="B15" s="178" t="s">
        <v>88</v>
      </c>
      <c r="C15" s="179" t="str">
        <f>"("&amp;A13&amp;") - ("&amp;A14&amp;")"</f>
        <v>(3) - (4)</v>
      </c>
      <c r="D15" s="213">
        <f>D13-D14</f>
        <v>297457037.89283293</v>
      </c>
      <c r="E15" s="213">
        <f t="shared" ref="E15:I15" si="1">E13-E14</f>
        <v>72924622.043929055</v>
      </c>
      <c r="F15" s="213">
        <f t="shared" si="1"/>
        <v>76054218.085537449</v>
      </c>
      <c r="G15" s="213">
        <f t="shared" si="1"/>
        <v>14809570.029492721</v>
      </c>
      <c r="H15" s="213">
        <f t="shared" si="1"/>
        <v>47620085.712548643</v>
      </c>
      <c r="I15" s="213">
        <f t="shared" si="1"/>
        <v>31457487.150437064</v>
      </c>
      <c r="J15" s="214"/>
      <c r="K15" s="213">
        <f t="shared" ref="K15:M15" si="2">K13-K14</f>
        <v>73629155.094203234</v>
      </c>
      <c r="L15" s="213">
        <f t="shared" si="2"/>
        <v>86127.88463920189</v>
      </c>
      <c r="M15" s="213">
        <f t="shared" si="2"/>
        <v>2338935.1066950243</v>
      </c>
    </row>
    <row r="16" spans="1:13" ht="10.8" thickTop="1" x14ac:dyDescent="0.2">
      <c r="A16" s="179">
        <f t="shared" si="0"/>
        <v>6</v>
      </c>
      <c r="B16" s="179"/>
      <c r="C16" s="179"/>
      <c r="D16" s="179"/>
      <c r="E16" s="179"/>
      <c r="F16" s="179"/>
      <c r="G16" s="179"/>
      <c r="H16" s="179"/>
      <c r="I16" s="179"/>
      <c r="J16" s="149"/>
      <c r="K16" s="179"/>
      <c r="L16" s="179"/>
      <c r="M16" s="179"/>
    </row>
    <row r="17" spans="1:13" x14ac:dyDescent="0.2">
      <c r="A17" s="179">
        <f t="shared" si="0"/>
        <v>7</v>
      </c>
      <c r="B17" s="179" t="s">
        <v>252</v>
      </c>
      <c r="C17" s="179"/>
      <c r="D17" s="215"/>
      <c r="E17" s="215"/>
      <c r="F17" s="179"/>
      <c r="G17" s="179"/>
      <c r="H17" s="179"/>
      <c r="I17" s="179"/>
      <c r="J17" s="149"/>
      <c r="K17" s="179"/>
      <c r="L17" s="179"/>
      <c r="M17" s="179"/>
    </row>
    <row r="18" spans="1:13" x14ac:dyDescent="0.2">
      <c r="A18" s="179">
        <f t="shared" si="0"/>
        <v>8</v>
      </c>
      <c r="B18" s="184" t="s">
        <v>63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  <row r="19" spans="1:13" x14ac:dyDescent="0.2">
      <c r="A19" s="179">
        <f t="shared" si="0"/>
        <v>9</v>
      </c>
      <c r="B19" s="178" t="s">
        <v>42</v>
      </c>
      <c r="C19" s="191" t="s">
        <v>243</v>
      </c>
      <c r="D19" s="211">
        <f>'2017 GRC PCA Costs (with MS)'!$E$32</f>
        <v>686184380.82589936</v>
      </c>
      <c r="E19" s="211">
        <f>'2017 GRC PCA Costs (with MS)'!$F$32</f>
        <v>168265109.54413384</v>
      </c>
      <c r="F19" s="212">
        <f>SUM(K19:M19)</f>
        <v>175506137.45410055</v>
      </c>
      <c r="G19" s="211">
        <f>'2017 GRC PCA Costs (with MS)'!$L$32</f>
        <v>9927359.0078137349</v>
      </c>
      <c r="H19" s="211">
        <f>'2017 GRC PCA Costs (with MS)'!$H$32</f>
        <v>109898541.23708147</v>
      </c>
      <c r="I19" s="211">
        <f>'2017 GRC PCA Costs (with MS)'!$I$32</f>
        <v>72595760.606724709</v>
      </c>
      <c r="J19" s="212"/>
      <c r="K19" s="211">
        <f>'2017 GRC PCA Costs (with MS)'!$G$32</f>
        <v>169904456.3506577</v>
      </c>
      <c r="L19" s="211">
        <f>'2017 GRC PCA Costs (with MS)'!$J$32</f>
        <v>198946.31310353888</v>
      </c>
      <c r="M19" s="211">
        <f>'2017 GRC PCA Costs (with MS)'!$K$32</f>
        <v>5402734.7903393283</v>
      </c>
    </row>
    <row r="20" spans="1:13" x14ac:dyDescent="0.2">
      <c r="A20" s="179">
        <f t="shared" si="0"/>
        <v>10</v>
      </c>
      <c r="B20" s="178" t="s">
        <v>43</v>
      </c>
      <c r="C20" s="191" t="str">
        <f>C19</f>
        <v>UE-180282 WP/Exhibit A-1</v>
      </c>
      <c r="D20" s="211">
        <f>'2017 GRC PCA Costs (with MS)'!E31</f>
        <v>383053309.40003675</v>
      </c>
      <c r="E20" s="211">
        <f>'2017 GRC PCA Costs (with MS)'!F31</f>
        <v>93931760.716940224</v>
      </c>
      <c r="F20" s="214">
        <f>SUM(K20:M20)</f>
        <v>97973968.295364469</v>
      </c>
      <c r="G20" s="211">
        <f>'2017 GRC PCA Costs (with MS)'!$L$31</f>
        <v>5541816.205388315</v>
      </c>
      <c r="H20" s="211">
        <f>'2017 GRC PCA Costs (with MS)'!H31</f>
        <v>61349399.80480469</v>
      </c>
      <c r="I20" s="211">
        <f>'2017 GRC PCA Costs (with MS)'!I31</f>
        <v>40525618.370019779</v>
      </c>
      <c r="J20" s="212"/>
      <c r="K20" s="211">
        <f>'2017 GRC PCA Costs (with MS)'!G31</f>
        <v>94846904.280449405</v>
      </c>
      <c r="L20" s="211">
        <f>'2017 GRC PCA Costs (with MS)'!J31</f>
        <v>111059.13477004939</v>
      </c>
      <c r="M20" s="211">
        <f>'2017 GRC PCA Costs (with MS)'!K31</f>
        <v>3016004.8801450082</v>
      </c>
    </row>
    <row r="21" spans="1:13" ht="10.8" thickBot="1" x14ac:dyDescent="0.25">
      <c r="A21" s="179">
        <f t="shared" si="0"/>
        <v>11</v>
      </c>
      <c r="B21" s="178" t="s">
        <v>88</v>
      </c>
      <c r="C21" s="179" t="str">
        <f>"("&amp;A19&amp;") - ("&amp;A20&amp;")"</f>
        <v>(9) - (10)</v>
      </c>
      <c r="D21" s="213">
        <f>D19-D20</f>
        <v>303131071.42586261</v>
      </c>
      <c r="E21" s="213">
        <f t="shared" ref="E21:M21" si="3">E19-E20</f>
        <v>74333348.827193618</v>
      </c>
      <c r="F21" s="213">
        <f t="shared" si="3"/>
        <v>77532169.15873608</v>
      </c>
      <c r="G21" s="213">
        <f t="shared" si="3"/>
        <v>4385542.8024254199</v>
      </c>
      <c r="H21" s="213">
        <f t="shared" si="3"/>
        <v>48549141.432276778</v>
      </c>
      <c r="I21" s="213">
        <f t="shared" si="3"/>
        <v>32070142.236704931</v>
      </c>
      <c r="J21" s="214"/>
      <c r="K21" s="213">
        <f t="shared" si="3"/>
        <v>75057552.070208296</v>
      </c>
      <c r="L21" s="213">
        <f t="shared" si="3"/>
        <v>87887.178333489486</v>
      </c>
      <c r="M21" s="213">
        <f t="shared" si="3"/>
        <v>2386729.9101943201</v>
      </c>
    </row>
    <row r="22" spans="1:13" ht="10.8" thickTop="1" x14ac:dyDescent="0.2">
      <c r="A22" s="178"/>
      <c r="B22" s="178"/>
      <c r="C22" s="178"/>
      <c r="D22" s="215"/>
      <c r="E22" s="186"/>
      <c r="F22" s="186"/>
      <c r="G22" s="186"/>
      <c r="H22" s="186"/>
      <c r="I22" s="186"/>
      <c r="J22" s="186"/>
      <c r="K22" s="186"/>
      <c r="L22" s="186"/>
      <c r="M22" s="186"/>
    </row>
    <row r="23" spans="1:13" x14ac:dyDescent="0.2">
      <c r="A23" s="178"/>
      <c r="B23" s="178"/>
      <c r="C23" s="178"/>
      <c r="D23" s="215"/>
      <c r="E23" s="186"/>
      <c r="F23" s="186"/>
      <c r="G23" s="186"/>
      <c r="H23" s="186"/>
      <c r="I23" s="186"/>
      <c r="J23" s="186"/>
      <c r="K23" s="186"/>
      <c r="L23" s="186"/>
      <c r="M23" s="186"/>
    </row>
    <row r="24" spans="1:13" x14ac:dyDescent="0.2">
      <c r="A24" s="178"/>
      <c r="B24" s="178"/>
      <c r="D24" s="215"/>
      <c r="E24" s="215"/>
      <c r="F24" s="215"/>
      <c r="G24" s="215"/>
      <c r="H24" s="215"/>
      <c r="I24" s="215"/>
      <c r="K24" s="215"/>
      <c r="L24" s="215"/>
      <c r="M24" s="215"/>
    </row>
    <row r="25" spans="1:13" x14ac:dyDescent="0.2">
      <c r="A25" s="179"/>
      <c r="B25" s="178"/>
      <c r="D25" s="218"/>
      <c r="E25" s="216"/>
      <c r="F25" s="216"/>
      <c r="G25" s="216"/>
      <c r="H25" s="216"/>
      <c r="I25" s="216"/>
      <c r="J25" s="216"/>
      <c r="K25" s="217"/>
      <c r="L25" s="217"/>
      <c r="M25" s="217"/>
    </row>
    <row r="26" spans="1:13" x14ac:dyDescent="0.2">
      <c r="A26" s="178"/>
      <c r="B26" s="178"/>
    </row>
    <row r="27" spans="1:13" x14ac:dyDescent="0.2">
      <c r="D27" s="203"/>
      <c r="E27" s="203"/>
      <c r="F27" s="203"/>
      <c r="G27" s="203"/>
      <c r="H27" s="203"/>
      <c r="I27" s="203"/>
      <c r="J27" s="203"/>
      <c r="K27" s="203"/>
      <c r="L27" s="203"/>
      <c r="M27" s="203"/>
    </row>
    <row r="28" spans="1:13" x14ac:dyDescent="0.2"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3" x14ac:dyDescent="0.2"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</sheetData>
  <mergeCells count="5">
    <mergeCell ref="A1:M1"/>
    <mergeCell ref="A3:M3"/>
    <mergeCell ref="A4:M4"/>
    <mergeCell ref="A2:M2"/>
    <mergeCell ref="A6:M6"/>
  </mergeCells>
  <pageMargins left="0.75" right="0.75" top="1" bottom="1" header="0.5" footer="0.5"/>
  <pageSetup scale="66" orientation="landscape" horizontalDpi="300" verticalDpi="300" r:id="rId1"/>
  <headerFooter alignWithMargins="0">
    <oddFooter>&amp;R&amp;F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>
      <selection activeCell="F42" sqref="F42"/>
    </sheetView>
  </sheetViews>
  <sheetFormatPr defaultColWidth="13.33203125" defaultRowHeight="10.199999999999999" x14ac:dyDescent="0.2"/>
  <cols>
    <col min="1" max="1" width="25.5546875" style="113" customWidth="1"/>
    <col min="2" max="2" width="10.88671875" style="113" bestFit="1" customWidth="1"/>
    <col min="3" max="14" width="12.33203125" style="113" bestFit="1" customWidth="1"/>
    <col min="15" max="15" width="13.33203125" style="113" bestFit="1" customWidth="1"/>
    <col min="16" max="22" width="11" style="113" bestFit="1" customWidth="1"/>
    <col min="23" max="16384" width="13.33203125" style="113"/>
  </cols>
  <sheetData>
    <row r="1" spans="1:15" x14ac:dyDescent="0.2">
      <c r="A1" s="280" t="s">
        <v>16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x14ac:dyDescent="0.2">
      <c r="A2" s="280" t="s">
        <v>186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 x14ac:dyDescent="0.2">
      <c r="A3" s="280" t="s">
        <v>245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x14ac:dyDescent="0.2">
      <c r="A4" s="280" t="s">
        <v>188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6" spans="1:15" x14ac:dyDescent="0.2">
      <c r="A6" s="112" t="s">
        <v>213</v>
      </c>
      <c r="B6" s="115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8" spans="1:15" ht="10.95" thickBot="1" x14ac:dyDescent="0.25">
      <c r="A8" s="112" t="s">
        <v>214</v>
      </c>
      <c r="B8" s="132" t="s">
        <v>215</v>
      </c>
      <c r="C8" s="133" t="s">
        <v>216</v>
      </c>
      <c r="D8" s="133" t="s">
        <v>217</v>
      </c>
      <c r="E8" s="133" t="s">
        <v>218</v>
      </c>
      <c r="F8" s="133" t="s">
        <v>219</v>
      </c>
      <c r="G8" s="133" t="s">
        <v>220</v>
      </c>
      <c r="H8" s="133" t="s">
        <v>221</v>
      </c>
      <c r="I8" s="133" t="s">
        <v>222</v>
      </c>
      <c r="J8" s="133" t="s">
        <v>223</v>
      </c>
      <c r="K8" s="133" t="s">
        <v>224</v>
      </c>
      <c r="L8" s="133" t="s">
        <v>225</v>
      </c>
      <c r="M8" s="133" t="s">
        <v>226</v>
      </c>
      <c r="N8" s="133" t="s">
        <v>227</v>
      </c>
      <c r="O8" s="134" t="s">
        <v>230</v>
      </c>
    </row>
    <row r="9" spans="1:15" ht="10.8" thickBot="1" x14ac:dyDescent="0.25">
      <c r="A9" s="285" t="s">
        <v>228</v>
      </c>
      <c r="B9" s="135" t="s">
        <v>207</v>
      </c>
      <c r="C9" s="130">
        <v>1751960</v>
      </c>
      <c r="D9" s="130">
        <v>2045510</v>
      </c>
      <c r="E9" s="130">
        <v>1945500</v>
      </c>
      <c r="F9" s="130">
        <v>1893390</v>
      </c>
      <c r="G9" s="130">
        <v>1924240</v>
      </c>
      <c r="H9" s="130">
        <v>1952350</v>
      </c>
      <c r="I9" s="130">
        <v>2040470</v>
      </c>
      <c r="J9" s="130">
        <v>1928550</v>
      </c>
      <c r="K9" s="130">
        <v>1983540</v>
      </c>
      <c r="L9" s="130">
        <v>1846514.8</v>
      </c>
      <c r="M9" s="130">
        <v>1809700</v>
      </c>
      <c r="N9" s="130">
        <v>1787185.2</v>
      </c>
      <c r="O9" s="136">
        <f>SUM(C9:N9)</f>
        <v>22908910</v>
      </c>
    </row>
    <row r="10" spans="1:15" ht="10.8" thickBot="1" x14ac:dyDescent="0.25">
      <c r="A10" s="285" t="s">
        <v>228</v>
      </c>
      <c r="B10" s="135" t="s">
        <v>209</v>
      </c>
      <c r="C10" s="130">
        <v>1202400</v>
      </c>
      <c r="D10" s="130">
        <v>1206000</v>
      </c>
      <c r="E10" s="130">
        <v>1278600</v>
      </c>
      <c r="F10" s="130">
        <v>1101000</v>
      </c>
      <c r="G10" s="130">
        <v>1069800</v>
      </c>
      <c r="H10" s="130">
        <v>1155600</v>
      </c>
      <c r="I10" s="130">
        <v>1057200</v>
      </c>
      <c r="J10" s="130">
        <v>789600</v>
      </c>
      <c r="K10" s="130">
        <v>1284600</v>
      </c>
      <c r="L10" s="130">
        <v>974400</v>
      </c>
      <c r="M10" s="130">
        <v>1048200</v>
      </c>
      <c r="N10" s="130">
        <v>1180200</v>
      </c>
      <c r="O10" s="136">
        <f t="shared" ref="O10:O24" si="0">SUM(C10:N10)</f>
        <v>13347600</v>
      </c>
    </row>
    <row r="11" spans="1:15" ht="10.8" thickBot="1" x14ac:dyDescent="0.25">
      <c r="A11" s="285" t="s">
        <v>228</v>
      </c>
      <c r="B11" s="135" t="s">
        <v>208</v>
      </c>
      <c r="C11" s="130">
        <v>35007590.060000002</v>
      </c>
      <c r="D11" s="130">
        <v>34145329.939999998</v>
      </c>
      <c r="E11" s="130">
        <v>34081295.32</v>
      </c>
      <c r="F11" s="130">
        <v>33575125.824000001</v>
      </c>
      <c r="G11" s="130">
        <v>29294430.829</v>
      </c>
      <c r="H11" s="130">
        <v>31914549.965</v>
      </c>
      <c r="I11" s="130">
        <v>31441231.438999999</v>
      </c>
      <c r="J11" s="130">
        <v>27770330.578000002</v>
      </c>
      <c r="K11" s="130">
        <v>32234341.436999999</v>
      </c>
      <c r="L11" s="130">
        <v>29349398.199999999</v>
      </c>
      <c r="M11" s="130">
        <v>28432035.958000001</v>
      </c>
      <c r="N11" s="130">
        <v>27303657.203000002</v>
      </c>
      <c r="O11" s="136">
        <f t="shared" si="0"/>
        <v>374549316.75300002</v>
      </c>
    </row>
    <row r="12" spans="1:15" ht="10.8" thickBot="1" x14ac:dyDescent="0.25">
      <c r="A12" s="285" t="s">
        <v>228</v>
      </c>
      <c r="B12" s="135" t="s">
        <v>205</v>
      </c>
      <c r="C12" s="130">
        <v>293400</v>
      </c>
      <c r="D12" s="130">
        <v>321600</v>
      </c>
      <c r="E12" s="130">
        <v>312300</v>
      </c>
      <c r="F12" s="130">
        <v>287400</v>
      </c>
      <c r="G12" s="130">
        <v>302100</v>
      </c>
      <c r="H12" s="130">
        <v>290100</v>
      </c>
      <c r="I12" s="130">
        <v>307800</v>
      </c>
      <c r="J12" s="130">
        <v>298800</v>
      </c>
      <c r="K12" s="130">
        <v>299100</v>
      </c>
      <c r="L12" s="130">
        <v>279300</v>
      </c>
      <c r="M12" s="130">
        <v>295200</v>
      </c>
      <c r="N12" s="130">
        <v>282300</v>
      </c>
      <c r="O12" s="136">
        <f t="shared" si="0"/>
        <v>3569400</v>
      </c>
    </row>
    <row r="13" spans="1:15" ht="10.8" thickBot="1" x14ac:dyDescent="0.25">
      <c r="A13" s="285" t="s">
        <v>228</v>
      </c>
      <c r="B13" s="135" t="s">
        <v>212</v>
      </c>
      <c r="C13" s="130">
        <v>44720</v>
      </c>
      <c r="D13" s="130">
        <v>44240</v>
      </c>
      <c r="E13" s="130">
        <v>43360</v>
      </c>
      <c r="F13" s="130">
        <v>42080</v>
      </c>
      <c r="G13" s="130">
        <v>58640</v>
      </c>
      <c r="H13" s="130">
        <v>61040</v>
      </c>
      <c r="I13" s="130">
        <v>74240</v>
      </c>
      <c r="J13" s="130">
        <v>63680</v>
      </c>
      <c r="K13" s="130">
        <v>66480</v>
      </c>
      <c r="L13" s="130">
        <v>56720</v>
      </c>
      <c r="M13" s="130">
        <v>47600</v>
      </c>
      <c r="N13" s="130">
        <v>42000</v>
      </c>
      <c r="O13" s="136">
        <f t="shared" si="0"/>
        <v>644800</v>
      </c>
    </row>
    <row r="14" spans="1:15" ht="10.8" thickBot="1" x14ac:dyDescent="0.25">
      <c r="A14" s="285" t="s">
        <v>228</v>
      </c>
      <c r="B14" s="135" t="s">
        <v>202</v>
      </c>
      <c r="C14" s="130">
        <v>27680</v>
      </c>
      <c r="D14" s="130">
        <v>30720</v>
      </c>
      <c r="E14" s="130">
        <v>30680</v>
      </c>
      <c r="F14" s="130">
        <v>26440</v>
      </c>
      <c r="G14" s="130">
        <v>25560</v>
      </c>
      <c r="H14" s="130">
        <v>23960</v>
      </c>
      <c r="I14" s="130">
        <v>24680</v>
      </c>
      <c r="J14" s="130">
        <v>26640</v>
      </c>
      <c r="K14" s="130">
        <v>27240</v>
      </c>
      <c r="L14" s="130">
        <v>26160</v>
      </c>
      <c r="M14" s="130">
        <v>29120</v>
      </c>
      <c r="N14" s="130">
        <v>30480</v>
      </c>
      <c r="O14" s="136">
        <f t="shared" si="0"/>
        <v>329360</v>
      </c>
    </row>
    <row r="15" spans="1:15" ht="10.8" thickBot="1" x14ac:dyDescent="0.25">
      <c r="A15" s="285" t="s">
        <v>228</v>
      </c>
      <c r="B15" s="135" t="s">
        <v>235</v>
      </c>
      <c r="C15" s="130">
        <v>1874570</v>
      </c>
      <c r="D15" s="130">
        <v>2059300</v>
      </c>
      <c r="E15" s="130">
        <v>1993180</v>
      </c>
      <c r="F15" s="130">
        <v>1707390</v>
      </c>
      <c r="G15" s="130">
        <v>1712980</v>
      </c>
      <c r="H15" s="130">
        <v>1597410</v>
      </c>
      <c r="I15" s="130">
        <v>1643160</v>
      </c>
      <c r="J15" s="130">
        <v>1652220</v>
      </c>
      <c r="K15" s="130">
        <v>1579150</v>
      </c>
      <c r="L15" s="130">
        <v>1541050</v>
      </c>
      <c r="M15" s="130">
        <v>1746790</v>
      </c>
      <c r="N15" s="130">
        <v>570930</v>
      </c>
      <c r="O15" s="136">
        <f t="shared" si="0"/>
        <v>19678130</v>
      </c>
    </row>
    <row r="16" spans="1:15" ht="10.8" thickBot="1" x14ac:dyDescent="0.25">
      <c r="A16" s="285" t="s">
        <v>228</v>
      </c>
      <c r="B16" s="135" t="s">
        <v>211</v>
      </c>
      <c r="C16" s="130">
        <v>11960</v>
      </c>
      <c r="D16" s="130">
        <v>11440</v>
      </c>
      <c r="E16" s="130">
        <v>11280</v>
      </c>
      <c r="F16" s="130">
        <v>10520</v>
      </c>
      <c r="G16" s="130">
        <v>9320</v>
      </c>
      <c r="H16" s="130">
        <v>12720</v>
      </c>
      <c r="I16" s="130">
        <v>15760</v>
      </c>
      <c r="J16" s="130">
        <v>15440</v>
      </c>
      <c r="K16" s="130">
        <v>15600</v>
      </c>
      <c r="L16" s="130">
        <v>13840</v>
      </c>
      <c r="M16" s="130">
        <v>13160</v>
      </c>
      <c r="N16" s="130">
        <v>13440</v>
      </c>
      <c r="O16" s="136">
        <f t="shared" si="0"/>
        <v>154480</v>
      </c>
    </row>
    <row r="17" spans="1:15" ht="10.8" thickBot="1" x14ac:dyDescent="0.25">
      <c r="A17" s="285" t="s">
        <v>228</v>
      </c>
      <c r="B17" s="135" t="s">
        <v>206</v>
      </c>
      <c r="C17" s="130">
        <v>24640</v>
      </c>
      <c r="D17" s="130">
        <v>22560</v>
      </c>
      <c r="E17" s="130">
        <v>23120</v>
      </c>
      <c r="F17" s="130">
        <v>24000</v>
      </c>
      <c r="G17" s="130">
        <v>23120</v>
      </c>
      <c r="H17" s="130">
        <v>25280</v>
      </c>
      <c r="I17" s="130">
        <v>27680</v>
      </c>
      <c r="J17" s="130">
        <v>25760</v>
      </c>
      <c r="K17" s="130">
        <v>25200</v>
      </c>
      <c r="L17" s="130">
        <v>22320</v>
      </c>
      <c r="M17" s="130">
        <v>22320</v>
      </c>
      <c r="N17" s="130">
        <v>22800</v>
      </c>
      <c r="O17" s="136">
        <f t="shared" si="0"/>
        <v>288800</v>
      </c>
    </row>
    <row r="18" spans="1:15" ht="10.8" thickBot="1" x14ac:dyDescent="0.25">
      <c r="A18" s="285" t="s">
        <v>228</v>
      </c>
      <c r="B18" s="135" t="s">
        <v>210</v>
      </c>
      <c r="C18" s="130">
        <v>2440800</v>
      </c>
      <c r="D18" s="130">
        <v>2366400</v>
      </c>
      <c r="E18" s="130">
        <v>2304000</v>
      </c>
      <c r="F18" s="130">
        <v>2172000</v>
      </c>
      <c r="G18" s="130">
        <v>1965600</v>
      </c>
      <c r="H18" s="130">
        <v>2016000</v>
      </c>
      <c r="I18" s="130">
        <v>2174400</v>
      </c>
      <c r="J18" s="130">
        <v>2001600</v>
      </c>
      <c r="K18" s="130">
        <v>2049600</v>
      </c>
      <c r="L18" s="130">
        <v>1908000</v>
      </c>
      <c r="M18" s="130">
        <v>2020800</v>
      </c>
      <c r="N18" s="130"/>
      <c r="O18" s="136">
        <f t="shared" si="0"/>
        <v>23419200</v>
      </c>
    </row>
    <row r="19" spans="1:15" ht="10.8" thickBot="1" x14ac:dyDescent="0.25">
      <c r="A19" s="285" t="s">
        <v>228</v>
      </c>
      <c r="B19" s="135" t="s">
        <v>203</v>
      </c>
      <c r="C19" s="130">
        <v>2426980</v>
      </c>
      <c r="D19" s="130">
        <v>2623560</v>
      </c>
      <c r="E19" s="130">
        <v>2815810</v>
      </c>
      <c r="F19" s="130">
        <v>2573200</v>
      </c>
      <c r="G19" s="130">
        <v>2324240</v>
      </c>
      <c r="H19" s="130">
        <v>2511210</v>
      </c>
      <c r="I19" s="130">
        <v>2230610</v>
      </c>
      <c r="J19" s="130">
        <v>4621110</v>
      </c>
      <c r="K19" s="130">
        <v>132720</v>
      </c>
      <c r="L19" s="130">
        <v>2178200</v>
      </c>
      <c r="M19" s="130">
        <v>2202240</v>
      </c>
      <c r="N19" s="130">
        <v>2503230</v>
      </c>
      <c r="O19" s="136">
        <f t="shared" si="0"/>
        <v>29143110</v>
      </c>
    </row>
    <row r="20" spans="1:15" ht="10.8" thickBot="1" x14ac:dyDescent="0.25">
      <c r="A20" s="285" t="s">
        <v>228</v>
      </c>
      <c r="B20" s="135" t="s">
        <v>204</v>
      </c>
      <c r="C20" s="130">
        <v>-172800</v>
      </c>
      <c r="D20" s="130">
        <v>172800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6">
        <f t="shared" si="0"/>
        <v>0</v>
      </c>
    </row>
    <row r="21" spans="1:15" ht="10.8" thickBot="1" x14ac:dyDescent="0.25">
      <c r="A21" s="285" t="s">
        <v>229</v>
      </c>
      <c r="B21" s="135" t="s">
        <v>236</v>
      </c>
      <c r="C21" s="130">
        <v>2743200</v>
      </c>
      <c r="D21" s="130">
        <v>2666400</v>
      </c>
      <c r="E21" s="130">
        <v>2810400</v>
      </c>
      <c r="F21" s="130">
        <v>2988000</v>
      </c>
      <c r="G21" s="130">
        <v>3038400</v>
      </c>
      <c r="H21" s="130">
        <v>2623200</v>
      </c>
      <c r="I21" s="130">
        <v>2637600</v>
      </c>
      <c r="J21" s="130">
        <v>2479200</v>
      </c>
      <c r="K21" s="130">
        <v>2692800</v>
      </c>
      <c r="L21" s="130">
        <v>2407200</v>
      </c>
      <c r="M21" s="130">
        <v>2568000</v>
      </c>
      <c r="N21" s="130">
        <v>2712000</v>
      </c>
      <c r="O21" s="136">
        <f t="shared" si="0"/>
        <v>32366400</v>
      </c>
    </row>
    <row r="22" spans="1:15" ht="10.8" thickBot="1" x14ac:dyDescent="0.25">
      <c r="A22" s="285" t="s">
        <v>229</v>
      </c>
      <c r="B22" s="135" t="s">
        <v>208</v>
      </c>
      <c r="C22" s="130">
        <v>528560</v>
      </c>
      <c r="D22" s="130">
        <v>505670</v>
      </c>
      <c r="E22" s="130">
        <v>511902.64</v>
      </c>
      <c r="F22" s="130">
        <v>511005.44699999999</v>
      </c>
      <c r="G22" s="130">
        <v>506776.81</v>
      </c>
      <c r="H22" s="130">
        <v>553632.36199999996</v>
      </c>
      <c r="I22" s="130">
        <v>570898.86300000001</v>
      </c>
      <c r="J22" s="130">
        <v>468900</v>
      </c>
      <c r="K22" s="130">
        <v>495294.25599999999</v>
      </c>
      <c r="L22" s="130">
        <v>303947.40500000003</v>
      </c>
      <c r="M22" s="130">
        <v>194853.40100000001</v>
      </c>
      <c r="N22" s="130">
        <v>6171.7740000000003</v>
      </c>
      <c r="O22" s="136">
        <f t="shared" si="0"/>
        <v>5157612.9579999996</v>
      </c>
    </row>
    <row r="23" spans="1:15" x14ac:dyDescent="0.2">
      <c r="A23" s="285" t="s">
        <v>229</v>
      </c>
      <c r="B23" s="135" t="s">
        <v>237</v>
      </c>
      <c r="C23" s="130">
        <v>1872000</v>
      </c>
      <c r="D23" s="130">
        <v>1886400</v>
      </c>
      <c r="E23" s="130">
        <v>2018400</v>
      </c>
      <c r="F23" s="130">
        <v>1658400</v>
      </c>
      <c r="G23" s="130"/>
      <c r="H23" s="130">
        <v>3396000</v>
      </c>
      <c r="I23" s="130">
        <v>1500000</v>
      </c>
      <c r="J23" s="130">
        <v>1788000</v>
      </c>
      <c r="K23" s="130">
        <v>1617600</v>
      </c>
      <c r="L23" s="130">
        <v>1644000</v>
      </c>
      <c r="M23" s="130">
        <v>1668000</v>
      </c>
      <c r="N23" s="130"/>
      <c r="O23" s="136">
        <f t="shared" si="0"/>
        <v>19048800</v>
      </c>
    </row>
    <row r="24" spans="1:15" ht="10.95" thickBot="1" x14ac:dyDescent="0.25">
      <c r="B24" s="137"/>
      <c r="C24" s="131">
        <f>SUM(C9:C23)</f>
        <v>50077660.060000002</v>
      </c>
      <c r="D24" s="131">
        <f t="shared" ref="D24:N24" si="1">SUM(D9:D23)</f>
        <v>50107929.939999998</v>
      </c>
      <c r="E24" s="131">
        <f t="shared" si="1"/>
        <v>50179827.960000001</v>
      </c>
      <c r="F24" s="131">
        <f t="shared" si="1"/>
        <v>48569951.270999998</v>
      </c>
      <c r="G24" s="131">
        <f t="shared" si="1"/>
        <v>42255207.638999999</v>
      </c>
      <c r="H24" s="131">
        <f t="shared" si="1"/>
        <v>48133052.327000007</v>
      </c>
      <c r="I24" s="131">
        <f t="shared" si="1"/>
        <v>45745730.301999994</v>
      </c>
      <c r="J24" s="131">
        <f t="shared" si="1"/>
        <v>43929830.578000002</v>
      </c>
      <c r="K24" s="131">
        <f t="shared" si="1"/>
        <v>44503265.692999996</v>
      </c>
      <c r="L24" s="131">
        <f t="shared" si="1"/>
        <v>42551050.405000001</v>
      </c>
      <c r="M24" s="131">
        <f t="shared" si="1"/>
        <v>42098019.359000005</v>
      </c>
      <c r="N24" s="131">
        <f t="shared" si="1"/>
        <v>36454394.176999994</v>
      </c>
      <c r="O24" s="131">
        <f t="shared" si="0"/>
        <v>544605919.71100008</v>
      </c>
    </row>
    <row r="25" spans="1:15" ht="10.95" thickTop="1" x14ac:dyDescent="0.2">
      <c r="B25" s="138" t="s">
        <v>246</v>
      </c>
      <c r="C25" s="139">
        <f>C24-'Summary Normal Monthly kWh'!K39</f>
        <v>6.0000002384185791E-2</v>
      </c>
      <c r="D25" s="139">
        <f>D24-'Summary Normal Monthly kWh'!L39</f>
        <v>-6.0000002384185791E-2</v>
      </c>
      <c r="E25" s="139">
        <f>E24-'Summary Normal Monthly kWh'!M39</f>
        <v>-3.9999999105930328E-2</v>
      </c>
      <c r="F25" s="139">
        <f>F24-'Summary Normal Monthly kWh'!N39</f>
        <v>0.27099999785423279</v>
      </c>
      <c r="G25" s="139">
        <f>G24-'Summary Normal Monthly kWh'!O39</f>
        <v>-0.36100000143051147</v>
      </c>
      <c r="H25" s="139">
        <f>H24-'Summary Normal Monthly kWh'!P39</f>
        <v>0.32700000703334808</v>
      </c>
      <c r="I25" s="139">
        <f>I24-'Summary Normal Monthly kWh'!E39</f>
        <v>0.30199999362230301</v>
      </c>
      <c r="J25" s="139">
        <f>J24-'Summary Normal Monthly kWh'!F39</f>
        <v>-0.42199999839067459</v>
      </c>
      <c r="K25" s="139">
        <f>K24-'Summary Normal Monthly kWh'!G39</f>
        <v>-0.30700000375509262</v>
      </c>
      <c r="L25" s="139">
        <f>L24-'Summary Normal Monthly kWh'!H39</f>
        <v>0.4050000011920929</v>
      </c>
      <c r="M25" s="139">
        <f>M24-'Summary Normal Monthly kWh'!I39</f>
        <v>0.35900000482797623</v>
      </c>
      <c r="N25" s="139">
        <f>N24-'Summary Normal Monthly kWh'!J39</f>
        <v>0.17699999362230301</v>
      </c>
      <c r="O25" s="139">
        <f>O24-'Summary Normal Monthly kWh'!D39</f>
        <v>0.71100008487701416</v>
      </c>
    </row>
    <row r="26" spans="1:15" x14ac:dyDescent="0.2">
      <c r="B26" s="137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1:15" x14ac:dyDescent="0.2">
      <c r="A27" s="113" t="s">
        <v>240</v>
      </c>
      <c r="B27" s="137"/>
      <c r="C27" s="141">
        <f>C24-C22-C11</f>
        <v>14541510</v>
      </c>
      <c r="D27" s="141">
        <f t="shared" ref="D27:N27" si="2">D24-D22-D11</f>
        <v>15456930</v>
      </c>
      <c r="E27" s="141">
        <f t="shared" si="2"/>
        <v>15586630</v>
      </c>
      <c r="F27" s="141">
        <f t="shared" si="2"/>
        <v>14483820</v>
      </c>
      <c r="G27" s="141">
        <f t="shared" si="2"/>
        <v>12453999.999999996</v>
      </c>
      <c r="H27" s="141">
        <f t="shared" si="2"/>
        <v>15664870.000000004</v>
      </c>
      <c r="I27" s="141">
        <f t="shared" si="2"/>
        <v>13733599.999999996</v>
      </c>
      <c r="J27" s="141">
        <f t="shared" si="2"/>
        <v>15690600</v>
      </c>
      <c r="K27" s="141">
        <f t="shared" si="2"/>
        <v>11773630</v>
      </c>
      <c r="L27" s="141">
        <f t="shared" si="2"/>
        <v>12897704.800000001</v>
      </c>
      <c r="M27" s="141">
        <f t="shared" si="2"/>
        <v>13471130.000000004</v>
      </c>
      <c r="N27" s="141">
        <f t="shared" si="2"/>
        <v>9144565.1999999955</v>
      </c>
      <c r="O27" s="136">
        <f>SUM(C27:N27)</f>
        <v>164898990</v>
      </c>
    </row>
    <row r="28" spans="1:15" x14ac:dyDescent="0.2">
      <c r="A28" s="113" t="s">
        <v>231</v>
      </c>
      <c r="B28" s="137"/>
      <c r="C28" s="140">
        <f>C27/C24</f>
        <v>0.2903791827049676</v>
      </c>
      <c r="D28" s="140">
        <f t="shared" ref="D28:N28" si="3">D27/D24</f>
        <v>0.30847273113274415</v>
      </c>
      <c r="E28" s="140">
        <f t="shared" si="3"/>
        <v>0.31061545313436739</v>
      </c>
      <c r="F28" s="140">
        <f t="shared" si="3"/>
        <v>0.29820536403642545</v>
      </c>
      <c r="G28" s="140">
        <f t="shared" si="3"/>
        <v>0.29473290266133761</v>
      </c>
      <c r="H28" s="140">
        <f t="shared" si="3"/>
        <v>0.32544933767295847</v>
      </c>
      <c r="I28" s="140">
        <f t="shared" si="3"/>
        <v>0.30021599631997931</v>
      </c>
      <c r="J28" s="140">
        <f t="shared" si="3"/>
        <v>0.35717415235964584</v>
      </c>
      <c r="K28" s="140">
        <f t="shared" si="3"/>
        <v>0.26455654021479813</v>
      </c>
      <c r="L28" s="140">
        <f t="shared" si="3"/>
        <v>0.30311131399201474</v>
      </c>
      <c r="M28" s="140">
        <f t="shared" si="3"/>
        <v>0.31999438940635228</v>
      </c>
      <c r="N28" s="140">
        <f t="shared" si="3"/>
        <v>0.25084946290972887</v>
      </c>
      <c r="O28" s="137"/>
    </row>
    <row r="29" spans="1:15" x14ac:dyDescent="0.2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</row>
    <row r="30" spans="1:15" x14ac:dyDescent="0.2">
      <c r="A30" s="113" t="s">
        <v>232</v>
      </c>
      <c r="B30" s="137"/>
      <c r="C30" s="141">
        <f>'Summary Normal Monthly kWh'!K57</f>
        <v>1005808.6612903215</v>
      </c>
      <c r="D30" s="141">
        <f>'Summary Normal Monthly kWh'!L57</f>
        <v>1066938</v>
      </c>
      <c r="E30" s="141">
        <f>'Summary Normal Monthly kWh'!M57</f>
        <v>-1738879.3948800005</v>
      </c>
      <c r="F30" s="141">
        <f>'Summary Normal Monthly kWh'!N57</f>
        <v>-1474512.3874192126</v>
      </c>
      <c r="G30" s="141">
        <f>'Summary Normal Monthly kWh'!O57</f>
        <v>1039512.2845849283</v>
      </c>
      <c r="H30" s="141">
        <f>'Summary Normal Monthly kWh'!P57</f>
        <v>-745503.35239786282</v>
      </c>
      <c r="I30" s="141">
        <f>'Summary Normal Monthly kWh'!E57</f>
        <v>-2647329.3317060322</v>
      </c>
      <c r="J30" s="141">
        <f>'Summary Normal Monthly kWh'!F57</f>
        <v>-3963059.3000909127</v>
      </c>
      <c r="K30" s="141">
        <f>'Summary Normal Monthly kWh'!G57</f>
        <v>-3795085.7180909067</v>
      </c>
      <c r="L30" s="141">
        <f>'Summary Normal Monthly kWh'!H57</f>
        <v>2226916.5209999997</v>
      </c>
      <c r="M30" s="141">
        <f>'Summary Normal Monthly kWh'!I57</f>
        <v>-792999.13918181881</v>
      </c>
      <c r="N30" s="141">
        <f>'Summary Normal Monthly kWh'!J57</f>
        <v>1713397.8181818184</v>
      </c>
      <c r="O30" s="136">
        <f>SUM(C30:N30)</f>
        <v>-8104795.3387096785</v>
      </c>
    </row>
    <row r="31" spans="1:15" x14ac:dyDescent="0.2">
      <c r="A31" s="113" t="s">
        <v>233</v>
      </c>
      <c r="B31" s="137"/>
      <c r="C31" s="141">
        <f>C28*C30</f>
        <v>292065.89702306112</v>
      </c>
      <c r="D31" s="141">
        <f t="shared" ref="D31:N31" si="4">D28*D30</f>
        <v>329121.27880930778</v>
      </c>
      <c r="E31" s="141">
        <f t="shared" si="4"/>
        <v>-540122.8111866659</v>
      </c>
      <c r="F31" s="141">
        <f t="shared" si="4"/>
        <v>-439707.50326656509</v>
      </c>
      <c r="G31" s="141">
        <f t="shared" si="4"/>
        <v>306378.47298783436</v>
      </c>
      <c r="H31" s="141">
        <f t="shared" si="4"/>
        <v>-242623.57227085461</v>
      </c>
      <c r="I31" s="141">
        <f t="shared" si="4"/>
        <v>-794770.61290523142</v>
      </c>
      <c r="J31" s="141">
        <f t="shared" si="4"/>
        <v>-1415502.346260983</v>
      </c>
      <c r="K31" s="141">
        <f t="shared" si="4"/>
        <v>-1004014.747396723</v>
      </c>
      <c r="L31" s="141">
        <f t="shared" si="4"/>
        <v>675003.59283083596</v>
      </c>
      <c r="M31" s="141">
        <f t="shared" si="4"/>
        <v>-253755.27534224908</v>
      </c>
      <c r="N31" s="141">
        <f t="shared" si="4"/>
        <v>429804.92244161043</v>
      </c>
      <c r="O31" s="136">
        <f>SUM(C31:N31)</f>
        <v>-2658122.7045366219</v>
      </c>
    </row>
    <row r="32" spans="1:15" x14ac:dyDescent="0.2">
      <c r="A32" s="113" t="s">
        <v>238</v>
      </c>
      <c r="B32" s="137"/>
      <c r="C32" s="141">
        <f>C30-C31</f>
        <v>713742.76426726044</v>
      </c>
      <c r="D32" s="141">
        <f t="shared" ref="D32:N32" si="5">D30-D31</f>
        <v>737816.72119069216</v>
      </c>
      <c r="E32" s="141">
        <f t="shared" si="5"/>
        <v>-1198756.5836933346</v>
      </c>
      <c r="F32" s="141">
        <f t="shared" si="5"/>
        <v>-1034804.8841526476</v>
      </c>
      <c r="G32" s="141">
        <f t="shared" si="5"/>
        <v>733133.81159709394</v>
      </c>
      <c r="H32" s="141">
        <f t="shared" si="5"/>
        <v>-502879.78012700821</v>
      </c>
      <c r="I32" s="141">
        <f t="shared" si="5"/>
        <v>-1852558.7188008009</v>
      </c>
      <c r="J32" s="141">
        <f t="shared" si="5"/>
        <v>-2547556.9538299297</v>
      </c>
      <c r="K32" s="141">
        <f t="shared" si="5"/>
        <v>-2791070.9706941838</v>
      </c>
      <c r="L32" s="141">
        <f t="shared" si="5"/>
        <v>1551912.9281691639</v>
      </c>
      <c r="M32" s="141">
        <f t="shared" si="5"/>
        <v>-539243.86383956973</v>
      </c>
      <c r="N32" s="141">
        <f t="shared" si="5"/>
        <v>1283592.895740208</v>
      </c>
      <c r="O32" s="136">
        <f>SUM(C32:N32)</f>
        <v>-5446672.6341730552</v>
      </c>
    </row>
    <row r="33" spans="1:15" x14ac:dyDescent="0.2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1:15" x14ac:dyDescent="0.2">
      <c r="A34" s="113" t="s">
        <v>234</v>
      </c>
      <c r="B34" s="137"/>
      <c r="C34" s="141">
        <f>'Summary Normal Monthly kWh'!K75</f>
        <v>-170203.1193092583</v>
      </c>
      <c r="D34" s="141">
        <f>'Summary Normal Monthly kWh'!L75</f>
        <v>-962222.20564157516</v>
      </c>
      <c r="E34" s="141">
        <f>'Summary Normal Monthly kWh'!M75</f>
        <v>-275377.74416569981</v>
      </c>
      <c r="F34" s="141">
        <f>'Summary Normal Monthly kWh'!N75</f>
        <v>-318499.29953583301</v>
      </c>
      <c r="G34" s="141">
        <f>'Summary Normal Monthly kWh'!O75</f>
        <v>57856.570356593635</v>
      </c>
      <c r="H34" s="141">
        <f>'Summary Normal Monthly kWh'!P75</f>
        <v>-112501.16177284048</v>
      </c>
      <c r="I34" s="141">
        <f>'Summary Normal Monthly kWh'!E75</f>
        <v>323292.66937266284</v>
      </c>
      <c r="J34" s="141">
        <f>'Summary Normal Monthly kWh'!F75</f>
        <v>-195910.88666604593</v>
      </c>
      <c r="K34" s="141">
        <f>'Summary Normal Monthly kWh'!G75</f>
        <v>-17161.015193317213</v>
      </c>
      <c r="L34" s="141">
        <f>'Summary Normal Monthly kWh'!H75</f>
        <v>34788.129201732998</v>
      </c>
      <c r="M34" s="141">
        <f>'Summary Normal Monthly kWh'!I75</f>
        <v>681.77386271700243</v>
      </c>
      <c r="N34" s="141">
        <f>'Summary Normal Monthly kWh'!J75</f>
        <v>-98430.767731719243</v>
      </c>
      <c r="O34" s="136">
        <f t="shared" ref="O34:O35" si="6">SUM(C34:N34)</f>
        <v>-1733687.0572225826</v>
      </c>
    </row>
    <row r="35" spans="1:15" x14ac:dyDescent="0.2">
      <c r="A35" s="113" t="s">
        <v>233</v>
      </c>
      <c r="B35" s="137"/>
      <c r="C35" s="141">
        <f>C34*C28</f>
        <v>-49423.442678858511</v>
      </c>
      <c r="D35" s="141">
        <f t="shared" ref="D35:N35" si="7">D34*D28</f>
        <v>-296819.31173082965</v>
      </c>
      <c r="E35" s="141">
        <f t="shared" si="7"/>
        <v>-85536.582787148742</v>
      </c>
      <c r="F35" s="141">
        <f t="shared" si="7"/>
        <v>-94978.199563429589</v>
      </c>
      <c r="G35" s="141">
        <f t="shared" si="7"/>
        <v>17052.234919228744</v>
      </c>
      <c r="H35" s="141">
        <f t="shared" si="7"/>
        <v>-36613.428586409289</v>
      </c>
      <c r="I35" s="141">
        <f t="shared" si="7"/>
        <v>97057.630838659636</v>
      </c>
      <c r="J35" s="141">
        <f t="shared" si="7"/>
        <v>-69974.304882971599</v>
      </c>
      <c r="K35" s="141">
        <f t="shared" si="7"/>
        <v>-4540.0588061175868</v>
      </c>
      <c r="L35" s="141">
        <f t="shared" si="7"/>
        <v>10544.675553661267</v>
      </c>
      <c r="M35" s="141">
        <f t="shared" si="7"/>
        <v>218.16381091333744</v>
      </c>
      <c r="N35" s="141">
        <f t="shared" si="7"/>
        <v>-24691.305219294045</v>
      </c>
      <c r="O35" s="136">
        <f t="shared" si="6"/>
        <v>-537703.92913259601</v>
      </c>
    </row>
    <row r="36" spans="1:15" x14ac:dyDescent="0.2">
      <c r="A36" s="113" t="s">
        <v>239</v>
      </c>
      <c r="B36" s="137"/>
      <c r="C36" s="141">
        <f>C34-C35</f>
        <v>-120779.67663039979</v>
      </c>
      <c r="D36" s="141">
        <f t="shared" ref="D36" si="8">D34-D35</f>
        <v>-665402.89391074551</v>
      </c>
      <c r="E36" s="141">
        <f t="shared" ref="E36" si="9">E34-E35</f>
        <v>-189841.16137855107</v>
      </c>
      <c r="F36" s="141">
        <f t="shared" ref="F36" si="10">F34-F35</f>
        <v>-223521.09997240343</v>
      </c>
      <c r="G36" s="141">
        <f t="shared" ref="G36" si="11">G34-G35</f>
        <v>40804.335437364891</v>
      </c>
      <c r="H36" s="141">
        <f t="shared" ref="H36" si="12">H34-H35</f>
        <v>-75887.7331864312</v>
      </c>
      <c r="I36" s="141">
        <f t="shared" ref="I36" si="13">I34-I35</f>
        <v>226235.03853400319</v>
      </c>
      <c r="J36" s="141">
        <f t="shared" ref="J36" si="14">J34-J35</f>
        <v>-125936.58178307433</v>
      </c>
      <c r="K36" s="141">
        <f t="shared" ref="K36" si="15">K34-K35</f>
        <v>-12620.956387199625</v>
      </c>
      <c r="L36" s="141">
        <f t="shared" ref="L36" si="16">L34-L35</f>
        <v>24243.453648071729</v>
      </c>
      <c r="M36" s="141">
        <f t="shared" ref="M36" si="17">M34-M35</f>
        <v>463.61005180366499</v>
      </c>
      <c r="N36" s="141">
        <f t="shared" ref="N36" si="18">N34-N35</f>
        <v>-73739.462512425205</v>
      </c>
      <c r="O36" s="136">
        <f>SUM(C36:N36)</f>
        <v>-1195983.1280899865</v>
      </c>
    </row>
    <row r="37" spans="1:15" x14ac:dyDescent="0.2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5" x14ac:dyDescent="0.2">
      <c r="A38" s="114" t="s">
        <v>64</v>
      </c>
      <c r="B38" s="142"/>
      <c r="C38" s="136">
        <f>C27+C32+C36</f>
        <v>15134473.08763686</v>
      </c>
      <c r="D38" s="136">
        <f t="shared" ref="D38:N38" si="19">D27+D32+D36</f>
        <v>15529343.827279948</v>
      </c>
      <c r="E38" s="136">
        <f t="shared" si="19"/>
        <v>14198032.254928114</v>
      </c>
      <c r="F38" s="136">
        <f t="shared" si="19"/>
        <v>13225494.01587495</v>
      </c>
      <c r="G38" s="136">
        <f t="shared" si="19"/>
        <v>13227938.147034455</v>
      </c>
      <c r="H38" s="136">
        <f t="shared" si="19"/>
        <v>15086102.486686565</v>
      </c>
      <c r="I38" s="136">
        <f t="shared" si="19"/>
        <v>12107276.319733197</v>
      </c>
      <c r="J38" s="136">
        <f t="shared" si="19"/>
        <v>13017106.464386996</v>
      </c>
      <c r="K38" s="136">
        <f t="shared" si="19"/>
        <v>8969938.0729186162</v>
      </c>
      <c r="L38" s="136">
        <f t="shared" si="19"/>
        <v>14473861.181817237</v>
      </c>
      <c r="M38" s="136">
        <f t="shared" si="19"/>
        <v>12932349.746212237</v>
      </c>
      <c r="N38" s="136">
        <f t="shared" si="19"/>
        <v>10354418.633227777</v>
      </c>
      <c r="O38" s="136">
        <f>SUM(C38:N38)</f>
        <v>158256334.23773697</v>
      </c>
    </row>
    <row r="39" spans="1:15" x14ac:dyDescent="0.2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1:15" x14ac:dyDescent="0.2"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</row>
  </sheetData>
  <mergeCells count="7">
    <mergeCell ref="A9:A20"/>
    <mergeCell ref="A21:A23"/>
    <mergeCell ref="C6:O6"/>
    <mergeCell ref="A1:O1"/>
    <mergeCell ref="A2:O2"/>
    <mergeCell ref="A3:O3"/>
    <mergeCell ref="A4:O4"/>
  </mergeCells>
  <pageMargins left="0.75" right="0.75" top="1" bottom="1" header="0.5" footer="0.5"/>
  <pageSetup scale="62" orientation="landscape" horizontalDpi="300" verticalDpi="300" r:id="rId1"/>
  <headerFooter alignWithMargins="0">
    <oddFooter>&amp;R&amp;F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workbookViewId="0">
      <selection activeCell="D23" sqref="D23"/>
    </sheetView>
  </sheetViews>
  <sheetFormatPr defaultRowHeight="14.4" x14ac:dyDescent="0.3"/>
  <cols>
    <col min="1" max="1" width="22.109375" style="257" customWidth="1"/>
    <col min="2" max="16" width="10.77734375" style="257" bestFit="1" customWidth="1"/>
    <col min="17" max="17" width="11.5546875" style="257" bestFit="1" customWidth="1"/>
    <col min="18" max="16384" width="8.88671875" style="257"/>
  </cols>
  <sheetData>
    <row r="1" spans="1:17" s="160" customFormat="1" ht="15.75" customHeight="1" x14ac:dyDescent="0.2">
      <c r="A1" s="236" t="s">
        <v>16</v>
      </c>
      <c r="B1" s="170"/>
    </row>
    <row r="2" spans="1:17" s="160" customFormat="1" ht="10.199999999999999" x14ac:dyDescent="0.2">
      <c r="A2" s="236" t="s">
        <v>270</v>
      </c>
      <c r="B2" s="245"/>
    </row>
    <row r="3" spans="1:17" s="160" customFormat="1" ht="10.199999999999999" x14ac:dyDescent="0.2">
      <c r="A3" s="245"/>
      <c r="B3" s="245"/>
    </row>
    <row r="4" spans="1:17" s="160" customFormat="1" ht="10.199999999999999" x14ac:dyDescent="0.2">
      <c r="A4" s="246" t="s">
        <v>271</v>
      </c>
      <c r="B4" s="237"/>
      <c r="Q4" s="258" t="s">
        <v>278</v>
      </c>
    </row>
    <row r="5" spans="1:17" s="160" customFormat="1" ht="10.199999999999999" x14ac:dyDescent="0.2">
      <c r="A5" s="247" t="s">
        <v>272</v>
      </c>
      <c r="B5" s="248">
        <v>43466</v>
      </c>
      <c r="C5" s="248">
        <v>43497</v>
      </c>
      <c r="D5" s="248">
        <v>43525</v>
      </c>
      <c r="E5" s="248">
        <v>43556</v>
      </c>
      <c r="F5" s="248">
        <v>43586</v>
      </c>
      <c r="G5" s="248">
        <v>43617</v>
      </c>
      <c r="H5" s="248">
        <v>43647</v>
      </c>
      <c r="I5" s="248">
        <v>43678</v>
      </c>
      <c r="J5" s="248">
        <v>43709</v>
      </c>
      <c r="K5" s="248">
        <v>43739</v>
      </c>
      <c r="L5" s="248">
        <v>43770</v>
      </c>
      <c r="M5" s="248">
        <v>43800</v>
      </c>
      <c r="N5" s="248">
        <v>43831</v>
      </c>
      <c r="O5" s="248">
        <v>43862</v>
      </c>
      <c r="P5" s="248">
        <v>43891</v>
      </c>
      <c r="Q5" s="258" t="s">
        <v>31</v>
      </c>
    </row>
    <row r="6" spans="1:17" s="160" customFormat="1" ht="10.199999999999999" x14ac:dyDescent="0.2">
      <c r="A6" s="237">
        <v>7</v>
      </c>
      <c r="B6" s="187">
        <v>1259041236</v>
      </c>
      <c r="C6" s="187">
        <v>1049780380</v>
      </c>
      <c r="D6" s="187">
        <v>1045223067</v>
      </c>
      <c r="E6" s="187">
        <v>862137372</v>
      </c>
      <c r="F6" s="187">
        <v>739575710</v>
      </c>
      <c r="G6" s="187">
        <v>680198808</v>
      </c>
      <c r="H6" s="187">
        <v>681004084</v>
      </c>
      <c r="I6" s="187">
        <v>664490350</v>
      </c>
      <c r="J6" s="187">
        <v>667416415</v>
      </c>
      <c r="K6" s="187">
        <v>832664172</v>
      </c>
      <c r="L6" s="187">
        <v>1027841469</v>
      </c>
      <c r="M6" s="187">
        <v>1298827818</v>
      </c>
      <c r="N6" s="187">
        <v>1258213250</v>
      </c>
      <c r="O6" s="187">
        <v>1089063259</v>
      </c>
      <c r="P6" s="187">
        <v>1040796512</v>
      </c>
      <c r="Q6" s="259">
        <f>SUM(E6:P6)</f>
        <v>10842229219</v>
      </c>
    </row>
    <row r="7" spans="1:17" s="160" customFormat="1" ht="10.199999999999999" x14ac:dyDescent="0.2">
      <c r="A7" s="237" t="s">
        <v>192</v>
      </c>
      <c r="B7" s="187">
        <v>246764</v>
      </c>
      <c r="C7" s="187">
        <v>183620</v>
      </c>
      <c r="D7" s="187">
        <v>189933</v>
      </c>
      <c r="E7" s="187">
        <v>167628</v>
      </c>
      <c r="F7" s="187">
        <v>166290</v>
      </c>
      <c r="G7" s="187">
        <v>187192</v>
      </c>
      <c r="H7" s="187">
        <v>205916</v>
      </c>
      <c r="I7" s="187">
        <v>194650</v>
      </c>
      <c r="J7" s="187">
        <v>171585</v>
      </c>
      <c r="K7" s="187">
        <v>177828</v>
      </c>
      <c r="L7" s="187">
        <v>196531</v>
      </c>
      <c r="M7" s="187">
        <v>256182</v>
      </c>
      <c r="N7" s="187">
        <v>245750</v>
      </c>
      <c r="O7" s="187">
        <v>189741</v>
      </c>
      <c r="P7" s="187">
        <v>188488</v>
      </c>
      <c r="Q7" s="260">
        <f t="shared" ref="Q7:Q26" si="0">SUM(E7:P7)</f>
        <v>2347781</v>
      </c>
    </row>
    <row r="8" spans="1:17" s="160" customFormat="1" ht="10.199999999999999" x14ac:dyDescent="0.2">
      <c r="A8" s="237" t="s">
        <v>39</v>
      </c>
      <c r="B8" s="187">
        <v>295218528</v>
      </c>
      <c r="C8" s="187">
        <v>255723605</v>
      </c>
      <c r="D8" s="187">
        <v>273710892</v>
      </c>
      <c r="E8" s="187">
        <v>244712725</v>
      </c>
      <c r="F8" s="187">
        <v>234391959</v>
      </c>
      <c r="G8" s="187">
        <v>231714430</v>
      </c>
      <c r="H8" s="187">
        <v>246686564</v>
      </c>
      <c r="I8" s="187">
        <v>252538226</v>
      </c>
      <c r="J8" s="187">
        <v>234542474</v>
      </c>
      <c r="K8" s="187">
        <v>248013585</v>
      </c>
      <c r="L8" s="187">
        <v>269933352</v>
      </c>
      <c r="M8" s="187">
        <v>301609320</v>
      </c>
      <c r="N8" s="187">
        <v>301353905</v>
      </c>
      <c r="O8" s="187">
        <v>270457496</v>
      </c>
      <c r="P8" s="187">
        <v>278240659</v>
      </c>
      <c r="Q8" s="260">
        <f t="shared" si="0"/>
        <v>3114194695</v>
      </c>
    </row>
    <row r="9" spans="1:17" s="160" customFormat="1" ht="10.199999999999999" x14ac:dyDescent="0.2">
      <c r="A9" s="237" t="s">
        <v>273</v>
      </c>
      <c r="B9" s="187">
        <v>289950140</v>
      </c>
      <c r="C9" s="187">
        <v>264066163</v>
      </c>
      <c r="D9" s="187">
        <v>272769729</v>
      </c>
      <c r="E9" s="187">
        <v>258867791</v>
      </c>
      <c r="F9" s="187">
        <v>256834075</v>
      </c>
      <c r="G9" s="187">
        <v>256905191</v>
      </c>
      <c r="H9" s="187">
        <v>269504651</v>
      </c>
      <c r="I9" s="187">
        <v>279243349</v>
      </c>
      <c r="J9" s="187">
        <v>261587274</v>
      </c>
      <c r="K9" s="187">
        <v>267180003</v>
      </c>
      <c r="L9" s="187">
        <v>274380514</v>
      </c>
      <c r="M9" s="187">
        <v>297837101</v>
      </c>
      <c r="N9" s="187">
        <v>296268485</v>
      </c>
      <c r="O9" s="187">
        <v>279940906</v>
      </c>
      <c r="P9" s="187">
        <v>277731615</v>
      </c>
      <c r="Q9" s="260">
        <f t="shared" si="0"/>
        <v>3276280955</v>
      </c>
    </row>
    <row r="10" spans="1:17" s="160" customFormat="1" ht="10.199999999999999" x14ac:dyDescent="0.2">
      <c r="A10" s="237" t="s">
        <v>40</v>
      </c>
      <c r="B10" s="187">
        <v>164723933</v>
      </c>
      <c r="C10" s="187">
        <v>150230799</v>
      </c>
      <c r="D10" s="187">
        <v>163042231</v>
      </c>
      <c r="E10" s="187">
        <v>152804703</v>
      </c>
      <c r="F10" s="187">
        <v>157680879</v>
      </c>
      <c r="G10" s="187">
        <v>157611605</v>
      </c>
      <c r="H10" s="187">
        <v>167813054</v>
      </c>
      <c r="I10" s="187">
        <v>172968349</v>
      </c>
      <c r="J10" s="187">
        <v>160480254</v>
      </c>
      <c r="K10" s="187">
        <v>162395055</v>
      </c>
      <c r="L10" s="187">
        <v>158958136</v>
      </c>
      <c r="M10" s="187">
        <v>167497916</v>
      </c>
      <c r="N10" s="187">
        <v>165336717</v>
      </c>
      <c r="O10" s="187">
        <v>156556428</v>
      </c>
      <c r="P10" s="187">
        <v>162756863</v>
      </c>
      <c r="Q10" s="260">
        <f t="shared" si="0"/>
        <v>1942859959</v>
      </c>
    </row>
    <row r="11" spans="1:17" s="160" customFormat="1" ht="10.199999999999999" x14ac:dyDescent="0.2">
      <c r="A11" s="237">
        <v>29</v>
      </c>
      <c r="B11" s="187">
        <v>315789</v>
      </c>
      <c r="C11" s="187">
        <v>302220</v>
      </c>
      <c r="D11" s="187">
        <v>334979</v>
      </c>
      <c r="E11" s="187">
        <v>612600</v>
      </c>
      <c r="F11" s="187">
        <v>1558016</v>
      </c>
      <c r="G11" s="187">
        <v>2266966</v>
      </c>
      <c r="H11" s="187">
        <v>3727077</v>
      </c>
      <c r="I11" s="187">
        <v>3927510</v>
      </c>
      <c r="J11" s="187">
        <v>1854882</v>
      </c>
      <c r="K11" s="187">
        <v>629103</v>
      </c>
      <c r="L11" s="187">
        <v>339283</v>
      </c>
      <c r="M11" s="187">
        <v>356056</v>
      </c>
      <c r="N11" s="187">
        <v>327674</v>
      </c>
      <c r="O11" s="187">
        <v>325065</v>
      </c>
      <c r="P11" s="187">
        <v>346879</v>
      </c>
      <c r="Q11" s="260">
        <f t="shared" si="0"/>
        <v>16271111</v>
      </c>
    </row>
    <row r="12" spans="1:17" s="160" customFormat="1" ht="10.199999999999999" x14ac:dyDescent="0.2">
      <c r="A12" s="237" t="s">
        <v>41</v>
      </c>
      <c r="B12" s="187">
        <v>126212063</v>
      </c>
      <c r="C12" s="187">
        <v>111725625</v>
      </c>
      <c r="D12" s="187">
        <v>121236163</v>
      </c>
      <c r="E12" s="187">
        <v>113414025</v>
      </c>
      <c r="F12" s="187">
        <v>116668338</v>
      </c>
      <c r="G12" s="187">
        <v>116303011</v>
      </c>
      <c r="H12" s="187">
        <v>117834976</v>
      </c>
      <c r="I12" s="187">
        <v>121020000</v>
      </c>
      <c r="J12" s="187">
        <v>115558343</v>
      </c>
      <c r="K12" s="187">
        <v>118574929</v>
      </c>
      <c r="L12" s="187">
        <v>115449012</v>
      </c>
      <c r="M12" s="187">
        <v>123064531</v>
      </c>
      <c r="N12" s="187">
        <v>126426491</v>
      </c>
      <c r="O12" s="187">
        <v>116517969</v>
      </c>
      <c r="P12" s="187">
        <v>120075422</v>
      </c>
      <c r="Q12" s="260">
        <f t="shared" si="0"/>
        <v>1420907047</v>
      </c>
    </row>
    <row r="13" spans="1:17" s="160" customFormat="1" ht="10.199999999999999" x14ac:dyDescent="0.2">
      <c r="A13" s="237">
        <v>35</v>
      </c>
      <c r="B13" s="187">
        <v>4087</v>
      </c>
      <c r="C13" s="187">
        <v>3004</v>
      </c>
      <c r="D13" s="187">
        <v>6108</v>
      </c>
      <c r="E13" s="187">
        <v>431178</v>
      </c>
      <c r="F13" s="187">
        <v>757940</v>
      </c>
      <c r="G13" s="187">
        <v>789478</v>
      </c>
      <c r="H13" s="187">
        <v>1065024</v>
      </c>
      <c r="I13" s="187">
        <v>998244</v>
      </c>
      <c r="J13" s="187">
        <v>783261</v>
      </c>
      <c r="K13" s="187">
        <v>266154</v>
      </c>
      <c r="L13" s="187">
        <v>59324</v>
      </c>
      <c r="M13" s="187">
        <v>4761</v>
      </c>
      <c r="N13" s="187">
        <v>4171</v>
      </c>
      <c r="O13" s="187">
        <v>3178</v>
      </c>
      <c r="P13" s="187">
        <v>6221</v>
      </c>
      <c r="Q13" s="260">
        <f t="shared" si="0"/>
        <v>5168934</v>
      </c>
    </row>
    <row r="14" spans="1:17" s="160" customFormat="1" ht="10.199999999999999" x14ac:dyDescent="0.2">
      <c r="A14" s="237">
        <v>40</v>
      </c>
      <c r="B14" s="187">
        <v>48829011</v>
      </c>
      <c r="C14" s="187">
        <v>47493418</v>
      </c>
      <c r="D14" s="187">
        <v>49084590</v>
      </c>
      <c r="E14" s="187">
        <v>48355217</v>
      </c>
      <c r="F14" s="187">
        <v>49123810</v>
      </c>
      <c r="G14" s="187">
        <v>48900616</v>
      </c>
      <c r="H14" s="187">
        <v>49593081</v>
      </c>
      <c r="I14" s="187">
        <v>49131449</v>
      </c>
      <c r="J14" s="187">
        <v>49350987</v>
      </c>
      <c r="K14" s="187">
        <v>49704457</v>
      </c>
      <c r="L14" s="187">
        <v>48678931</v>
      </c>
      <c r="M14" s="187">
        <v>48312222</v>
      </c>
      <c r="N14" s="187">
        <v>48748369</v>
      </c>
      <c r="O14" s="187">
        <v>47805371</v>
      </c>
      <c r="P14" s="187">
        <v>48948393</v>
      </c>
      <c r="Q14" s="260">
        <f t="shared" si="0"/>
        <v>586652903</v>
      </c>
    </row>
    <row r="15" spans="1:17" s="160" customFormat="1" ht="10.199999999999999" x14ac:dyDescent="0.2">
      <c r="A15" s="237">
        <v>43</v>
      </c>
      <c r="B15" s="187">
        <v>16004159</v>
      </c>
      <c r="C15" s="187">
        <v>13601618</v>
      </c>
      <c r="D15" s="187">
        <v>12832102</v>
      </c>
      <c r="E15" s="187">
        <v>9856538</v>
      </c>
      <c r="F15" s="187">
        <v>8521410</v>
      </c>
      <c r="G15" s="187">
        <v>6976888</v>
      </c>
      <c r="H15" s="187">
        <v>5329322</v>
      </c>
      <c r="I15" s="187">
        <v>6231642</v>
      </c>
      <c r="J15" s="187">
        <v>8142567</v>
      </c>
      <c r="K15" s="187">
        <v>9900952</v>
      </c>
      <c r="L15" s="187">
        <v>12525831</v>
      </c>
      <c r="M15" s="187">
        <v>15760086</v>
      </c>
      <c r="N15" s="187">
        <v>16333296</v>
      </c>
      <c r="O15" s="187">
        <v>14389101</v>
      </c>
      <c r="P15" s="187">
        <v>13069324</v>
      </c>
      <c r="Q15" s="260">
        <f t="shared" si="0"/>
        <v>127036957</v>
      </c>
    </row>
    <row r="16" spans="1:17" s="160" customFormat="1" ht="10.199999999999999" x14ac:dyDescent="0.2">
      <c r="A16" s="237">
        <v>46</v>
      </c>
      <c r="B16" s="187">
        <v>6271906</v>
      </c>
      <c r="C16" s="187">
        <v>6776897</v>
      </c>
      <c r="D16" s="187">
        <v>7355142</v>
      </c>
      <c r="E16" s="187">
        <v>5497413</v>
      </c>
      <c r="F16" s="187">
        <v>5724159</v>
      </c>
      <c r="G16" s="187">
        <v>6729057</v>
      </c>
      <c r="H16" s="187">
        <v>7521485</v>
      </c>
      <c r="I16" s="187">
        <v>7214588</v>
      </c>
      <c r="J16" s="187">
        <v>6333236</v>
      </c>
      <c r="K16" s="187">
        <v>5885851</v>
      </c>
      <c r="L16" s="187">
        <v>5317994</v>
      </c>
      <c r="M16" s="187">
        <v>5715658</v>
      </c>
      <c r="N16" s="187">
        <v>6180253</v>
      </c>
      <c r="O16" s="187">
        <v>6969551</v>
      </c>
      <c r="P16" s="187">
        <v>7079224</v>
      </c>
      <c r="Q16" s="260">
        <f t="shared" si="0"/>
        <v>76168469</v>
      </c>
    </row>
    <row r="17" spans="1:17" s="160" customFormat="1" ht="10.199999999999999" x14ac:dyDescent="0.2">
      <c r="A17" s="237">
        <v>49</v>
      </c>
      <c r="B17" s="187">
        <v>49634926</v>
      </c>
      <c r="C17" s="187">
        <v>44802648</v>
      </c>
      <c r="D17" s="187">
        <v>50801169</v>
      </c>
      <c r="E17" s="187">
        <v>46521102</v>
      </c>
      <c r="F17" s="187">
        <v>47438554</v>
      </c>
      <c r="G17" s="187">
        <v>48915379</v>
      </c>
      <c r="H17" s="187">
        <v>52640002</v>
      </c>
      <c r="I17" s="187">
        <v>52828996</v>
      </c>
      <c r="J17" s="187">
        <v>52348153</v>
      </c>
      <c r="K17" s="187">
        <v>51481579</v>
      </c>
      <c r="L17" s="187">
        <v>51858322</v>
      </c>
      <c r="M17" s="187">
        <v>54005697</v>
      </c>
      <c r="N17" s="187">
        <v>50109842</v>
      </c>
      <c r="O17" s="187">
        <v>47030597</v>
      </c>
      <c r="P17" s="187">
        <v>50947520</v>
      </c>
      <c r="Q17" s="261">
        <f t="shared" si="0"/>
        <v>606125743</v>
      </c>
    </row>
    <row r="18" spans="1:17" s="160" customFormat="1" ht="10.199999999999999" x14ac:dyDescent="0.2">
      <c r="A18" s="160" t="s">
        <v>173</v>
      </c>
      <c r="B18" s="249">
        <v>2256452542</v>
      </c>
      <c r="C18" s="249">
        <v>1944689997</v>
      </c>
      <c r="D18" s="249">
        <v>1996586105</v>
      </c>
      <c r="E18" s="249">
        <v>1743378292</v>
      </c>
      <c r="F18" s="249">
        <v>1618441140</v>
      </c>
      <c r="G18" s="249">
        <v>1557498621</v>
      </c>
      <c r="H18" s="249">
        <v>1602925236</v>
      </c>
      <c r="I18" s="249">
        <v>1610787353</v>
      </c>
      <c r="J18" s="249">
        <v>1558569431</v>
      </c>
      <c r="K18" s="249">
        <v>1746873668</v>
      </c>
      <c r="L18" s="249">
        <v>1965538699</v>
      </c>
      <c r="M18" s="249">
        <v>2313247348</v>
      </c>
      <c r="N18" s="249">
        <v>2269548203</v>
      </c>
      <c r="O18" s="249">
        <v>2029248662</v>
      </c>
      <c r="P18" s="249">
        <v>2000187120</v>
      </c>
      <c r="Q18" s="262">
        <f t="shared" si="0"/>
        <v>22016243773</v>
      </c>
    </row>
    <row r="19" spans="1:17" s="160" customFormat="1" ht="10.199999999999999" x14ac:dyDescent="0.2">
      <c r="A19" s="237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Q19" s="262"/>
    </row>
    <row r="20" spans="1:17" s="160" customFormat="1" ht="10.199999999999999" x14ac:dyDescent="0.2">
      <c r="A20" s="251" t="s">
        <v>35</v>
      </c>
      <c r="B20" s="162">
        <v>1259041236</v>
      </c>
      <c r="C20" s="162">
        <v>1049780380</v>
      </c>
      <c r="D20" s="162">
        <v>1045223067</v>
      </c>
      <c r="E20" s="162">
        <v>862137372</v>
      </c>
      <c r="F20" s="162">
        <v>739575710</v>
      </c>
      <c r="G20" s="162">
        <v>680198808</v>
      </c>
      <c r="H20" s="162">
        <v>681004084</v>
      </c>
      <c r="I20" s="162">
        <v>664490350</v>
      </c>
      <c r="J20" s="162">
        <v>667416415</v>
      </c>
      <c r="K20" s="162">
        <v>832664172</v>
      </c>
      <c r="L20" s="162">
        <v>1027841469</v>
      </c>
      <c r="M20" s="162">
        <v>1298827818</v>
      </c>
      <c r="N20" s="162">
        <v>1258213250</v>
      </c>
      <c r="O20" s="162">
        <v>1089063259</v>
      </c>
      <c r="P20" s="162">
        <f t="shared" ref="P20" si="1">P6</f>
        <v>1040796512</v>
      </c>
      <c r="Q20" s="262">
        <f t="shared" si="0"/>
        <v>10842229219</v>
      </c>
    </row>
    <row r="21" spans="1:17" s="160" customFormat="1" ht="10.199999999999999" x14ac:dyDescent="0.2">
      <c r="A21" s="251" t="s">
        <v>36</v>
      </c>
      <c r="B21" s="162">
        <v>295218528</v>
      </c>
      <c r="C21" s="162">
        <v>255723605</v>
      </c>
      <c r="D21" s="162">
        <v>273710892</v>
      </c>
      <c r="E21" s="162">
        <v>244712725</v>
      </c>
      <c r="F21" s="162">
        <v>234391959</v>
      </c>
      <c r="G21" s="162">
        <v>231714430</v>
      </c>
      <c r="H21" s="162">
        <v>246686564</v>
      </c>
      <c r="I21" s="162">
        <v>252538226</v>
      </c>
      <c r="J21" s="162">
        <v>234542474</v>
      </c>
      <c r="K21" s="162">
        <v>248013585</v>
      </c>
      <c r="L21" s="162">
        <v>269933352</v>
      </c>
      <c r="M21" s="162">
        <v>301609320</v>
      </c>
      <c r="N21" s="162">
        <v>301353905</v>
      </c>
      <c r="O21" s="162">
        <v>270457496</v>
      </c>
      <c r="P21" s="162">
        <f t="shared" ref="P21" si="2">P8</f>
        <v>278240659</v>
      </c>
      <c r="Q21" s="262">
        <f t="shared" si="0"/>
        <v>3114194695</v>
      </c>
    </row>
    <row r="22" spans="1:17" s="160" customFormat="1" ht="10.199999999999999" x14ac:dyDescent="0.2">
      <c r="A22" s="251" t="s">
        <v>274</v>
      </c>
      <c r="B22" s="162">
        <v>306520939</v>
      </c>
      <c r="C22" s="162">
        <v>278156625</v>
      </c>
      <c r="D22" s="162">
        <v>286132851</v>
      </c>
      <c r="E22" s="162">
        <v>269935735</v>
      </c>
      <c r="F22" s="162">
        <v>267837731</v>
      </c>
      <c r="G22" s="162">
        <v>267125715</v>
      </c>
      <c r="H22" s="162">
        <v>279831990</v>
      </c>
      <c r="I22" s="162">
        <v>290595395</v>
      </c>
      <c r="J22" s="162">
        <v>272539569</v>
      </c>
      <c r="K22" s="162">
        <v>278154040</v>
      </c>
      <c r="L22" s="162">
        <v>287501483</v>
      </c>
      <c r="M22" s="162">
        <v>314214186</v>
      </c>
      <c r="N22" s="162">
        <v>313179376</v>
      </c>
      <c r="O22" s="162">
        <v>294847991</v>
      </c>
      <c r="P22" s="162">
        <f t="shared" ref="P22" si="3">SUM(P7,P9,P11,P13,P15)</f>
        <v>291342527</v>
      </c>
      <c r="Q22" s="262">
        <f t="shared" si="0"/>
        <v>3427105738</v>
      </c>
    </row>
    <row r="23" spans="1:17" s="160" customFormat="1" ht="10.199999999999999" x14ac:dyDescent="0.2">
      <c r="A23" s="251" t="s">
        <v>275</v>
      </c>
      <c r="B23" s="162">
        <v>104735843</v>
      </c>
      <c r="C23" s="162">
        <v>99072963</v>
      </c>
      <c r="D23" s="162">
        <v>107240901</v>
      </c>
      <c r="E23" s="162">
        <v>100373732</v>
      </c>
      <c r="F23" s="162">
        <v>102286523</v>
      </c>
      <c r="G23" s="162">
        <v>104545052</v>
      </c>
      <c r="H23" s="162">
        <v>109754568</v>
      </c>
      <c r="I23" s="162">
        <v>109175033</v>
      </c>
      <c r="J23" s="162">
        <v>108032376</v>
      </c>
      <c r="K23" s="162">
        <v>107071887</v>
      </c>
      <c r="L23" s="162">
        <v>105855247</v>
      </c>
      <c r="M23" s="162">
        <v>108033577</v>
      </c>
      <c r="N23" s="162">
        <v>105038464</v>
      </c>
      <c r="O23" s="162">
        <v>101805519</v>
      </c>
      <c r="P23" s="162">
        <f t="shared" ref="P23" si="4">SUM(P14,P16:P17)</f>
        <v>106975137</v>
      </c>
      <c r="Q23" s="262">
        <f t="shared" si="0"/>
        <v>1268947115</v>
      </c>
    </row>
    <row r="24" spans="1:17" s="252" customFormat="1" ht="10.199999999999999" x14ac:dyDescent="0.2">
      <c r="A24" s="253"/>
      <c r="B24" s="254"/>
      <c r="C24" s="254"/>
      <c r="D24" s="254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62"/>
    </row>
    <row r="25" spans="1:17" s="252" customFormat="1" ht="10.199999999999999" x14ac:dyDescent="0.2">
      <c r="A25" s="251" t="s">
        <v>276</v>
      </c>
      <c r="B25" s="256">
        <v>5820759.4787136372</v>
      </c>
      <c r="C25" s="256">
        <v>5441695.5004856531</v>
      </c>
      <c r="D25" s="256">
        <v>6202476.4875543863</v>
      </c>
      <c r="E25" s="256">
        <v>5693086.6076662233</v>
      </c>
      <c r="F25" s="256">
        <v>6081135.1900352882</v>
      </c>
      <c r="G25" s="256">
        <v>6173456.3848569104</v>
      </c>
      <c r="H25" s="256">
        <v>5905041.0016205534</v>
      </c>
      <c r="I25" s="256">
        <v>6034537.0558619006</v>
      </c>
      <c r="J25" s="256">
        <v>5824906.561860187</v>
      </c>
      <c r="K25" s="256">
        <v>5926015.7451137695</v>
      </c>
      <c r="L25" s="256">
        <v>6034354.6067555798</v>
      </c>
      <c r="M25" s="256">
        <v>5986262.8312006928</v>
      </c>
      <c r="N25" s="256">
        <v>5862559.8161658971</v>
      </c>
      <c r="O25" s="256">
        <v>5636360.2354978146</v>
      </c>
      <c r="P25" s="256">
        <v>6257282.0283301827</v>
      </c>
      <c r="Q25" s="262">
        <f t="shared" si="0"/>
        <v>71414998.064964995</v>
      </c>
    </row>
    <row r="26" spans="1:17" s="252" customFormat="1" ht="10.199999999999999" x14ac:dyDescent="0.2">
      <c r="A26" s="251" t="s">
        <v>277</v>
      </c>
      <c r="B26" s="256">
        <v>883000</v>
      </c>
      <c r="C26" s="256">
        <v>816000</v>
      </c>
      <c r="D26" s="256">
        <v>814000</v>
      </c>
      <c r="E26" s="256">
        <v>591000</v>
      </c>
      <c r="F26" s="256">
        <v>456999.99999999994</v>
      </c>
      <c r="G26" s="256">
        <v>356000</v>
      </c>
      <c r="H26" s="256">
        <v>314000</v>
      </c>
      <c r="I26" s="256">
        <v>285000</v>
      </c>
      <c r="J26" s="256">
        <v>324000</v>
      </c>
      <c r="K26" s="256">
        <v>483000</v>
      </c>
      <c r="L26" s="256">
        <v>697000</v>
      </c>
      <c r="M26" s="256">
        <v>1016000.0000000001</v>
      </c>
      <c r="N26" s="256">
        <v>883000</v>
      </c>
      <c r="O26" s="256">
        <v>835000</v>
      </c>
      <c r="P26" s="256">
        <v>824999.99999999988</v>
      </c>
      <c r="Q26" s="262">
        <f t="shared" si="0"/>
        <v>7066000</v>
      </c>
    </row>
    <row r="27" spans="1:17" x14ac:dyDescent="0.3">
      <c r="Q27" s="263"/>
    </row>
  </sheetData>
  <pageMargins left="0.7" right="0.7" top="0.75" bottom="0.75" header="0.3" footer="0.3"/>
  <pageSetup scale="62" orientation="landscape" r:id="rId1"/>
  <headerFooter>
    <oddFooter>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F8" sqref="F8"/>
    </sheetView>
  </sheetViews>
  <sheetFormatPr defaultColWidth="9.109375" defaultRowHeight="10.199999999999999" x14ac:dyDescent="0.2"/>
  <cols>
    <col min="1" max="1" width="1.33203125" style="171" customWidth="1"/>
    <col min="2" max="2" width="4.44140625" style="171" customWidth="1"/>
    <col min="3" max="3" width="7.33203125" style="171" bestFit="1" customWidth="1"/>
    <col min="4" max="4" width="16.6640625" style="171" bestFit="1" customWidth="1"/>
    <col min="5" max="5" width="11.6640625" style="171" bestFit="1" customWidth="1"/>
    <col min="6" max="7" width="11.6640625" style="171" customWidth="1"/>
    <col min="8" max="8" width="10.77734375" style="171" bestFit="1" customWidth="1"/>
    <col min="9" max="9" width="11.109375" style="171" bestFit="1" customWidth="1"/>
    <col min="10" max="10" width="10.5546875" style="171" customWidth="1"/>
    <col min="11" max="11" width="11.5546875" style="171" bestFit="1" customWidth="1"/>
    <col min="12" max="12" width="9.5546875" style="171" bestFit="1" customWidth="1"/>
    <col min="13" max="16384" width="9.109375" style="171"/>
  </cols>
  <sheetData>
    <row r="1" spans="1:12" ht="14.4" x14ac:dyDescent="0.3">
      <c r="A1" s="265" t="s">
        <v>16</v>
      </c>
      <c r="B1" s="265"/>
      <c r="C1" s="265"/>
      <c r="D1" s="265"/>
      <c r="E1" s="265"/>
      <c r="F1" s="265"/>
      <c r="G1" s="265"/>
      <c r="H1" s="265"/>
      <c r="I1" s="265"/>
      <c r="J1" s="269"/>
      <c r="K1" s="269"/>
      <c r="L1" s="269"/>
    </row>
    <row r="2" spans="1:12" ht="14.4" x14ac:dyDescent="0.3">
      <c r="A2" s="265" t="str">
        <f>'JAP-10 Page 1'!A2:M2</f>
        <v>2018 Expedited Rate Filing (UE-180899) - Updated to remove Microsoft</v>
      </c>
      <c r="B2" s="265"/>
      <c r="C2" s="265"/>
      <c r="D2" s="265"/>
      <c r="E2" s="265"/>
      <c r="F2" s="265"/>
      <c r="G2" s="265"/>
      <c r="H2" s="265"/>
      <c r="I2" s="265"/>
      <c r="J2" s="269"/>
      <c r="K2" s="269"/>
      <c r="L2" s="269"/>
    </row>
    <row r="3" spans="1:12" ht="14.4" x14ac:dyDescent="0.3">
      <c r="A3" s="265" t="s">
        <v>100</v>
      </c>
      <c r="B3" s="265"/>
      <c r="C3" s="265"/>
      <c r="D3" s="265"/>
      <c r="E3" s="265"/>
      <c r="F3" s="265"/>
      <c r="G3" s="265"/>
      <c r="H3" s="265"/>
      <c r="I3" s="265"/>
      <c r="J3" s="269"/>
      <c r="K3" s="269"/>
      <c r="L3" s="269"/>
    </row>
    <row r="4" spans="1:12" ht="14.4" x14ac:dyDescent="0.3">
      <c r="A4" s="265" t="s">
        <v>266</v>
      </c>
      <c r="B4" s="265"/>
      <c r="C4" s="265"/>
      <c r="D4" s="265"/>
      <c r="E4" s="265"/>
      <c r="F4" s="265"/>
      <c r="G4" s="265"/>
      <c r="H4" s="265"/>
      <c r="I4" s="265"/>
      <c r="J4" s="269"/>
      <c r="K4" s="269"/>
      <c r="L4" s="269"/>
    </row>
    <row r="5" spans="1:12" x14ac:dyDescent="0.2">
      <c r="A5" s="172"/>
      <c r="B5" s="172"/>
      <c r="C5" s="172"/>
      <c r="D5" s="172"/>
      <c r="E5" s="172"/>
      <c r="F5" s="235"/>
      <c r="G5" s="235"/>
      <c r="H5" s="172"/>
      <c r="I5" s="172"/>
      <c r="J5" s="169"/>
      <c r="K5" s="169"/>
      <c r="L5" s="169"/>
    </row>
    <row r="6" spans="1:12" ht="51" x14ac:dyDescent="0.2">
      <c r="B6" s="156" t="s">
        <v>15</v>
      </c>
      <c r="C6" s="156" t="s">
        <v>189</v>
      </c>
      <c r="D6" s="156" t="s">
        <v>17</v>
      </c>
      <c r="E6" s="234" t="s">
        <v>260</v>
      </c>
      <c r="F6" s="234" t="s">
        <v>267</v>
      </c>
      <c r="G6" s="234" t="s">
        <v>262</v>
      </c>
      <c r="H6" s="234" t="s">
        <v>265</v>
      </c>
      <c r="I6" s="234" t="s">
        <v>268</v>
      </c>
      <c r="J6" s="234" t="s">
        <v>269</v>
      </c>
      <c r="K6" s="234" t="s">
        <v>263</v>
      </c>
      <c r="L6" s="234" t="s">
        <v>264</v>
      </c>
    </row>
    <row r="7" spans="1:12" x14ac:dyDescent="0.2">
      <c r="B7" s="156"/>
      <c r="C7" s="156"/>
      <c r="D7" s="156"/>
      <c r="E7" s="158" t="s">
        <v>13</v>
      </c>
      <c r="F7" s="157" t="s">
        <v>9</v>
      </c>
      <c r="G7" s="157" t="s">
        <v>8</v>
      </c>
      <c r="H7" s="158" t="s">
        <v>12</v>
      </c>
      <c r="I7" s="157" t="s">
        <v>11</v>
      </c>
      <c r="J7" s="157" t="s">
        <v>261</v>
      </c>
    </row>
    <row r="8" spans="1:12" x14ac:dyDescent="0.2">
      <c r="B8" s="159">
        <v>1</v>
      </c>
      <c r="C8" s="159">
        <v>7</v>
      </c>
      <c r="D8" s="160"/>
      <c r="E8" s="161">
        <f>'Summary Normal Monthly kWh'!D12</f>
        <v>10657340059.648607</v>
      </c>
      <c r="F8" s="161">
        <f>'Forecast F2018'!Q6</f>
        <v>10842229219</v>
      </c>
      <c r="G8" s="240">
        <v>1075024000</v>
      </c>
      <c r="H8" s="163">
        <f>'JAP-10 Page 2 (2018 ERF)'!D15</f>
        <v>2.7910999999999998E-2</v>
      </c>
      <c r="I8" s="166">
        <f>H8</f>
        <v>2.7910999999999998E-2</v>
      </c>
      <c r="J8" s="174">
        <f>I8-H8</f>
        <v>0</v>
      </c>
      <c r="K8" s="242">
        <f>SUM(I8,-H8)*F8</f>
        <v>0</v>
      </c>
      <c r="L8" s="243">
        <v>0</v>
      </c>
    </row>
    <row r="9" spans="1:12" x14ac:dyDescent="0.2">
      <c r="B9" s="159">
        <f t="shared" ref="B9:B23" si="0">+B8+1</f>
        <v>2</v>
      </c>
      <c r="C9" s="164" t="s">
        <v>192</v>
      </c>
      <c r="D9" s="160"/>
      <c r="E9" s="161">
        <f>'Summary Normal Monthly kWh'!D13</f>
        <v>2461200</v>
      </c>
      <c r="F9" s="161">
        <f>'Forecast F2018'!Q7</f>
        <v>2347781</v>
      </c>
      <c r="G9" s="240">
        <v>212000</v>
      </c>
      <c r="H9" s="163">
        <f>'JAP-10 Page 2 (2018 ERF)'!F15</f>
        <v>2.4472000000000001E-2</v>
      </c>
      <c r="I9" s="166">
        <f>H9</f>
        <v>2.4472000000000001E-2</v>
      </c>
      <c r="J9" s="174">
        <f>I9-H9</f>
        <v>0</v>
      </c>
      <c r="K9" s="242">
        <f>SUM(I9,-H9)*F9</f>
        <v>0</v>
      </c>
      <c r="L9" s="243">
        <v>0</v>
      </c>
    </row>
    <row r="10" spans="1:12" x14ac:dyDescent="0.2">
      <c r="B10" s="159">
        <f t="shared" si="0"/>
        <v>3</v>
      </c>
      <c r="C10" s="159"/>
      <c r="D10" s="160" t="s">
        <v>248</v>
      </c>
      <c r="E10" s="165">
        <f>SUM(E8:E9)</f>
        <v>10659801259.648607</v>
      </c>
      <c r="F10" s="165">
        <f>SUM(F8:F9)</f>
        <v>10844577000</v>
      </c>
      <c r="G10" s="238">
        <f>SUM(G8:G9)</f>
        <v>1075236000</v>
      </c>
      <c r="H10" s="166"/>
      <c r="I10" s="166"/>
      <c r="J10" s="174"/>
      <c r="K10" s="238">
        <f>SUM(K8:K9)</f>
        <v>0</v>
      </c>
    </row>
    <row r="11" spans="1:12" x14ac:dyDescent="0.2">
      <c r="B11" s="159">
        <f t="shared" si="0"/>
        <v>4</v>
      </c>
      <c r="C11" s="159"/>
      <c r="D11" s="160"/>
      <c r="E11" s="162"/>
      <c r="F11" s="162"/>
      <c r="G11" s="239"/>
      <c r="H11" s="166"/>
      <c r="I11" s="166"/>
      <c r="J11" s="174"/>
      <c r="K11" s="242"/>
    </row>
    <row r="12" spans="1:12" x14ac:dyDescent="0.2">
      <c r="B12" s="159">
        <f t="shared" si="0"/>
        <v>5</v>
      </c>
      <c r="C12" s="164" t="s">
        <v>193</v>
      </c>
      <c r="D12" s="160"/>
      <c r="E12" s="161">
        <f>'Summary Normal Monthly kWh'!D14</f>
        <v>2769974283.3973689</v>
      </c>
      <c r="F12" s="161">
        <f>'Forecast F2018'!Q8</f>
        <v>3114194695</v>
      </c>
      <c r="G12" s="240">
        <v>315731000</v>
      </c>
      <c r="H12" s="163">
        <f>'JAP-10 Page 2 (2018 ERF)'!E15</f>
        <v>2.6327E-2</v>
      </c>
      <c r="I12" s="166">
        <f>H12</f>
        <v>2.6327E-2</v>
      </c>
      <c r="J12" s="174">
        <f t="shared" ref="J12:J15" si="1">I12-H12</f>
        <v>0</v>
      </c>
      <c r="K12" s="242">
        <f t="shared" ref="K12:K15" si="2">SUM(I12,-H12)*F12</f>
        <v>0</v>
      </c>
      <c r="L12" s="243">
        <v>0</v>
      </c>
    </row>
    <row r="13" spans="1:12" x14ac:dyDescent="0.2">
      <c r="B13" s="159">
        <f t="shared" si="0"/>
        <v>6</v>
      </c>
      <c r="C13" s="173" t="s">
        <v>194</v>
      </c>
      <c r="D13" s="160"/>
      <c r="E13" s="161">
        <f>'Summary Normal Monthly kWh'!D15</f>
        <v>2960203591.2199502</v>
      </c>
      <c r="F13" s="161">
        <f>'Forecast F2018'!Q9</f>
        <v>3276280955</v>
      </c>
      <c r="G13" s="240">
        <v>295946000</v>
      </c>
      <c r="H13" s="166">
        <f>H9</f>
        <v>2.4472000000000001E-2</v>
      </c>
      <c r="I13" s="166">
        <f>H13</f>
        <v>2.4472000000000001E-2</v>
      </c>
      <c r="J13" s="174">
        <f t="shared" si="1"/>
        <v>0</v>
      </c>
      <c r="K13" s="242">
        <f t="shared" si="2"/>
        <v>0</v>
      </c>
      <c r="L13" s="243">
        <v>0</v>
      </c>
    </row>
    <row r="14" spans="1:12" x14ac:dyDescent="0.2">
      <c r="B14" s="159">
        <f t="shared" si="0"/>
        <v>7</v>
      </c>
      <c r="C14" s="173" t="s">
        <v>195</v>
      </c>
      <c r="D14" s="160"/>
      <c r="E14" s="161">
        <f>'Summary Normal Monthly kWh'!D16</f>
        <v>1872505862.9326141</v>
      </c>
      <c r="F14" s="161">
        <f>'Forecast F2018'!Q10</f>
        <v>1942859959</v>
      </c>
      <c r="G14" s="240">
        <v>159298000</v>
      </c>
      <c r="H14" s="163">
        <f>'JAP-10 Page 2 (2018 ERF)'!H15</f>
        <v>2.5430999999999999E-2</v>
      </c>
      <c r="I14" s="166">
        <f>H14</f>
        <v>2.5430999999999999E-2</v>
      </c>
      <c r="J14" s="174">
        <f t="shared" si="1"/>
        <v>0</v>
      </c>
      <c r="K14" s="242">
        <f t="shared" si="2"/>
        <v>0</v>
      </c>
      <c r="L14" s="243">
        <v>0</v>
      </c>
    </row>
    <row r="15" spans="1:12" x14ac:dyDescent="0.2">
      <c r="B15" s="159">
        <f t="shared" si="0"/>
        <v>8</v>
      </c>
      <c r="C15" s="173" t="s">
        <v>251</v>
      </c>
      <c r="D15" s="160"/>
      <c r="E15" s="161">
        <f>'Summary Normal Monthly kWh'!D17</f>
        <v>18243126.113172628</v>
      </c>
      <c r="F15" s="161">
        <f>'Forecast F2018'!Q11</f>
        <v>16271111</v>
      </c>
      <c r="G15" s="240">
        <v>1294000</v>
      </c>
      <c r="H15" s="166">
        <f>H9</f>
        <v>2.4472000000000001E-2</v>
      </c>
      <c r="I15" s="166">
        <f>H15</f>
        <v>2.4472000000000001E-2</v>
      </c>
      <c r="J15" s="174">
        <f t="shared" si="1"/>
        <v>0</v>
      </c>
      <c r="K15" s="242">
        <f t="shared" si="2"/>
        <v>0</v>
      </c>
      <c r="L15" s="243">
        <v>0</v>
      </c>
    </row>
    <row r="16" spans="1:12" x14ac:dyDescent="0.2">
      <c r="B16" s="159">
        <f t="shared" si="0"/>
        <v>9</v>
      </c>
      <c r="C16" s="159"/>
      <c r="D16" s="167" t="s">
        <v>249</v>
      </c>
      <c r="E16" s="165">
        <f>SUM(E12:E15)</f>
        <v>7620926863.663106</v>
      </c>
      <c r="F16" s="165">
        <f>SUM(F12:F15)</f>
        <v>8349606720</v>
      </c>
      <c r="G16" s="238">
        <f>SUM(G12:G15)</f>
        <v>772269000</v>
      </c>
      <c r="H16" s="166"/>
      <c r="I16" s="166"/>
      <c r="J16" s="174"/>
      <c r="K16" s="238">
        <f>SUM(K14:K15)</f>
        <v>0</v>
      </c>
    </row>
    <row r="17" spans="2:12" x14ac:dyDescent="0.2">
      <c r="B17" s="159">
        <f t="shared" si="0"/>
        <v>10</v>
      </c>
      <c r="C17" s="159"/>
      <c r="D17" s="160"/>
      <c r="E17" s="162"/>
      <c r="F17" s="162"/>
      <c r="G17" s="239"/>
      <c r="H17" s="166"/>
      <c r="I17" s="166"/>
      <c r="J17" s="174"/>
      <c r="K17" s="242"/>
    </row>
    <row r="18" spans="2:12" x14ac:dyDescent="0.2">
      <c r="B18" s="159">
        <f t="shared" si="0"/>
        <v>11</v>
      </c>
      <c r="C18" s="164" t="s">
        <v>196</v>
      </c>
      <c r="D18" s="160"/>
      <c r="E18" s="161">
        <f>'Summary Normal Monthly kWh'!D18</f>
        <v>1321181417.5556166</v>
      </c>
      <c r="F18" s="161">
        <f>'Forecast F2018'!Q12</f>
        <v>1420907047</v>
      </c>
      <c r="G18" s="240">
        <v>119174000</v>
      </c>
      <c r="H18" s="163">
        <f>'JAP-10 Page 2 (2018 ERF)'!I15</f>
        <v>2.3810000000000001E-2</v>
      </c>
      <c r="I18" s="166">
        <f>H18</f>
        <v>2.3810000000000001E-2</v>
      </c>
      <c r="J18" s="174">
        <f>I18-H18</f>
        <v>0</v>
      </c>
      <c r="K18" s="242">
        <f t="shared" ref="K18:K20" si="3">SUM(I18,-H18)*F18</f>
        <v>0</v>
      </c>
      <c r="L18" s="243">
        <v>0</v>
      </c>
    </row>
    <row r="19" spans="2:12" x14ac:dyDescent="0.2">
      <c r="B19" s="159">
        <f t="shared" si="0"/>
        <v>12</v>
      </c>
      <c r="C19" s="159">
        <v>35</v>
      </c>
      <c r="D19" s="160"/>
      <c r="E19" s="161">
        <f>'Summary Normal Monthly kWh'!D19</f>
        <v>3789480</v>
      </c>
      <c r="F19" s="161">
        <f>'Forecast F2018'!Q13</f>
        <v>5168934</v>
      </c>
      <c r="G19" s="240">
        <v>290000</v>
      </c>
      <c r="H19" s="166">
        <f>H9</f>
        <v>2.4472000000000001E-2</v>
      </c>
      <c r="I19" s="166">
        <f>H19</f>
        <v>2.4472000000000001E-2</v>
      </c>
      <c r="J19" s="174">
        <f t="shared" ref="J19:J20" si="4">I19-H19</f>
        <v>0</v>
      </c>
      <c r="K19" s="242">
        <f t="shared" si="3"/>
        <v>0</v>
      </c>
      <c r="L19" s="243">
        <v>0</v>
      </c>
    </row>
    <row r="20" spans="2:12" x14ac:dyDescent="0.2">
      <c r="B20" s="159">
        <f t="shared" si="0"/>
        <v>13</v>
      </c>
      <c r="C20" s="159">
        <v>43</v>
      </c>
      <c r="D20" s="160"/>
      <c r="E20" s="161">
        <f>'Summary Normal Monthly kWh'!D20</f>
        <v>123046164.22024453</v>
      </c>
      <c r="F20" s="161">
        <f>'Forecast F2018'!Q15</f>
        <v>127036957</v>
      </c>
      <c r="G20" s="240">
        <v>11686000</v>
      </c>
      <c r="H20" s="166">
        <f>H9</f>
        <v>2.4472000000000001E-2</v>
      </c>
      <c r="I20" s="166">
        <f>H20</f>
        <v>2.4472000000000001E-2</v>
      </c>
      <c r="J20" s="174">
        <f t="shared" si="4"/>
        <v>0</v>
      </c>
      <c r="K20" s="242">
        <f t="shared" si="3"/>
        <v>0</v>
      </c>
      <c r="L20" s="243">
        <v>0</v>
      </c>
    </row>
    <row r="21" spans="2:12" x14ac:dyDescent="0.2">
      <c r="B21" s="159">
        <f t="shared" si="0"/>
        <v>14</v>
      </c>
      <c r="C21" s="159"/>
      <c r="D21" s="160" t="s">
        <v>250</v>
      </c>
      <c r="E21" s="165">
        <f>SUM(E18:E20)</f>
        <v>1448017061.7758613</v>
      </c>
      <c r="F21" s="165">
        <f>SUM(F18:F20)</f>
        <v>1553112938</v>
      </c>
      <c r="G21" s="238">
        <f>SUM(G18:G20)</f>
        <v>131150000</v>
      </c>
      <c r="H21" s="166"/>
      <c r="I21" s="166"/>
      <c r="J21" s="174"/>
      <c r="K21" s="238">
        <f>SUM(K19:K20)</f>
        <v>0</v>
      </c>
    </row>
    <row r="22" spans="2:12" x14ac:dyDescent="0.2">
      <c r="B22" s="159">
        <f t="shared" si="0"/>
        <v>15</v>
      </c>
      <c r="C22" s="159"/>
      <c r="D22" s="160"/>
      <c r="E22" s="162"/>
      <c r="F22" s="162"/>
      <c r="G22" s="239"/>
      <c r="H22" s="166"/>
      <c r="I22" s="166"/>
      <c r="J22" s="174"/>
      <c r="K22" s="242"/>
    </row>
    <row r="23" spans="2:12" x14ac:dyDescent="0.2">
      <c r="B23" s="159">
        <f t="shared" si="0"/>
        <v>16</v>
      </c>
      <c r="C23" s="159">
        <v>40</v>
      </c>
      <c r="D23" s="160"/>
      <c r="E23" s="168">
        <f>'Summary Normal Monthly kWh'!D21</f>
        <v>534767436.60406774</v>
      </c>
      <c r="F23" s="168">
        <f>'Forecast F2018'!Q14</f>
        <v>586652903</v>
      </c>
      <c r="G23" s="241">
        <v>45383000</v>
      </c>
      <c r="H23" s="163">
        <f>'JAP-10 Page 2 (2018 ERF)'!G15</f>
        <v>2.7692999999999999E-2</v>
      </c>
      <c r="I23" s="166">
        <f>H23</f>
        <v>2.7692999999999999E-2</v>
      </c>
      <c r="J23" s="174">
        <f>I23-H23</f>
        <v>0</v>
      </c>
      <c r="K23" s="244">
        <f>SUM(I23,-H23)*F23</f>
        <v>0</v>
      </c>
      <c r="L23" s="243">
        <v>0</v>
      </c>
    </row>
  </sheetData>
  <mergeCells count="4">
    <mergeCell ref="A1:L1"/>
    <mergeCell ref="A2:L2"/>
    <mergeCell ref="A3:L3"/>
    <mergeCell ref="A4:L4"/>
  </mergeCells>
  <pageMargins left="0.75" right="0.75" top="1" bottom="1" header="0.5" footer="0.5"/>
  <pageSetup orientation="landscape" horizontalDpi="300" verticalDpi="300" r:id="rId1"/>
  <headerFooter alignWithMargins="0">
    <oddFooter>&amp;R&amp;F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7" zoomScaleNormal="100" workbookViewId="0">
      <selection activeCell="I29" sqref="I29"/>
    </sheetView>
  </sheetViews>
  <sheetFormatPr defaultColWidth="9.109375" defaultRowHeight="10.199999999999999" x14ac:dyDescent="0.2"/>
  <cols>
    <col min="1" max="1" width="5.33203125" style="171" customWidth="1"/>
    <col min="2" max="2" width="2.6640625" style="171" customWidth="1"/>
    <col min="3" max="3" width="33" style="171" customWidth="1"/>
    <col min="4" max="4" width="15" style="199" bestFit="1" customWidth="1"/>
    <col min="5" max="8" width="11.5546875" style="199" bestFit="1" customWidth="1"/>
    <col min="9" max="16" width="11.5546875" style="171" bestFit="1" customWidth="1"/>
    <col min="17" max="17" width="12.33203125" style="171" bestFit="1" customWidth="1"/>
    <col min="18" max="18" width="9.109375" style="171" customWidth="1"/>
    <col min="19" max="16384" width="9.109375" style="171"/>
  </cols>
  <sheetData>
    <row r="1" spans="1:18" x14ac:dyDescent="0.2">
      <c r="A1" s="265" t="s">
        <v>16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8" x14ac:dyDescent="0.2">
      <c r="A2" s="265" t="str">
        <f>'JAP-10 Page 1'!A2:M2</f>
        <v>2018 Expedited Rate Filing (UE-180899) - Updated to remove Microsoft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18" x14ac:dyDescent="0.2">
      <c r="A3" s="265" t="s">
        <v>100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</row>
    <row r="4" spans="1:18" x14ac:dyDescent="0.2">
      <c r="A4" s="265" t="s">
        <v>90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</row>
    <row r="5" spans="1:18" x14ac:dyDescent="0.2">
      <c r="A5" s="178"/>
      <c r="B5" s="178"/>
      <c r="C5" s="178"/>
      <c r="D5" s="179"/>
      <c r="E5" s="179"/>
      <c r="F5" s="179"/>
      <c r="G5" s="179"/>
      <c r="H5" s="179"/>
      <c r="I5" s="178"/>
      <c r="J5" s="178"/>
      <c r="K5" s="178"/>
      <c r="L5" s="178"/>
      <c r="M5" s="178"/>
      <c r="N5" s="178"/>
      <c r="O5" s="178"/>
      <c r="P5" s="178"/>
      <c r="Q5" s="178"/>
    </row>
    <row r="6" spans="1:18" ht="20.399999999999999" x14ac:dyDescent="0.2">
      <c r="A6" s="180" t="s">
        <v>15</v>
      </c>
      <c r="B6" s="180"/>
      <c r="C6" s="181"/>
      <c r="D6" s="180" t="s">
        <v>14</v>
      </c>
      <c r="E6" s="182" t="s">
        <v>19</v>
      </c>
      <c r="F6" s="182" t="s">
        <v>20</v>
      </c>
      <c r="G6" s="182" t="s">
        <v>21</v>
      </c>
      <c r="H6" s="182" t="s">
        <v>22</v>
      </c>
      <c r="I6" s="182" t="s">
        <v>23</v>
      </c>
      <c r="J6" s="182" t="s">
        <v>24</v>
      </c>
      <c r="K6" s="182" t="s">
        <v>25</v>
      </c>
      <c r="L6" s="182" t="s">
        <v>26</v>
      </c>
      <c r="M6" s="182" t="s">
        <v>27</v>
      </c>
      <c r="N6" s="182" t="s">
        <v>28</v>
      </c>
      <c r="O6" s="182" t="s">
        <v>29</v>
      </c>
      <c r="P6" s="182" t="s">
        <v>30</v>
      </c>
      <c r="Q6" s="180" t="s">
        <v>31</v>
      </c>
    </row>
    <row r="7" spans="1:18" x14ac:dyDescent="0.2">
      <c r="A7" s="178"/>
      <c r="B7" s="178"/>
      <c r="C7" s="179" t="s">
        <v>13</v>
      </c>
      <c r="D7" s="179" t="s">
        <v>12</v>
      </c>
      <c r="E7" s="179" t="s">
        <v>11</v>
      </c>
      <c r="F7" s="179" t="s">
        <v>10</v>
      </c>
      <c r="G7" s="179" t="s">
        <v>9</v>
      </c>
      <c r="H7" s="179" t="s">
        <v>8</v>
      </c>
      <c r="I7" s="179" t="s">
        <v>7</v>
      </c>
      <c r="J7" s="179" t="s">
        <v>6</v>
      </c>
      <c r="K7" s="179" t="s">
        <v>5</v>
      </c>
      <c r="L7" s="179" t="s">
        <v>4</v>
      </c>
      <c r="M7" s="179" t="s">
        <v>3</v>
      </c>
      <c r="N7" s="179" t="s">
        <v>2</v>
      </c>
      <c r="O7" s="179" t="s">
        <v>1</v>
      </c>
      <c r="P7" s="179" t="s">
        <v>0</v>
      </c>
      <c r="Q7" s="179" t="s">
        <v>18</v>
      </c>
    </row>
    <row r="8" spans="1:18" x14ac:dyDescent="0.2">
      <c r="A8" s="179"/>
      <c r="B8" s="183" t="s">
        <v>34</v>
      </c>
      <c r="C8" s="184"/>
      <c r="D8" s="179"/>
      <c r="E8" s="179"/>
      <c r="F8" s="179"/>
      <c r="G8" s="179"/>
      <c r="H8" s="179"/>
      <c r="I8" s="179"/>
      <c r="J8" s="179"/>
      <c r="K8" s="178"/>
      <c r="L8" s="178"/>
      <c r="M8" s="178"/>
      <c r="N8" s="178"/>
      <c r="O8" s="178"/>
      <c r="P8" s="178"/>
      <c r="Q8" s="178"/>
    </row>
    <row r="9" spans="1:18" x14ac:dyDescent="0.2">
      <c r="A9" s="179">
        <v>1</v>
      </c>
      <c r="B9" s="185" t="s">
        <v>35</v>
      </c>
      <c r="D9" s="179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86"/>
    </row>
    <row r="10" spans="1:18" x14ac:dyDescent="0.2">
      <c r="A10" s="179">
        <f t="shared" ref="A10:A56" si="0">A9+1</f>
        <v>2</v>
      </c>
      <c r="B10" s="179"/>
      <c r="C10" s="178" t="s">
        <v>97</v>
      </c>
      <c r="D10" s="179" t="s">
        <v>244</v>
      </c>
      <c r="E10" s="187">
        <f>'Summary Normal Monthly kWh'!E12</f>
        <v>1217809396.3717051</v>
      </c>
      <c r="F10" s="187">
        <f>'Summary Normal Monthly kWh'!F12</f>
        <v>1029221052.455801</v>
      </c>
      <c r="G10" s="187">
        <f>'Summary Normal Monthly kWh'!G12</f>
        <v>1042285607.8058866</v>
      </c>
      <c r="H10" s="187">
        <f>'Summary Normal Monthly kWh'!H12</f>
        <v>848382820.3486625</v>
      </c>
      <c r="I10" s="187">
        <f>'Summary Normal Monthly kWh'!I12</f>
        <v>682087265.04118538</v>
      </c>
      <c r="J10" s="187">
        <f>'Summary Normal Monthly kWh'!J12</f>
        <v>662181951.97669625</v>
      </c>
      <c r="K10" s="187">
        <f>'Summary Normal Monthly kWh'!K12</f>
        <v>683028854.42198575</v>
      </c>
      <c r="L10" s="187">
        <f>'Summary Normal Monthly kWh'!L12</f>
        <v>689494898.41436493</v>
      </c>
      <c r="M10" s="187">
        <f>'Summary Normal Monthly kWh'!M12</f>
        <v>658439734.18934715</v>
      </c>
      <c r="N10" s="187">
        <f>'Summary Normal Monthly kWh'!N12</f>
        <v>840421026.72084284</v>
      </c>
      <c r="O10" s="187">
        <f>'Summary Normal Monthly kWh'!O12</f>
        <v>1034613281.7917739</v>
      </c>
      <c r="P10" s="187">
        <f>'Summary Normal Monthly kWh'!P12</f>
        <v>1269374170.1103554</v>
      </c>
      <c r="Q10" s="188">
        <f>SUM(E10:P10)</f>
        <v>10657340059.648607</v>
      </c>
      <c r="R10" s="189"/>
    </row>
    <row r="11" spans="1:18" x14ac:dyDescent="0.2">
      <c r="A11" s="179">
        <f t="shared" si="0"/>
        <v>3</v>
      </c>
      <c r="B11" s="179"/>
      <c r="C11" s="178" t="s">
        <v>33</v>
      </c>
      <c r="D11" s="164" t="s">
        <v>80</v>
      </c>
      <c r="E11" s="190">
        <f t="shared" ref="E11:P11" si="1">E10/$Q10</f>
        <v>0.11426954470399611</v>
      </c>
      <c r="F11" s="190">
        <f t="shared" si="1"/>
        <v>9.6573914944564174E-2</v>
      </c>
      <c r="G11" s="190">
        <f t="shared" si="1"/>
        <v>9.7799788875297722E-2</v>
      </c>
      <c r="H11" s="190">
        <f t="shared" si="1"/>
        <v>7.9605494016359205E-2</v>
      </c>
      <c r="I11" s="190">
        <f t="shared" si="1"/>
        <v>6.4001642175587584E-2</v>
      </c>
      <c r="J11" s="190">
        <f t="shared" si="1"/>
        <v>6.2133885966901357E-2</v>
      </c>
      <c r="K11" s="190">
        <f t="shared" si="1"/>
        <v>6.4089993431673084E-2</v>
      </c>
      <c r="L11" s="190">
        <f t="shared" si="1"/>
        <v>6.4696715555222592E-2</v>
      </c>
      <c r="M11" s="190">
        <f t="shared" si="1"/>
        <v>6.1782746023312796E-2</v>
      </c>
      <c r="N11" s="190">
        <f>N10/$Q10</f>
        <v>7.8858422647400547E-2</v>
      </c>
      <c r="O11" s="190">
        <f t="shared" si="1"/>
        <v>9.7079878844166967E-2</v>
      </c>
      <c r="P11" s="190">
        <f t="shared" si="1"/>
        <v>0.11910797281551783</v>
      </c>
      <c r="Q11" s="190">
        <f>SUM(E11:P11)</f>
        <v>0.99999999999999978</v>
      </c>
      <c r="R11" s="189"/>
    </row>
    <row r="12" spans="1:18" x14ac:dyDescent="0.2">
      <c r="A12" s="179">
        <f t="shared" si="0"/>
        <v>4</v>
      </c>
      <c r="B12" s="179"/>
      <c r="C12" s="178"/>
      <c r="D12" s="15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89"/>
    </row>
    <row r="13" spans="1:18" x14ac:dyDescent="0.2">
      <c r="A13" s="179">
        <f t="shared" si="0"/>
        <v>5</v>
      </c>
      <c r="B13" s="185" t="s">
        <v>36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89"/>
    </row>
    <row r="14" spans="1:18" x14ac:dyDescent="0.2">
      <c r="A14" s="179">
        <f t="shared" si="0"/>
        <v>6</v>
      </c>
      <c r="B14" s="179"/>
      <c r="C14" s="178" t="str">
        <f>C10</f>
        <v>Weather-Normalized kWh Sales</v>
      </c>
      <c r="D14" s="191" t="str">
        <f>D10</f>
        <v>Exhibit JAP-4</v>
      </c>
      <c r="E14" s="187">
        <f>'Summary Normal Monthly kWh'!E14</f>
        <v>268307038.57199278</v>
      </c>
      <c r="F14" s="187">
        <f>'Summary Normal Monthly kWh'!F14</f>
        <v>227207898.53795847</v>
      </c>
      <c r="G14" s="187">
        <f>'Summary Normal Monthly kWh'!G14</f>
        <v>244652400.50093108</v>
      </c>
      <c r="H14" s="187">
        <f>'Summary Normal Monthly kWh'!H14</f>
        <v>211402682.75275233</v>
      </c>
      <c r="I14" s="187">
        <f>'Summary Normal Monthly kWh'!I14</f>
        <v>207943010.22681922</v>
      </c>
      <c r="J14" s="187">
        <f>'Summary Normal Monthly kWh'!J14</f>
        <v>200088798.37976211</v>
      </c>
      <c r="K14" s="187">
        <f>'Summary Normal Monthly kWh'!K14</f>
        <v>224981849.41511604</v>
      </c>
      <c r="L14" s="187">
        <f>'Summary Normal Monthly kWh'!L14</f>
        <v>236629518.22228226</v>
      </c>
      <c r="M14" s="187">
        <f>'Summary Normal Monthly kWh'!M14</f>
        <v>211269345.82597348</v>
      </c>
      <c r="N14" s="187">
        <f>'Summary Normal Monthly kWh'!N14</f>
        <v>222924321.4157142</v>
      </c>
      <c r="O14" s="187">
        <f>'Summary Normal Monthly kWh'!O14</f>
        <v>241969138.58819419</v>
      </c>
      <c r="P14" s="187">
        <f>'Summary Normal Monthly kWh'!P14</f>
        <v>272598280.9598729</v>
      </c>
      <c r="Q14" s="188">
        <f>SUM(E14:P14)</f>
        <v>2769974283.3973689</v>
      </c>
      <c r="R14" s="189"/>
    </row>
    <row r="15" spans="1:18" x14ac:dyDescent="0.2">
      <c r="A15" s="179">
        <f t="shared" si="0"/>
        <v>7</v>
      </c>
      <c r="B15" s="179"/>
      <c r="C15" s="178" t="s">
        <v>33</v>
      </c>
      <c r="D15" s="191" t="s">
        <v>81</v>
      </c>
      <c r="E15" s="192">
        <f t="shared" ref="E15:P15" si="2">E14/$Q14</f>
        <v>9.6862646046993128E-2</v>
      </c>
      <c r="F15" s="192">
        <f t="shared" si="2"/>
        <v>8.2025273627915549E-2</v>
      </c>
      <c r="G15" s="192">
        <f t="shared" si="2"/>
        <v>8.8322986233960746E-2</v>
      </c>
      <c r="H15" s="192">
        <f t="shared" si="2"/>
        <v>7.6319366580352252E-2</v>
      </c>
      <c r="I15" s="192">
        <f t="shared" si="2"/>
        <v>7.5070375733516728E-2</v>
      </c>
      <c r="J15" s="192">
        <f t="shared" si="2"/>
        <v>7.2234893868528452E-2</v>
      </c>
      <c r="K15" s="192">
        <f t="shared" si="2"/>
        <v>8.1221638324806458E-2</v>
      </c>
      <c r="L15" s="192">
        <f t="shared" si="2"/>
        <v>8.5426611951088777E-2</v>
      </c>
      <c r="M15" s="192">
        <f t="shared" si="2"/>
        <v>7.627123005880472E-2</v>
      </c>
      <c r="N15" s="192">
        <f t="shared" si="2"/>
        <v>8.0478841537221027E-2</v>
      </c>
      <c r="O15" s="192">
        <f t="shared" si="2"/>
        <v>8.735429062952145E-2</v>
      </c>
      <c r="P15" s="192">
        <f t="shared" si="2"/>
        <v>9.8411845407290768E-2</v>
      </c>
      <c r="Q15" s="192">
        <f>SUM(E15:P15)</f>
        <v>1.0000000000000002</v>
      </c>
      <c r="R15" s="189"/>
    </row>
    <row r="16" spans="1:18" x14ac:dyDescent="0.2">
      <c r="A16" s="179">
        <f t="shared" si="0"/>
        <v>8</v>
      </c>
      <c r="B16" s="179"/>
      <c r="C16" s="178"/>
      <c r="D16" s="191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8" x14ac:dyDescent="0.2">
      <c r="A17" s="179">
        <f t="shared" si="0"/>
        <v>9</v>
      </c>
      <c r="B17" s="185" t="s">
        <v>71</v>
      </c>
      <c r="D17" s="179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86"/>
    </row>
    <row r="18" spans="1:18" x14ac:dyDescent="0.2">
      <c r="A18" s="179">
        <f t="shared" si="0"/>
        <v>10</v>
      </c>
      <c r="B18" s="179"/>
      <c r="C18" s="178" t="str">
        <f>C10</f>
        <v>Weather-Normalized kWh Sales</v>
      </c>
      <c r="D18" s="191" t="str">
        <f>D10</f>
        <v>Exhibit JAP-4</v>
      </c>
      <c r="E18" s="187">
        <f>'Summary Normal Monthly kWh'!E13+'Summary Normal Monthly kWh'!E15+'Summary Normal Monthly kWh'!E17+'Summary Normal Monthly kWh'!E19+'Summary Normal Monthly kWh'!E20</f>
        <v>283862215.19315606</v>
      </c>
      <c r="F18" s="187">
        <f>'Summary Normal Monthly kWh'!F13+'Summary Normal Monthly kWh'!F15+'Summary Normal Monthly kWh'!F17+'Summary Normal Monthly kWh'!F19+'Summary Normal Monthly kWh'!F20</f>
        <v>262024120.92486566</v>
      </c>
      <c r="G18" s="187">
        <f>'Summary Normal Monthly kWh'!G13+'Summary Normal Monthly kWh'!G15+'Summary Normal Monthly kWh'!G17+'Summary Normal Monthly kWh'!G19+'Summary Normal Monthly kWh'!G20</f>
        <v>277745663.5656966</v>
      </c>
      <c r="H18" s="187">
        <f>'Summary Normal Monthly kWh'!H13+'Summary Normal Monthly kWh'!H15+'Summary Normal Monthly kWh'!H17+'Summary Normal Monthly kWh'!H19+'Summary Normal Monthly kWh'!H20</f>
        <v>250222352.4840396</v>
      </c>
      <c r="I18" s="187">
        <f>'Summary Normal Monthly kWh'!I13+'Summary Normal Monthly kWh'!I15+'Summary Normal Monthly kWh'!I17+'Summary Normal Monthly kWh'!I19+'Summary Normal Monthly kWh'!I20</f>
        <v>257053131.41416478</v>
      </c>
      <c r="J18" s="187">
        <f>'Summary Normal Monthly kWh'!J13+'Summary Normal Monthly kWh'!J15+'Summary Normal Monthly kWh'!J17+'Summary Normal Monthly kWh'!J19+'Summary Normal Monthly kWh'!J20</f>
        <v>239676309.07878903</v>
      </c>
      <c r="K18" s="187">
        <f>'Summary Normal Monthly kWh'!K13+'Summary Normal Monthly kWh'!K15+'Summary Normal Monthly kWh'!K17+'Summary Normal Monthly kWh'!K19+'Summary Normal Monthly kWh'!K20</f>
        <v>250744317.60794047</v>
      </c>
      <c r="L18" s="187">
        <f>'Summary Normal Monthly kWh'!L13+'Summary Normal Monthly kWh'!L15+'Summary Normal Monthly kWh'!L17+'Summary Normal Monthly kWh'!L19+'Summary Normal Monthly kWh'!L20</f>
        <v>265696179.81656981</v>
      </c>
      <c r="M18" s="187">
        <f>'Summary Normal Monthly kWh'!M13+'Summary Normal Monthly kWh'!M15+'Summary Normal Monthly kWh'!M17+'Summary Normal Monthly kWh'!M19+'Summary Normal Monthly kWh'!M20</f>
        <v>238697893.00688696</v>
      </c>
      <c r="N18" s="187">
        <f>'Summary Normal Monthly kWh'!N13+'Summary Normal Monthly kWh'!N15+'Summary Normal Monthly kWh'!N17+'Summary Normal Monthly kWh'!N19+'Summary Normal Monthly kWh'!N20</f>
        <v>246709067.32583916</v>
      </c>
      <c r="O18" s="187">
        <f>'Summary Normal Monthly kWh'!O13+'Summary Normal Monthly kWh'!O15+'Summary Normal Monthly kWh'!O17+'Summary Normal Monthly kWh'!O19+'Summary Normal Monthly kWh'!O20</f>
        <v>257220758.2833263</v>
      </c>
      <c r="P18" s="187">
        <f>'Summary Normal Monthly kWh'!P13+'Summary Normal Monthly kWh'!P15+'Summary Normal Monthly kWh'!P17+'Summary Normal Monthly kWh'!P19+'Summary Normal Monthly kWh'!P20</f>
        <v>278091552.8520931</v>
      </c>
      <c r="Q18" s="188">
        <f>SUM(E18:P18)</f>
        <v>3107743561.5533671</v>
      </c>
      <c r="R18" s="193"/>
    </row>
    <row r="19" spans="1:18" x14ac:dyDescent="0.2">
      <c r="A19" s="179">
        <f t="shared" si="0"/>
        <v>11</v>
      </c>
      <c r="B19" s="179"/>
      <c r="C19" s="178" t="s">
        <v>33</v>
      </c>
      <c r="D19" s="164" t="s">
        <v>82</v>
      </c>
      <c r="E19" s="190">
        <f t="shared" ref="E19:P19" si="3">E18/$Q18</f>
        <v>9.1340295481545791E-2</v>
      </c>
      <c r="F19" s="190">
        <f t="shared" si="3"/>
        <v>8.431330183301744E-2</v>
      </c>
      <c r="G19" s="190">
        <f t="shared" si="3"/>
        <v>8.9372130635794439E-2</v>
      </c>
      <c r="H19" s="190">
        <f t="shared" si="3"/>
        <v>8.0515765708470827E-2</v>
      </c>
      <c r="I19" s="190">
        <f t="shared" si="3"/>
        <v>8.2713752381061961E-2</v>
      </c>
      <c r="J19" s="190">
        <f t="shared" si="3"/>
        <v>7.7122292857068869E-2</v>
      </c>
      <c r="K19" s="190">
        <f t="shared" si="3"/>
        <v>8.0683722012960757E-2</v>
      </c>
      <c r="L19" s="190">
        <f t="shared" si="3"/>
        <v>8.5494885454372838E-2</v>
      </c>
      <c r="M19" s="190">
        <f t="shared" si="3"/>
        <v>7.6807461194634982E-2</v>
      </c>
      <c r="N19" s="190">
        <f t="shared" si="3"/>
        <v>7.9385271802324867E-2</v>
      </c>
      <c r="O19" s="190">
        <f t="shared" si="3"/>
        <v>8.2767690830564442E-2</v>
      </c>
      <c r="P19" s="190">
        <f t="shared" si="3"/>
        <v>8.9483429808182913E-2</v>
      </c>
      <c r="Q19" s="190">
        <f>SUM(E19:P19)</f>
        <v>1.0000000000000002</v>
      </c>
    </row>
    <row r="20" spans="1:18" x14ac:dyDescent="0.2">
      <c r="A20" s="179">
        <f t="shared" si="0"/>
        <v>12</v>
      </c>
      <c r="B20" s="179"/>
      <c r="C20" s="178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</row>
    <row r="21" spans="1:18" x14ac:dyDescent="0.2">
      <c r="A21" s="179">
        <f t="shared" si="0"/>
        <v>13</v>
      </c>
      <c r="B21" s="185" t="s">
        <v>95</v>
      </c>
      <c r="D21" s="160"/>
      <c r="E21" s="270"/>
      <c r="F21" s="271"/>
      <c r="G21" s="271"/>
      <c r="H21" s="271"/>
      <c r="I21" s="271"/>
      <c r="J21" s="271"/>
      <c r="K21" s="272"/>
      <c r="L21" s="272"/>
      <c r="M21" s="272"/>
      <c r="N21" s="272"/>
      <c r="O21" s="272"/>
      <c r="P21" s="272"/>
      <c r="Q21" s="272"/>
    </row>
    <row r="22" spans="1:18" x14ac:dyDescent="0.2">
      <c r="A22" s="179">
        <f t="shared" si="0"/>
        <v>14</v>
      </c>
      <c r="B22" s="179"/>
      <c r="C22" s="178" t="str">
        <f>C10</f>
        <v>Weather-Normalized kWh Sales</v>
      </c>
      <c r="D22" s="191" t="str">
        <f>D10</f>
        <v>Exhibit JAP-4</v>
      </c>
      <c r="E22" s="187">
        <f>'Sch 40 Details'!I38</f>
        <v>12107276.319733197</v>
      </c>
      <c r="F22" s="187">
        <f>'Sch 40 Details'!J38</f>
        <v>13017106.464386996</v>
      </c>
      <c r="G22" s="187">
        <f>'Sch 40 Details'!K38</f>
        <v>8969938.0729186162</v>
      </c>
      <c r="H22" s="187">
        <f>'Sch 40 Details'!L38</f>
        <v>14473861.181817237</v>
      </c>
      <c r="I22" s="187">
        <f>'Sch 40 Details'!M38</f>
        <v>12932349.746212237</v>
      </c>
      <c r="J22" s="187">
        <f>'Sch 40 Details'!N38</f>
        <v>10354418.633227777</v>
      </c>
      <c r="K22" s="187">
        <f>'Sch 40 Details'!C38</f>
        <v>15134473.08763686</v>
      </c>
      <c r="L22" s="187">
        <f>'Sch 40 Details'!D38</f>
        <v>15529343.827279948</v>
      </c>
      <c r="M22" s="187">
        <f>'Sch 40 Details'!E38</f>
        <v>14198032.254928114</v>
      </c>
      <c r="N22" s="187">
        <f>'Sch 40 Details'!F38</f>
        <v>13225494.01587495</v>
      </c>
      <c r="O22" s="187">
        <f>'Sch 40 Details'!G38</f>
        <v>13227938.147034455</v>
      </c>
      <c r="P22" s="187">
        <f>'Sch 40 Details'!H38</f>
        <v>15086102.486686565</v>
      </c>
      <c r="Q22" s="194">
        <f>SUM(E22:P22)</f>
        <v>158256334.23773694</v>
      </c>
      <c r="R22" s="193"/>
    </row>
    <row r="23" spans="1:18" x14ac:dyDescent="0.2">
      <c r="A23" s="179">
        <f t="shared" si="0"/>
        <v>15</v>
      </c>
      <c r="B23" s="179"/>
      <c r="C23" s="178" t="s">
        <v>33</v>
      </c>
      <c r="D23" s="191" t="s">
        <v>83</v>
      </c>
      <c r="E23" s="192">
        <f t="shared" ref="E23:P23" si="4">E22/$Q22</f>
        <v>7.6504213104957419E-2</v>
      </c>
      <c r="F23" s="192">
        <f t="shared" si="4"/>
        <v>8.2253304596531004E-2</v>
      </c>
      <c r="G23" s="192">
        <f t="shared" si="4"/>
        <v>5.667980442061632E-2</v>
      </c>
      <c r="H23" s="192">
        <f t="shared" si="4"/>
        <v>9.1458337206738349E-2</v>
      </c>
      <c r="I23" s="192">
        <f t="shared" si="4"/>
        <v>8.1717738556896638E-2</v>
      </c>
      <c r="J23" s="192">
        <f t="shared" si="4"/>
        <v>6.5428146576888918E-2</v>
      </c>
      <c r="K23" s="192">
        <f t="shared" si="4"/>
        <v>9.5632652939511703E-2</v>
      </c>
      <c r="L23" s="192">
        <f t="shared" si="4"/>
        <v>9.8127786809160816E-2</v>
      </c>
      <c r="M23" s="192">
        <f t="shared" si="4"/>
        <v>8.9715412171745654E-2</v>
      </c>
      <c r="N23" s="192">
        <f t="shared" si="4"/>
        <v>8.3570076860287029E-2</v>
      </c>
      <c r="O23" s="192">
        <f t="shared" si="4"/>
        <v>8.3585520988771853E-2</v>
      </c>
      <c r="P23" s="192">
        <f t="shared" si="4"/>
        <v>9.5327005767894352E-2</v>
      </c>
      <c r="Q23" s="192">
        <f>SUM(E23:P23)</f>
        <v>1</v>
      </c>
    </row>
    <row r="24" spans="1:18" x14ac:dyDescent="0.2">
      <c r="A24" s="179">
        <f t="shared" si="0"/>
        <v>16</v>
      </c>
      <c r="B24" s="179"/>
      <c r="C24" s="178"/>
      <c r="D24" s="191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8" x14ac:dyDescent="0.2">
      <c r="A25" s="179">
        <f t="shared" si="0"/>
        <v>17</v>
      </c>
      <c r="B25" s="185" t="s">
        <v>37</v>
      </c>
      <c r="C25" s="178"/>
      <c r="D25" s="179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86"/>
    </row>
    <row r="26" spans="1:18" x14ac:dyDescent="0.2">
      <c r="A26" s="179">
        <f t="shared" si="0"/>
        <v>18</v>
      </c>
      <c r="B26" s="179"/>
      <c r="C26" s="178" t="str">
        <f>C10</f>
        <v>Weather-Normalized kWh Sales</v>
      </c>
      <c r="D26" s="191" t="str">
        <f>D10</f>
        <v>Exhibit JAP-4</v>
      </c>
      <c r="E26" s="187">
        <f>'Summary Normal Monthly kWh'!E16</f>
        <v>139346518.61467844</v>
      </c>
      <c r="F26" s="187">
        <f>'Summary Normal Monthly kWh'!F16</f>
        <v>169196589.8632482</v>
      </c>
      <c r="G26" s="187">
        <f>'Summary Normal Monthly kWh'!G16</f>
        <v>150010041.24672765</v>
      </c>
      <c r="H26" s="187">
        <f>'Summary Normal Monthly kWh'!H16</f>
        <v>147880845.09164891</v>
      </c>
      <c r="I26" s="187">
        <f>'Summary Normal Monthly kWh'!I16</f>
        <v>157388825.39053777</v>
      </c>
      <c r="J26" s="187">
        <f>'Summary Normal Monthly kWh'!J16</f>
        <v>158782240.87865049</v>
      </c>
      <c r="K26" s="187">
        <f>'Summary Normal Monthly kWh'!K16</f>
        <v>161963003.24104062</v>
      </c>
      <c r="L26" s="187">
        <f>'Summary Normal Monthly kWh'!L16</f>
        <v>172512622.08313176</v>
      </c>
      <c r="M26" s="187">
        <f>'Summary Normal Monthly kWh'!M16</f>
        <v>151286265.25392488</v>
      </c>
      <c r="N26" s="187">
        <f>'Summary Normal Monthly kWh'!N16</f>
        <v>155619020.68197143</v>
      </c>
      <c r="O26" s="187">
        <f>'Summary Normal Monthly kWh'!O16</f>
        <v>149475216.60872561</v>
      </c>
      <c r="P26" s="187">
        <f>'Summary Normal Monthly kWh'!P16</f>
        <v>159044673.9783285</v>
      </c>
      <c r="Q26" s="188">
        <f>SUM(E26:P26)</f>
        <v>1872505862.9326141</v>
      </c>
      <c r="R26" s="193"/>
    </row>
    <row r="27" spans="1:18" x14ac:dyDescent="0.2">
      <c r="A27" s="179">
        <f t="shared" si="0"/>
        <v>19</v>
      </c>
      <c r="B27" s="179"/>
      <c r="C27" s="178" t="s">
        <v>33</v>
      </c>
      <c r="D27" s="164" t="s">
        <v>84</v>
      </c>
      <c r="E27" s="190">
        <f t="shared" ref="E27:P27" si="5">E26/$Q26</f>
        <v>7.4417133410969255E-2</v>
      </c>
      <c r="F27" s="190">
        <f t="shared" si="5"/>
        <v>9.0358376554432754E-2</v>
      </c>
      <c r="G27" s="190">
        <f t="shared" si="5"/>
        <v>8.0111920724130758E-2</v>
      </c>
      <c r="H27" s="190">
        <f t="shared" si="5"/>
        <v>7.8974836885181324E-2</v>
      </c>
      <c r="I27" s="190">
        <f t="shared" si="5"/>
        <v>8.4052514070126427E-2</v>
      </c>
      <c r="J27" s="190">
        <f t="shared" si="5"/>
        <v>8.4796658863313043E-2</v>
      </c>
      <c r="K27" s="190">
        <f t="shared" si="5"/>
        <v>8.649532503325956E-2</v>
      </c>
      <c r="L27" s="190">
        <f t="shared" si="5"/>
        <v>9.2129282742512822E-2</v>
      </c>
      <c r="M27" s="190">
        <f t="shared" si="5"/>
        <v>8.0793480142694329E-2</v>
      </c>
      <c r="N27" s="190">
        <f t="shared" si="5"/>
        <v>8.3107360976830066E-2</v>
      </c>
      <c r="O27" s="190">
        <f t="shared" si="5"/>
        <v>7.9826300983979762E-2</v>
      </c>
      <c r="P27" s="190">
        <f t="shared" si="5"/>
        <v>8.4936809612569983E-2</v>
      </c>
      <c r="Q27" s="190">
        <f>SUM(E27:P27)</f>
        <v>1</v>
      </c>
    </row>
    <row r="28" spans="1:18" x14ac:dyDescent="0.2">
      <c r="A28" s="179">
        <f t="shared" si="0"/>
        <v>20</v>
      </c>
      <c r="B28" s="179"/>
      <c r="C28" s="178"/>
      <c r="D28" s="159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29" spans="1:18" x14ac:dyDescent="0.2">
      <c r="A29" s="179">
        <f t="shared" si="0"/>
        <v>21</v>
      </c>
      <c r="B29" s="185" t="s">
        <v>38</v>
      </c>
      <c r="C29" s="178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</row>
    <row r="30" spans="1:18" x14ac:dyDescent="0.2">
      <c r="A30" s="179">
        <f t="shared" si="0"/>
        <v>22</v>
      </c>
      <c r="B30" s="179"/>
      <c r="C30" s="178" t="str">
        <f>C10</f>
        <v>Weather-Normalized kWh Sales</v>
      </c>
      <c r="D30" s="191" t="str">
        <f>D10</f>
        <v>Exhibit JAP-4</v>
      </c>
      <c r="E30" s="187">
        <f>'Summary Normal Monthly kWh'!E18</f>
        <v>116357804.31682949</v>
      </c>
      <c r="F30" s="187">
        <f>'Summary Normal Monthly kWh'!F18</f>
        <v>106799823.63999447</v>
      </c>
      <c r="G30" s="187">
        <f>'Summary Normal Monthly kWh'!G18</f>
        <v>108370141.19940454</v>
      </c>
      <c r="H30" s="187">
        <f>'Summary Normal Monthly kWh'!H18</f>
        <v>108232520.85807905</v>
      </c>
      <c r="I30" s="187">
        <f>'Summary Normal Monthly kWh'!I18</f>
        <v>107369808.52671531</v>
      </c>
      <c r="J30" s="187">
        <f>'Summary Normal Monthly kWh'!J18</f>
        <v>110261534.35019031</v>
      </c>
      <c r="K30" s="187">
        <f>'Summary Normal Monthly kWh'!K18</f>
        <v>108136883.26298967</v>
      </c>
      <c r="L30" s="187">
        <f>'Summary Normal Monthly kWh'!L18</f>
        <v>122980590.99953152</v>
      </c>
      <c r="M30" s="187">
        <f>'Summary Normal Monthly kWh'!M18</f>
        <v>103000251.73436414</v>
      </c>
      <c r="N30" s="187">
        <f>'Summary Normal Monthly kWh'!N18</f>
        <v>111145932.18776457</v>
      </c>
      <c r="O30" s="187">
        <f>'Summary Normal Monthly kWh'!O18</f>
        <v>107430707.51726645</v>
      </c>
      <c r="P30" s="187">
        <f>'Summary Normal Monthly kWh'!P18</f>
        <v>111095418.96248728</v>
      </c>
      <c r="Q30" s="188">
        <f>SUM(E30:P30)</f>
        <v>1321181417.5556166</v>
      </c>
      <c r="R30" s="193"/>
    </row>
    <row r="31" spans="1:18" x14ac:dyDescent="0.2">
      <c r="A31" s="179">
        <f t="shared" si="0"/>
        <v>23</v>
      </c>
      <c r="B31" s="179"/>
      <c r="C31" s="178" t="s">
        <v>33</v>
      </c>
      <c r="D31" s="191" t="s">
        <v>85</v>
      </c>
      <c r="E31" s="192">
        <f t="shared" ref="E31:P31" si="6">E30/$Q30</f>
        <v>8.8071027014676645E-2</v>
      </c>
      <c r="F31" s="192">
        <f t="shared" si="6"/>
        <v>8.0836607464242219E-2</v>
      </c>
      <c r="G31" s="192">
        <f t="shared" si="6"/>
        <v>8.2025178192337525E-2</v>
      </c>
      <c r="H31" s="192">
        <f t="shared" si="6"/>
        <v>8.192101358670742E-2</v>
      </c>
      <c r="I31" s="192">
        <f t="shared" si="6"/>
        <v>8.1268028069427081E-2</v>
      </c>
      <c r="J31" s="192">
        <f t="shared" si="6"/>
        <v>8.3456770497264979E-2</v>
      </c>
      <c r="K31" s="192">
        <f t="shared" si="6"/>
        <v>8.1848625651319784E-2</v>
      </c>
      <c r="L31" s="192">
        <f t="shared" si="6"/>
        <v>9.3083803151776098E-2</v>
      </c>
      <c r="M31" s="192">
        <f t="shared" si="6"/>
        <v>7.79607178588161E-2</v>
      </c>
      <c r="N31" s="192">
        <f t="shared" si="6"/>
        <v>8.4126169737840525E-2</v>
      </c>
      <c r="O31" s="192">
        <f t="shared" si="6"/>
        <v>8.1314122413278678E-2</v>
      </c>
      <c r="P31" s="192">
        <f t="shared" si="6"/>
        <v>8.4087936362313084E-2</v>
      </c>
      <c r="Q31" s="192">
        <f>SUM(E31:P31)</f>
        <v>1</v>
      </c>
    </row>
    <row r="32" spans="1:18" x14ac:dyDescent="0.2">
      <c r="A32" s="179">
        <f t="shared" si="0"/>
        <v>24</v>
      </c>
      <c r="B32" s="179"/>
      <c r="C32" s="178"/>
      <c r="D32" s="191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x14ac:dyDescent="0.2">
      <c r="A33" s="179">
        <f t="shared" si="0"/>
        <v>25</v>
      </c>
      <c r="B33" s="183" t="s">
        <v>91</v>
      </c>
      <c r="D33" s="179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</row>
    <row r="34" spans="1:17" x14ac:dyDescent="0.2">
      <c r="A34" s="179">
        <f t="shared" si="0"/>
        <v>26</v>
      </c>
      <c r="B34" s="185" t="str">
        <f>B9</f>
        <v>Schedule 7</v>
      </c>
      <c r="D34" s="179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</row>
    <row r="35" spans="1:17" x14ac:dyDescent="0.2">
      <c r="A35" s="179">
        <f t="shared" si="0"/>
        <v>27</v>
      </c>
      <c r="B35" s="179"/>
      <c r="C35" s="178" t="s">
        <v>86</v>
      </c>
      <c r="D35" s="179" t="s">
        <v>96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6">
        <f>'JAP-10 Page 1'!D21</f>
        <v>303131071.42586261</v>
      </c>
    </row>
    <row r="36" spans="1:17" x14ac:dyDescent="0.2">
      <c r="A36" s="179">
        <f t="shared" si="0"/>
        <v>28</v>
      </c>
      <c r="B36" s="179"/>
      <c r="C36" s="178" t="s">
        <v>92</v>
      </c>
      <c r="D36" s="179" t="str">
        <f>"("&amp;A$11&amp;") x ("&amp;A35&amp;")"</f>
        <v>(3) x (27)</v>
      </c>
      <c r="E36" s="195">
        <f>$Q35*E$11</f>
        <v>34638649.517467849</v>
      </c>
      <c r="F36" s="195">
        <f t="shared" ref="F36:P36" si="7">$Q35*F$11</f>
        <v>29274554.308935862</v>
      </c>
      <c r="G36" s="195">
        <f t="shared" si="7"/>
        <v>29646154.786992159</v>
      </c>
      <c r="H36" s="195">
        <f t="shared" si="7"/>
        <v>24130898.692564059</v>
      </c>
      <c r="I36" s="195">
        <f t="shared" si="7"/>
        <v>19400886.365700539</v>
      </c>
      <c r="J36" s="195">
        <f t="shared" si="7"/>
        <v>18834711.424999177</v>
      </c>
      <c r="K36" s="195">
        <f t="shared" si="7"/>
        <v>19427668.376619559</v>
      </c>
      <c r="L36" s="195">
        <f t="shared" si="7"/>
        <v>19611584.703988895</v>
      </c>
      <c r="M36" s="195">
        <f t="shared" si="7"/>
        <v>18728269.99767876</v>
      </c>
      <c r="N36" s="195">
        <f t="shared" si="7"/>
        <v>23904438.148060039</v>
      </c>
      <c r="O36" s="195">
        <f t="shared" si="7"/>
        <v>29427927.687925264</v>
      </c>
      <c r="P36" s="195">
        <f t="shared" si="7"/>
        <v>36105327.414930433</v>
      </c>
      <c r="Q36" s="197">
        <f>SUM(E36:P36)</f>
        <v>303131071.42586255</v>
      </c>
    </row>
    <row r="37" spans="1:17" x14ac:dyDescent="0.2">
      <c r="A37" s="179">
        <f t="shared" si="0"/>
        <v>29</v>
      </c>
      <c r="B37" s="179"/>
      <c r="C37" s="178"/>
      <c r="D37" s="198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7"/>
    </row>
    <row r="38" spans="1:17" x14ac:dyDescent="0.2">
      <c r="A38" s="179">
        <f t="shared" si="0"/>
        <v>30</v>
      </c>
      <c r="B38" s="185" t="str">
        <f>B13</f>
        <v>Schedules 8 &amp; 24</v>
      </c>
      <c r="D38" s="179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7"/>
    </row>
    <row r="39" spans="1:17" x14ac:dyDescent="0.2">
      <c r="A39" s="179">
        <f t="shared" si="0"/>
        <v>31</v>
      </c>
      <c r="B39" s="179"/>
      <c r="C39" s="178" t="s">
        <v>86</v>
      </c>
      <c r="D39" s="179" t="str">
        <f>$D$35</f>
        <v>JAP-10 Page 1</v>
      </c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6">
        <f>'JAP-10 Page 1'!E21</f>
        <v>74333348.827193618</v>
      </c>
    </row>
    <row r="40" spans="1:17" x14ac:dyDescent="0.2">
      <c r="A40" s="179">
        <f t="shared" si="0"/>
        <v>32</v>
      </c>
      <c r="B40" s="179"/>
      <c r="C40" s="178" t="s">
        <v>92</v>
      </c>
      <c r="D40" s="179" t="str">
        <f>"("&amp;A$15&amp;") x ("&amp;A39&amp;")"</f>
        <v>(7) x (31)</v>
      </c>
      <c r="E40" s="195">
        <f>$Q39*E$15</f>
        <v>7200124.8569361269</v>
      </c>
      <c r="F40" s="195">
        <f t="shared" ref="F40:P40" si="8">$Q39*F$15</f>
        <v>6097213.277229852</v>
      </c>
      <c r="G40" s="195">
        <f t="shared" si="8"/>
        <v>6565343.345188424</v>
      </c>
      <c r="H40" s="195">
        <f t="shared" si="8"/>
        <v>5673074.0982877873</v>
      </c>
      <c r="I40" s="195">
        <f t="shared" si="8"/>
        <v>5580232.4259879896</v>
      </c>
      <c r="J40" s="195">
        <f t="shared" si="8"/>
        <v>5369461.5634246347</v>
      </c>
      <c r="K40" s="195">
        <f t="shared" si="8"/>
        <v>6037476.3739139959</v>
      </c>
      <c r="L40" s="195">
        <f t="shared" si="8"/>
        <v>6350046.1452855896</v>
      </c>
      <c r="M40" s="195">
        <f t="shared" si="8"/>
        <v>5669495.9494402669</v>
      </c>
      <c r="N40" s="195">
        <f>$Q39*N$15</f>
        <v>5982261.8011946892</v>
      </c>
      <c r="O40" s="195">
        <f t="shared" si="8"/>
        <v>6493336.9569162689</v>
      </c>
      <c r="P40" s="195">
        <f t="shared" si="8"/>
        <v>7315282.0333879972</v>
      </c>
      <c r="Q40" s="197">
        <f>SUM(E40:P40)</f>
        <v>74333348.827193633</v>
      </c>
    </row>
    <row r="41" spans="1:17" x14ac:dyDescent="0.2">
      <c r="A41" s="179">
        <f t="shared" si="0"/>
        <v>33</v>
      </c>
      <c r="B41" s="179"/>
      <c r="C41" s="178"/>
      <c r="D41" s="198"/>
      <c r="E41" s="197"/>
      <c r="F41" s="197"/>
      <c r="G41" s="197"/>
      <c r="H41" s="197"/>
      <c r="I41" s="195"/>
      <c r="J41" s="195"/>
      <c r="K41" s="195"/>
      <c r="L41" s="195"/>
      <c r="M41" s="195"/>
      <c r="N41" s="195"/>
      <c r="O41" s="195"/>
      <c r="P41" s="195"/>
      <c r="Q41" s="197"/>
    </row>
    <row r="42" spans="1:17" x14ac:dyDescent="0.2">
      <c r="A42" s="179">
        <f t="shared" si="0"/>
        <v>34</v>
      </c>
      <c r="B42" s="185" t="str">
        <f>B17</f>
        <v>Schedules 7A, 11, 25, 29, 35 &amp; 43</v>
      </c>
      <c r="D42" s="179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7"/>
    </row>
    <row r="43" spans="1:17" x14ac:dyDescent="0.2">
      <c r="A43" s="179">
        <f t="shared" si="0"/>
        <v>35</v>
      </c>
      <c r="B43" s="179"/>
      <c r="C43" s="178" t="s">
        <v>86</v>
      </c>
      <c r="D43" s="179" t="str">
        <f>$D$35</f>
        <v>JAP-10 Page 1</v>
      </c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6">
        <f>'JAP-10 Page 1'!F21</f>
        <v>77532169.15873608</v>
      </c>
    </row>
    <row r="44" spans="1:17" x14ac:dyDescent="0.2">
      <c r="A44" s="179">
        <f t="shared" si="0"/>
        <v>36</v>
      </c>
      <c r="B44" s="179"/>
      <c r="C44" s="178" t="s">
        <v>92</v>
      </c>
      <c r="D44" s="179" t="str">
        <f>"("&amp;A$19&amp;") x ("&amp;A43&amp;")"</f>
        <v>(11) x (35)</v>
      </c>
      <c r="E44" s="195">
        <f t="shared" ref="E44:P44" si="9">$Q43*E$19</f>
        <v>7081811.2402841449</v>
      </c>
      <c r="F44" s="195">
        <f t="shared" si="9"/>
        <v>6536993.1800490813</v>
      </c>
      <c r="G44" s="195">
        <f t="shared" si="9"/>
        <v>6929215.1505310731</v>
      </c>
      <c r="H44" s="195">
        <f t="shared" si="9"/>
        <v>6242561.9668543218</v>
      </c>
      <c r="I44" s="195">
        <f t="shared" si="9"/>
        <v>6412976.6413623048</v>
      </c>
      <c r="J44" s="195">
        <f t="shared" si="9"/>
        <v>5979458.6557038473</v>
      </c>
      <c r="K44" s="195">
        <f t="shared" si="9"/>
        <v>6255583.9834653111</v>
      </c>
      <c r="L44" s="195">
        <f t="shared" si="9"/>
        <v>6628603.9212551992</v>
      </c>
      <c r="M44" s="195">
        <f t="shared" si="9"/>
        <v>5955049.0739954971</v>
      </c>
      <c r="N44" s="195">
        <f t="shared" si="9"/>
        <v>6154912.322090093</v>
      </c>
      <c r="O44" s="195">
        <f t="shared" si="9"/>
        <v>6417158.6063532913</v>
      </c>
      <c r="P44" s="195">
        <f t="shared" si="9"/>
        <v>6937844.4167919243</v>
      </c>
      <c r="Q44" s="197">
        <f>SUM(E44:P44)</f>
        <v>77532169.15873611</v>
      </c>
    </row>
    <row r="45" spans="1:17" x14ac:dyDescent="0.2">
      <c r="A45" s="179">
        <f t="shared" si="0"/>
        <v>37</v>
      </c>
      <c r="E45" s="200"/>
      <c r="F45" s="200"/>
      <c r="G45" s="200"/>
      <c r="H45" s="200"/>
      <c r="I45" s="201"/>
      <c r="J45" s="201"/>
      <c r="K45" s="201"/>
      <c r="L45" s="201"/>
      <c r="M45" s="201"/>
      <c r="N45" s="201"/>
      <c r="O45" s="201"/>
      <c r="P45" s="201"/>
      <c r="Q45" s="201"/>
    </row>
    <row r="46" spans="1:17" x14ac:dyDescent="0.2">
      <c r="A46" s="179">
        <f t="shared" si="0"/>
        <v>38</v>
      </c>
      <c r="B46" s="185" t="str">
        <f>B21</f>
        <v>Schedule 40</v>
      </c>
      <c r="D46" s="179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7"/>
    </row>
    <row r="47" spans="1:17" x14ac:dyDescent="0.2">
      <c r="A47" s="179">
        <f t="shared" si="0"/>
        <v>39</v>
      </c>
      <c r="B47" s="179"/>
      <c r="C47" s="178" t="s">
        <v>86</v>
      </c>
      <c r="D47" s="179" t="str">
        <f>$D$35</f>
        <v>JAP-10 Page 1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6">
        <f>'JAP-10 Page 1'!G21</f>
        <v>4385542.8024254199</v>
      </c>
    </row>
    <row r="48" spans="1:17" x14ac:dyDescent="0.2">
      <c r="A48" s="179">
        <f t="shared" si="0"/>
        <v>40</v>
      </c>
      <c r="B48" s="179"/>
      <c r="C48" s="178" t="s">
        <v>92</v>
      </c>
      <c r="D48" s="179" t="str">
        <f>"("&amp;A$23&amp;") x ("&amp;A47&amp;")"</f>
        <v>(15) x (39)</v>
      </c>
      <c r="E48" s="195">
        <f>$Q47*E$23</f>
        <v>335512.50113766652</v>
      </c>
      <c r="F48" s="195">
        <f t="shared" ref="F48:P48" si="10">$Q47*F$23</f>
        <v>360725.38794902223</v>
      </c>
      <c r="G48" s="195">
        <f t="shared" si="10"/>
        <v>248571.70831971441</v>
      </c>
      <c r="H48" s="195">
        <f t="shared" si="10"/>
        <v>401094.45245880837</v>
      </c>
      <c r="I48" s="195">
        <f t="shared" si="10"/>
        <v>358376.64015868027</v>
      </c>
      <c r="J48" s="195">
        <f t="shared" si="10"/>
        <v>286937.93729631056</v>
      </c>
      <c r="K48" s="195">
        <f t="shared" si="10"/>
        <v>419401.09277572372</v>
      </c>
      <c r="L48" s="195">
        <f t="shared" si="10"/>
        <v>430343.60915885126</v>
      </c>
      <c r="M48" s="195">
        <f t="shared" si="10"/>
        <v>393450.78011642909</v>
      </c>
      <c r="N48" s="195">
        <f t="shared" si="10"/>
        <v>366500.1490727709</v>
      </c>
      <c r="O48" s="195">
        <f t="shared" si="10"/>
        <v>366567.87995928724</v>
      </c>
      <c r="P48" s="195">
        <f t="shared" si="10"/>
        <v>418060.66402215557</v>
      </c>
      <c r="Q48" s="197">
        <f>SUM(E48:P48)</f>
        <v>4385542.8024254199</v>
      </c>
    </row>
    <row r="49" spans="1:17" x14ac:dyDescent="0.2">
      <c r="A49" s="179">
        <f t="shared" si="0"/>
        <v>41</v>
      </c>
      <c r="E49" s="200"/>
      <c r="F49" s="200"/>
      <c r="G49" s="200"/>
      <c r="H49" s="200"/>
      <c r="I49" s="201"/>
      <c r="J49" s="201"/>
      <c r="K49" s="201"/>
      <c r="L49" s="201"/>
      <c r="M49" s="201"/>
      <c r="N49" s="201"/>
      <c r="O49" s="201"/>
      <c r="P49" s="201"/>
      <c r="Q49" s="201"/>
    </row>
    <row r="50" spans="1:17" x14ac:dyDescent="0.2">
      <c r="A50" s="179">
        <f t="shared" si="0"/>
        <v>42</v>
      </c>
      <c r="B50" s="185" t="str">
        <f>B25</f>
        <v>Schedules 12 &amp; 26</v>
      </c>
      <c r="D50" s="179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7"/>
    </row>
    <row r="51" spans="1:17" x14ac:dyDescent="0.2">
      <c r="A51" s="179">
        <f t="shared" si="0"/>
        <v>43</v>
      </c>
      <c r="B51" s="179"/>
      <c r="C51" s="178" t="s">
        <v>86</v>
      </c>
      <c r="D51" s="179" t="str">
        <f>$D$35</f>
        <v>JAP-10 Page 1</v>
      </c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6">
        <f>'JAP-10 Page 1'!H21</f>
        <v>48549141.432276778</v>
      </c>
    </row>
    <row r="52" spans="1:17" x14ac:dyDescent="0.2">
      <c r="A52" s="179">
        <f t="shared" si="0"/>
        <v>44</v>
      </c>
      <c r="B52" s="179"/>
      <c r="C52" s="178" t="s">
        <v>92</v>
      </c>
      <c r="D52" s="179" t="str">
        <f>"("&amp;A$27&amp;") x ("&amp;A51&amp;")"</f>
        <v>(19) x (43)</v>
      </c>
      <c r="E52" s="195">
        <f t="shared" ref="E52:P52" si="11">$Q51*E$27</f>
        <v>3612887.9349537562</v>
      </c>
      <c r="F52" s="195">
        <f t="shared" si="11"/>
        <v>4386821.6029320778</v>
      </c>
      <c r="G52" s="195">
        <f t="shared" si="11"/>
        <v>3889364.9696471691</v>
      </c>
      <c r="H52" s="195">
        <f t="shared" si="11"/>
        <v>3834160.525529657</v>
      </c>
      <c r="I52" s="195">
        <f t="shared" si="11"/>
        <v>4080677.393329002</v>
      </c>
      <c r="J52" s="195">
        <f t="shared" si="11"/>
        <v>4116804.9841395109</v>
      </c>
      <c r="K52" s="195">
        <f t="shared" si="11"/>
        <v>4199273.7682704683</v>
      </c>
      <c r="L52" s="195">
        <f t="shared" si="11"/>
        <v>4472797.5779204713</v>
      </c>
      <c r="M52" s="195">
        <f t="shared" si="11"/>
        <v>3922454.0942535126</v>
      </c>
      <c r="N52" s="195">
        <f t="shared" si="11"/>
        <v>4034791.0221274029</v>
      </c>
      <c r="O52" s="195">
        <f t="shared" si="11"/>
        <v>3875498.3764867284</v>
      </c>
      <c r="P52" s="195">
        <f t="shared" si="11"/>
        <v>4123609.182687026</v>
      </c>
      <c r="Q52" s="197">
        <f>SUM(E52:P52)</f>
        <v>48549141.432276785</v>
      </c>
    </row>
    <row r="53" spans="1:17" x14ac:dyDescent="0.2">
      <c r="A53" s="179">
        <f t="shared" si="0"/>
        <v>45</v>
      </c>
      <c r="E53" s="200"/>
      <c r="F53" s="200"/>
      <c r="G53" s="200"/>
      <c r="H53" s="200"/>
      <c r="I53" s="201"/>
      <c r="J53" s="201"/>
      <c r="K53" s="201"/>
      <c r="L53" s="201"/>
      <c r="M53" s="201"/>
      <c r="N53" s="201"/>
      <c r="O53" s="201"/>
      <c r="P53" s="201"/>
      <c r="Q53" s="201"/>
    </row>
    <row r="54" spans="1:17" x14ac:dyDescent="0.2">
      <c r="A54" s="179">
        <f t="shared" si="0"/>
        <v>46</v>
      </c>
      <c r="B54" s="185" t="str">
        <f>B29</f>
        <v>Schedules 10 &amp; 31</v>
      </c>
      <c r="D54" s="179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7"/>
    </row>
    <row r="55" spans="1:17" x14ac:dyDescent="0.2">
      <c r="A55" s="179">
        <f t="shared" si="0"/>
        <v>47</v>
      </c>
      <c r="B55" s="179"/>
      <c r="C55" s="178" t="s">
        <v>86</v>
      </c>
      <c r="D55" s="179" t="str">
        <f>$D$35</f>
        <v>JAP-10 Page 1</v>
      </c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6">
        <f>'JAP-10 Page 1'!I21</f>
        <v>32070142.236704931</v>
      </c>
    </row>
    <row r="56" spans="1:17" x14ac:dyDescent="0.2">
      <c r="A56" s="179">
        <f t="shared" si="0"/>
        <v>48</v>
      </c>
      <c r="B56" s="179"/>
      <c r="C56" s="178" t="s">
        <v>92</v>
      </c>
      <c r="D56" s="179" t="str">
        <f>"("&amp;A$31&amp;") x ("&amp;A55&amp;")"</f>
        <v>(23) x (47)</v>
      </c>
      <c r="E56" s="195">
        <f t="shared" ref="E56:P56" si="12">$Q55*E$31</f>
        <v>2824450.3632933623</v>
      </c>
      <c r="F56" s="195">
        <f t="shared" si="12"/>
        <v>2592441.4993109317</v>
      </c>
      <c r="G56" s="195">
        <f t="shared" si="12"/>
        <v>2630559.1316193319</v>
      </c>
      <c r="H56" s="195">
        <f t="shared" si="12"/>
        <v>2627218.557900744</v>
      </c>
      <c r="I56" s="195">
        <f t="shared" si="12"/>
        <v>2606277.2194830552</v>
      </c>
      <c r="J56" s="195">
        <f t="shared" si="12"/>
        <v>2676470.5004633274</v>
      </c>
      <c r="K56" s="195">
        <f t="shared" si="12"/>
        <v>2624897.0665166411</v>
      </c>
      <c r="L56" s="195">
        <f t="shared" si="12"/>
        <v>2985210.8070109021</v>
      </c>
      <c r="M56" s="195">
        <f t="shared" si="12"/>
        <v>2500211.3106078547</v>
      </c>
      <c r="N56" s="195">
        <f t="shared" si="12"/>
        <v>2697938.2293217275</v>
      </c>
      <c r="O56" s="195">
        <f t="shared" si="12"/>
        <v>2607755.4716466838</v>
      </c>
      <c r="P56" s="195">
        <f t="shared" si="12"/>
        <v>2696712.0795303732</v>
      </c>
      <c r="Q56" s="197">
        <f>SUM(E56:P56)</f>
        <v>32070142.236704934</v>
      </c>
    </row>
    <row r="57" spans="1:17" x14ac:dyDescent="0.2">
      <c r="E57" s="200"/>
      <c r="F57" s="200"/>
      <c r="G57" s="200"/>
      <c r="H57" s="200"/>
      <c r="I57" s="201"/>
      <c r="J57" s="201"/>
      <c r="K57" s="201"/>
      <c r="L57" s="201"/>
      <c r="M57" s="201"/>
      <c r="N57" s="201"/>
      <c r="O57" s="201"/>
      <c r="P57" s="201"/>
      <c r="Q57" s="201"/>
    </row>
    <row r="58" spans="1:17" x14ac:dyDescent="0.2">
      <c r="E58" s="202"/>
      <c r="F58" s="202"/>
      <c r="G58" s="202"/>
      <c r="H58" s="202"/>
      <c r="I58" s="203"/>
      <c r="J58" s="203"/>
      <c r="K58" s="203"/>
      <c r="L58" s="203"/>
      <c r="M58" s="203"/>
      <c r="N58" s="203"/>
      <c r="O58" s="203"/>
      <c r="P58" s="203"/>
      <c r="Q58" s="203"/>
    </row>
    <row r="59" spans="1:17" x14ac:dyDescent="0.2">
      <c r="E59" s="202"/>
      <c r="F59" s="202"/>
      <c r="G59" s="202"/>
      <c r="H59" s="202"/>
      <c r="I59" s="203"/>
      <c r="J59" s="203"/>
      <c r="K59" s="203"/>
      <c r="L59" s="203"/>
      <c r="M59" s="203"/>
      <c r="N59" s="203"/>
      <c r="O59" s="203"/>
      <c r="P59" s="203"/>
      <c r="Q59" s="203"/>
    </row>
  </sheetData>
  <mergeCells count="5">
    <mergeCell ref="A1:Q1"/>
    <mergeCell ref="A3:Q3"/>
    <mergeCell ref="A4:Q4"/>
    <mergeCell ref="A2:Q2"/>
    <mergeCell ref="E21:Q21"/>
  </mergeCells>
  <pageMargins left="0.5" right="0.5" top="1" bottom="1" header="0.5" footer="0.5"/>
  <pageSetup scale="51" orientation="landscape" horizontalDpi="300" verticalDpi="300" r:id="rId1"/>
  <headerFooter alignWithMargins="0">
    <oddFooter>&amp;R&amp;F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"/>
  <sheetViews>
    <sheetView workbookViewId="0">
      <selection activeCell="F13" sqref="F13"/>
    </sheetView>
  </sheetViews>
  <sheetFormatPr defaultRowHeight="14.4" x14ac:dyDescent="0.3"/>
  <sheetData/>
  <pageMargins left="0.75" right="0.75" top="1" bottom="1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zoomScaleNormal="100" workbookViewId="0">
      <selection activeCell="C18" sqref="C18"/>
    </sheetView>
  </sheetViews>
  <sheetFormatPr defaultRowHeight="10.199999999999999" x14ac:dyDescent="0.2"/>
  <cols>
    <col min="1" max="1" width="5.33203125" style="93" customWidth="1"/>
    <col min="2" max="2" width="32.88671875" style="93" bestFit="1" customWidth="1"/>
    <col min="3" max="3" width="12.88671875" style="93" bestFit="1" customWidth="1"/>
    <col min="4" max="4" width="3.33203125" style="93" customWidth="1"/>
    <col min="5" max="5" width="14.44140625" style="93" bestFit="1" customWidth="1"/>
    <col min="6" max="6" width="15.5546875" style="93" customWidth="1"/>
    <col min="7" max="7" width="15.33203125" style="93" customWidth="1"/>
    <col min="8" max="8" width="15.44140625" style="93" bestFit="1" customWidth="1"/>
    <col min="9" max="9" width="15" style="93" bestFit="1" customWidth="1"/>
    <col min="10" max="10" width="11.88671875" style="93" customWidth="1"/>
    <col min="11" max="12" width="12.44140625" style="93" bestFit="1" customWidth="1"/>
    <col min="13" max="13" width="14.33203125" style="93" bestFit="1" customWidth="1"/>
    <col min="14" max="14" width="11.5546875" style="93" customWidth="1"/>
    <col min="15" max="15" width="13.33203125" style="93" customWidth="1"/>
    <col min="16" max="16" width="11.6640625" style="93" customWidth="1"/>
    <col min="17" max="17" width="11.33203125" style="93" bestFit="1" customWidth="1"/>
    <col min="18" max="256" width="8.88671875" style="93"/>
    <col min="257" max="257" width="5.33203125" style="93" customWidth="1"/>
    <col min="258" max="258" width="37.33203125" style="93" bestFit="1" customWidth="1"/>
    <col min="259" max="259" width="15.33203125" style="93" customWidth="1"/>
    <col min="260" max="260" width="3.33203125" style="93" customWidth="1"/>
    <col min="261" max="263" width="15.33203125" style="93" customWidth="1"/>
    <col min="264" max="264" width="14" style="93" customWidth="1"/>
    <col min="265" max="265" width="14.33203125" style="93" customWidth="1"/>
    <col min="266" max="266" width="11.88671875" style="93" customWidth="1"/>
    <col min="267" max="267" width="14.44140625" style="93" customWidth="1"/>
    <col min="268" max="268" width="12.5546875" style="93" customWidth="1"/>
    <col min="269" max="271" width="15.33203125" style="93" customWidth="1"/>
    <col min="272" max="272" width="12.44140625" style="93" customWidth="1"/>
    <col min="273" max="273" width="15.33203125" style="93" customWidth="1"/>
    <col min="274" max="512" width="8.88671875" style="93"/>
    <col min="513" max="513" width="5.33203125" style="93" customWidth="1"/>
    <col min="514" max="514" width="37.33203125" style="93" bestFit="1" customWidth="1"/>
    <col min="515" max="515" width="15.33203125" style="93" customWidth="1"/>
    <col min="516" max="516" width="3.33203125" style="93" customWidth="1"/>
    <col min="517" max="519" width="15.33203125" style="93" customWidth="1"/>
    <col min="520" max="520" width="14" style="93" customWidth="1"/>
    <col min="521" max="521" width="14.33203125" style="93" customWidth="1"/>
    <col min="522" max="522" width="11.88671875" style="93" customWidth="1"/>
    <col min="523" max="523" width="14.44140625" style="93" customWidth="1"/>
    <col min="524" max="524" width="12.5546875" style="93" customWidth="1"/>
    <col min="525" max="527" width="15.33203125" style="93" customWidth="1"/>
    <col min="528" max="528" width="12.44140625" style="93" customWidth="1"/>
    <col min="529" max="529" width="15.33203125" style="93" customWidth="1"/>
    <col min="530" max="768" width="8.88671875" style="93"/>
    <col min="769" max="769" width="5.33203125" style="93" customWidth="1"/>
    <col min="770" max="770" width="37.33203125" style="93" bestFit="1" customWidth="1"/>
    <col min="771" max="771" width="15.33203125" style="93" customWidth="1"/>
    <col min="772" max="772" width="3.33203125" style="93" customWidth="1"/>
    <col min="773" max="775" width="15.33203125" style="93" customWidth="1"/>
    <col min="776" max="776" width="14" style="93" customWidth="1"/>
    <col min="777" max="777" width="14.33203125" style="93" customWidth="1"/>
    <col min="778" max="778" width="11.88671875" style="93" customWidth="1"/>
    <col min="779" max="779" width="14.44140625" style="93" customWidth="1"/>
    <col min="780" max="780" width="12.5546875" style="93" customWidth="1"/>
    <col min="781" max="783" width="15.33203125" style="93" customWidth="1"/>
    <col min="784" max="784" width="12.44140625" style="93" customWidth="1"/>
    <col min="785" max="785" width="15.33203125" style="93" customWidth="1"/>
    <col min="786" max="1024" width="8.88671875" style="93"/>
    <col min="1025" max="1025" width="5.33203125" style="93" customWidth="1"/>
    <col min="1026" max="1026" width="37.33203125" style="93" bestFit="1" customWidth="1"/>
    <col min="1027" max="1027" width="15.33203125" style="93" customWidth="1"/>
    <col min="1028" max="1028" width="3.33203125" style="93" customWidth="1"/>
    <col min="1029" max="1031" width="15.33203125" style="93" customWidth="1"/>
    <col min="1032" max="1032" width="14" style="93" customWidth="1"/>
    <col min="1033" max="1033" width="14.33203125" style="93" customWidth="1"/>
    <col min="1034" max="1034" width="11.88671875" style="93" customWidth="1"/>
    <col min="1035" max="1035" width="14.44140625" style="93" customWidth="1"/>
    <col min="1036" max="1036" width="12.5546875" style="93" customWidth="1"/>
    <col min="1037" max="1039" width="15.33203125" style="93" customWidth="1"/>
    <col min="1040" max="1040" width="12.44140625" style="93" customWidth="1"/>
    <col min="1041" max="1041" width="15.33203125" style="93" customWidth="1"/>
    <col min="1042" max="1280" width="8.88671875" style="93"/>
    <col min="1281" max="1281" width="5.33203125" style="93" customWidth="1"/>
    <col min="1282" max="1282" width="37.33203125" style="93" bestFit="1" customWidth="1"/>
    <col min="1283" max="1283" width="15.33203125" style="93" customWidth="1"/>
    <col min="1284" max="1284" width="3.33203125" style="93" customWidth="1"/>
    <col min="1285" max="1287" width="15.33203125" style="93" customWidth="1"/>
    <col min="1288" max="1288" width="14" style="93" customWidth="1"/>
    <col min="1289" max="1289" width="14.33203125" style="93" customWidth="1"/>
    <col min="1290" max="1290" width="11.88671875" style="93" customWidth="1"/>
    <col min="1291" max="1291" width="14.44140625" style="93" customWidth="1"/>
    <col min="1292" max="1292" width="12.5546875" style="93" customWidth="1"/>
    <col min="1293" max="1295" width="15.33203125" style="93" customWidth="1"/>
    <col min="1296" max="1296" width="12.44140625" style="93" customWidth="1"/>
    <col min="1297" max="1297" width="15.33203125" style="93" customWidth="1"/>
    <col min="1298" max="1536" width="8.88671875" style="93"/>
    <col min="1537" max="1537" width="5.33203125" style="93" customWidth="1"/>
    <col min="1538" max="1538" width="37.33203125" style="93" bestFit="1" customWidth="1"/>
    <col min="1539" max="1539" width="15.33203125" style="93" customWidth="1"/>
    <col min="1540" max="1540" width="3.33203125" style="93" customWidth="1"/>
    <col min="1541" max="1543" width="15.33203125" style="93" customWidth="1"/>
    <col min="1544" max="1544" width="14" style="93" customWidth="1"/>
    <col min="1545" max="1545" width="14.33203125" style="93" customWidth="1"/>
    <col min="1546" max="1546" width="11.88671875" style="93" customWidth="1"/>
    <col min="1547" max="1547" width="14.44140625" style="93" customWidth="1"/>
    <col min="1548" max="1548" width="12.5546875" style="93" customWidth="1"/>
    <col min="1549" max="1551" width="15.33203125" style="93" customWidth="1"/>
    <col min="1552" max="1552" width="12.44140625" style="93" customWidth="1"/>
    <col min="1553" max="1553" width="15.33203125" style="93" customWidth="1"/>
    <col min="1554" max="1792" width="8.88671875" style="93"/>
    <col min="1793" max="1793" width="5.33203125" style="93" customWidth="1"/>
    <col min="1794" max="1794" width="37.33203125" style="93" bestFit="1" customWidth="1"/>
    <col min="1795" max="1795" width="15.33203125" style="93" customWidth="1"/>
    <col min="1796" max="1796" width="3.33203125" style="93" customWidth="1"/>
    <col min="1797" max="1799" width="15.33203125" style="93" customWidth="1"/>
    <col min="1800" max="1800" width="14" style="93" customWidth="1"/>
    <col min="1801" max="1801" width="14.33203125" style="93" customWidth="1"/>
    <col min="1802" max="1802" width="11.88671875" style="93" customWidth="1"/>
    <col min="1803" max="1803" width="14.44140625" style="93" customWidth="1"/>
    <col min="1804" max="1804" width="12.5546875" style="93" customWidth="1"/>
    <col min="1805" max="1807" width="15.33203125" style="93" customWidth="1"/>
    <col min="1808" max="1808" width="12.44140625" style="93" customWidth="1"/>
    <col min="1809" max="1809" width="15.33203125" style="93" customWidth="1"/>
    <col min="1810" max="2048" width="8.88671875" style="93"/>
    <col min="2049" max="2049" width="5.33203125" style="93" customWidth="1"/>
    <col min="2050" max="2050" width="37.33203125" style="93" bestFit="1" customWidth="1"/>
    <col min="2051" max="2051" width="15.33203125" style="93" customWidth="1"/>
    <col min="2052" max="2052" width="3.33203125" style="93" customWidth="1"/>
    <col min="2053" max="2055" width="15.33203125" style="93" customWidth="1"/>
    <col min="2056" max="2056" width="14" style="93" customWidth="1"/>
    <col min="2057" max="2057" width="14.33203125" style="93" customWidth="1"/>
    <col min="2058" max="2058" width="11.88671875" style="93" customWidth="1"/>
    <col min="2059" max="2059" width="14.44140625" style="93" customWidth="1"/>
    <col min="2060" max="2060" width="12.5546875" style="93" customWidth="1"/>
    <col min="2061" max="2063" width="15.33203125" style="93" customWidth="1"/>
    <col min="2064" max="2064" width="12.44140625" style="93" customWidth="1"/>
    <col min="2065" max="2065" width="15.33203125" style="93" customWidth="1"/>
    <col min="2066" max="2304" width="8.88671875" style="93"/>
    <col min="2305" max="2305" width="5.33203125" style="93" customWidth="1"/>
    <col min="2306" max="2306" width="37.33203125" style="93" bestFit="1" customWidth="1"/>
    <col min="2307" max="2307" width="15.33203125" style="93" customWidth="1"/>
    <col min="2308" max="2308" width="3.33203125" style="93" customWidth="1"/>
    <col min="2309" max="2311" width="15.33203125" style="93" customWidth="1"/>
    <col min="2312" max="2312" width="14" style="93" customWidth="1"/>
    <col min="2313" max="2313" width="14.33203125" style="93" customWidth="1"/>
    <col min="2314" max="2314" width="11.88671875" style="93" customWidth="1"/>
    <col min="2315" max="2315" width="14.44140625" style="93" customWidth="1"/>
    <col min="2316" max="2316" width="12.5546875" style="93" customWidth="1"/>
    <col min="2317" max="2319" width="15.33203125" style="93" customWidth="1"/>
    <col min="2320" max="2320" width="12.44140625" style="93" customWidth="1"/>
    <col min="2321" max="2321" width="15.33203125" style="93" customWidth="1"/>
    <col min="2322" max="2560" width="8.88671875" style="93"/>
    <col min="2561" max="2561" width="5.33203125" style="93" customWidth="1"/>
    <col min="2562" max="2562" width="37.33203125" style="93" bestFit="1" customWidth="1"/>
    <col min="2563" max="2563" width="15.33203125" style="93" customWidth="1"/>
    <col min="2564" max="2564" width="3.33203125" style="93" customWidth="1"/>
    <col min="2565" max="2567" width="15.33203125" style="93" customWidth="1"/>
    <col min="2568" max="2568" width="14" style="93" customWidth="1"/>
    <col min="2569" max="2569" width="14.33203125" style="93" customWidth="1"/>
    <col min="2570" max="2570" width="11.88671875" style="93" customWidth="1"/>
    <col min="2571" max="2571" width="14.44140625" style="93" customWidth="1"/>
    <col min="2572" max="2572" width="12.5546875" style="93" customWidth="1"/>
    <col min="2573" max="2575" width="15.33203125" style="93" customWidth="1"/>
    <col min="2576" max="2576" width="12.44140625" style="93" customWidth="1"/>
    <col min="2577" max="2577" width="15.33203125" style="93" customWidth="1"/>
    <col min="2578" max="2816" width="8.88671875" style="93"/>
    <col min="2817" max="2817" width="5.33203125" style="93" customWidth="1"/>
    <col min="2818" max="2818" width="37.33203125" style="93" bestFit="1" customWidth="1"/>
    <col min="2819" max="2819" width="15.33203125" style="93" customWidth="1"/>
    <col min="2820" max="2820" width="3.33203125" style="93" customWidth="1"/>
    <col min="2821" max="2823" width="15.33203125" style="93" customWidth="1"/>
    <col min="2824" max="2824" width="14" style="93" customWidth="1"/>
    <col min="2825" max="2825" width="14.33203125" style="93" customWidth="1"/>
    <col min="2826" max="2826" width="11.88671875" style="93" customWidth="1"/>
    <col min="2827" max="2827" width="14.44140625" style="93" customWidth="1"/>
    <col min="2828" max="2828" width="12.5546875" style="93" customWidth="1"/>
    <col min="2829" max="2831" width="15.33203125" style="93" customWidth="1"/>
    <col min="2832" max="2832" width="12.44140625" style="93" customWidth="1"/>
    <col min="2833" max="2833" width="15.33203125" style="93" customWidth="1"/>
    <col min="2834" max="3072" width="8.88671875" style="93"/>
    <col min="3073" max="3073" width="5.33203125" style="93" customWidth="1"/>
    <col min="3074" max="3074" width="37.33203125" style="93" bestFit="1" customWidth="1"/>
    <col min="3075" max="3075" width="15.33203125" style="93" customWidth="1"/>
    <col min="3076" max="3076" width="3.33203125" style="93" customWidth="1"/>
    <col min="3077" max="3079" width="15.33203125" style="93" customWidth="1"/>
    <col min="3080" max="3080" width="14" style="93" customWidth="1"/>
    <col min="3081" max="3081" width="14.33203125" style="93" customWidth="1"/>
    <col min="3082" max="3082" width="11.88671875" style="93" customWidth="1"/>
    <col min="3083" max="3083" width="14.44140625" style="93" customWidth="1"/>
    <col min="3084" max="3084" width="12.5546875" style="93" customWidth="1"/>
    <col min="3085" max="3087" width="15.33203125" style="93" customWidth="1"/>
    <col min="3088" max="3088" width="12.44140625" style="93" customWidth="1"/>
    <col min="3089" max="3089" width="15.33203125" style="93" customWidth="1"/>
    <col min="3090" max="3328" width="8.88671875" style="93"/>
    <col min="3329" max="3329" width="5.33203125" style="93" customWidth="1"/>
    <col min="3330" max="3330" width="37.33203125" style="93" bestFit="1" customWidth="1"/>
    <col min="3331" max="3331" width="15.33203125" style="93" customWidth="1"/>
    <col min="3332" max="3332" width="3.33203125" style="93" customWidth="1"/>
    <col min="3333" max="3335" width="15.33203125" style="93" customWidth="1"/>
    <col min="3336" max="3336" width="14" style="93" customWidth="1"/>
    <col min="3337" max="3337" width="14.33203125" style="93" customWidth="1"/>
    <col min="3338" max="3338" width="11.88671875" style="93" customWidth="1"/>
    <col min="3339" max="3339" width="14.44140625" style="93" customWidth="1"/>
    <col min="3340" max="3340" width="12.5546875" style="93" customWidth="1"/>
    <col min="3341" max="3343" width="15.33203125" style="93" customWidth="1"/>
    <col min="3344" max="3344" width="12.44140625" style="93" customWidth="1"/>
    <col min="3345" max="3345" width="15.33203125" style="93" customWidth="1"/>
    <col min="3346" max="3584" width="8.88671875" style="93"/>
    <col min="3585" max="3585" width="5.33203125" style="93" customWidth="1"/>
    <col min="3586" max="3586" width="37.33203125" style="93" bestFit="1" customWidth="1"/>
    <col min="3587" max="3587" width="15.33203125" style="93" customWidth="1"/>
    <col min="3588" max="3588" width="3.33203125" style="93" customWidth="1"/>
    <col min="3589" max="3591" width="15.33203125" style="93" customWidth="1"/>
    <col min="3592" max="3592" width="14" style="93" customWidth="1"/>
    <col min="3593" max="3593" width="14.33203125" style="93" customWidth="1"/>
    <col min="3594" max="3594" width="11.88671875" style="93" customWidth="1"/>
    <col min="3595" max="3595" width="14.44140625" style="93" customWidth="1"/>
    <col min="3596" max="3596" width="12.5546875" style="93" customWidth="1"/>
    <col min="3597" max="3599" width="15.33203125" style="93" customWidth="1"/>
    <col min="3600" max="3600" width="12.44140625" style="93" customWidth="1"/>
    <col min="3601" max="3601" width="15.33203125" style="93" customWidth="1"/>
    <col min="3602" max="3840" width="8.88671875" style="93"/>
    <col min="3841" max="3841" width="5.33203125" style="93" customWidth="1"/>
    <col min="3842" max="3842" width="37.33203125" style="93" bestFit="1" customWidth="1"/>
    <col min="3843" max="3843" width="15.33203125" style="93" customWidth="1"/>
    <col min="3844" max="3844" width="3.33203125" style="93" customWidth="1"/>
    <col min="3845" max="3847" width="15.33203125" style="93" customWidth="1"/>
    <col min="3848" max="3848" width="14" style="93" customWidth="1"/>
    <col min="3849" max="3849" width="14.33203125" style="93" customWidth="1"/>
    <col min="3850" max="3850" width="11.88671875" style="93" customWidth="1"/>
    <col min="3851" max="3851" width="14.44140625" style="93" customWidth="1"/>
    <col min="3852" max="3852" width="12.5546875" style="93" customWidth="1"/>
    <col min="3853" max="3855" width="15.33203125" style="93" customWidth="1"/>
    <col min="3856" max="3856" width="12.44140625" style="93" customWidth="1"/>
    <col min="3857" max="3857" width="15.33203125" style="93" customWidth="1"/>
    <col min="3858" max="4096" width="8.88671875" style="93"/>
    <col min="4097" max="4097" width="5.33203125" style="93" customWidth="1"/>
    <col min="4098" max="4098" width="37.33203125" style="93" bestFit="1" customWidth="1"/>
    <col min="4099" max="4099" width="15.33203125" style="93" customWidth="1"/>
    <col min="4100" max="4100" width="3.33203125" style="93" customWidth="1"/>
    <col min="4101" max="4103" width="15.33203125" style="93" customWidth="1"/>
    <col min="4104" max="4104" width="14" style="93" customWidth="1"/>
    <col min="4105" max="4105" width="14.33203125" style="93" customWidth="1"/>
    <col min="4106" max="4106" width="11.88671875" style="93" customWidth="1"/>
    <col min="4107" max="4107" width="14.44140625" style="93" customWidth="1"/>
    <col min="4108" max="4108" width="12.5546875" style="93" customWidth="1"/>
    <col min="4109" max="4111" width="15.33203125" style="93" customWidth="1"/>
    <col min="4112" max="4112" width="12.44140625" style="93" customWidth="1"/>
    <col min="4113" max="4113" width="15.33203125" style="93" customWidth="1"/>
    <col min="4114" max="4352" width="8.88671875" style="93"/>
    <col min="4353" max="4353" width="5.33203125" style="93" customWidth="1"/>
    <col min="4354" max="4354" width="37.33203125" style="93" bestFit="1" customWidth="1"/>
    <col min="4355" max="4355" width="15.33203125" style="93" customWidth="1"/>
    <col min="4356" max="4356" width="3.33203125" style="93" customWidth="1"/>
    <col min="4357" max="4359" width="15.33203125" style="93" customWidth="1"/>
    <col min="4360" max="4360" width="14" style="93" customWidth="1"/>
    <col min="4361" max="4361" width="14.33203125" style="93" customWidth="1"/>
    <col min="4362" max="4362" width="11.88671875" style="93" customWidth="1"/>
    <col min="4363" max="4363" width="14.44140625" style="93" customWidth="1"/>
    <col min="4364" max="4364" width="12.5546875" style="93" customWidth="1"/>
    <col min="4365" max="4367" width="15.33203125" style="93" customWidth="1"/>
    <col min="4368" max="4368" width="12.44140625" style="93" customWidth="1"/>
    <col min="4369" max="4369" width="15.33203125" style="93" customWidth="1"/>
    <col min="4370" max="4608" width="8.88671875" style="93"/>
    <col min="4609" max="4609" width="5.33203125" style="93" customWidth="1"/>
    <col min="4610" max="4610" width="37.33203125" style="93" bestFit="1" customWidth="1"/>
    <col min="4611" max="4611" width="15.33203125" style="93" customWidth="1"/>
    <col min="4612" max="4612" width="3.33203125" style="93" customWidth="1"/>
    <col min="4613" max="4615" width="15.33203125" style="93" customWidth="1"/>
    <col min="4616" max="4616" width="14" style="93" customWidth="1"/>
    <col min="4617" max="4617" width="14.33203125" style="93" customWidth="1"/>
    <col min="4618" max="4618" width="11.88671875" style="93" customWidth="1"/>
    <col min="4619" max="4619" width="14.44140625" style="93" customWidth="1"/>
    <col min="4620" max="4620" width="12.5546875" style="93" customWidth="1"/>
    <col min="4621" max="4623" width="15.33203125" style="93" customWidth="1"/>
    <col min="4624" max="4624" width="12.44140625" style="93" customWidth="1"/>
    <col min="4625" max="4625" width="15.33203125" style="93" customWidth="1"/>
    <col min="4626" max="4864" width="8.88671875" style="93"/>
    <col min="4865" max="4865" width="5.33203125" style="93" customWidth="1"/>
    <col min="4866" max="4866" width="37.33203125" style="93" bestFit="1" customWidth="1"/>
    <col min="4867" max="4867" width="15.33203125" style="93" customWidth="1"/>
    <col min="4868" max="4868" width="3.33203125" style="93" customWidth="1"/>
    <col min="4869" max="4871" width="15.33203125" style="93" customWidth="1"/>
    <col min="4872" max="4872" width="14" style="93" customWidth="1"/>
    <col min="4873" max="4873" width="14.33203125" style="93" customWidth="1"/>
    <col min="4874" max="4874" width="11.88671875" style="93" customWidth="1"/>
    <col min="4875" max="4875" width="14.44140625" style="93" customWidth="1"/>
    <col min="4876" max="4876" width="12.5546875" style="93" customWidth="1"/>
    <col min="4877" max="4879" width="15.33203125" style="93" customWidth="1"/>
    <col min="4880" max="4880" width="12.44140625" style="93" customWidth="1"/>
    <col min="4881" max="4881" width="15.33203125" style="93" customWidth="1"/>
    <col min="4882" max="5120" width="8.88671875" style="93"/>
    <col min="5121" max="5121" width="5.33203125" style="93" customWidth="1"/>
    <col min="5122" max="5122" width="37.33203125" style="93" bestFit="1" customWidth="1"/>
    <col min="5123" max="5123" width="15.33203125" style="93" customWidth="1"/>
    <col min="5124" max="5124" width="3.33203125" style="93" customWidth="1"/>
    <col min="5125" max="5127" width="15.33203125" style="93" customWidth="1"/>
    <col min="5128" max="5128" width="14" style="93" customWidth="1"/>
    <col min="5129" max="5129" width="14.33203125" style="93" customWidth="1"/>
    <col min="5130" max="5130" width="11.88671875" style="93" customWidth="1"/>
    <col min="5131" max="5131" width="14.44140625" style="93" customWidth="1"/>
    <col min="5132" max="5132" width="12.5546875" style="93" customWidth="1"/>
    <col min="5133" max="5135" width="15.33203125" style="93" customWidth="1"/>
    <col min="5136" max="5136" width="12.44140625" style="93" customWidth="1"/>
    <col min="5137" max="5137" width="15.33203125" style="93" customWidth="1"/>
    <col min="5138" max="5376" width="8.88671875" style="93"/>
    <col min="5377" max="5377" width="5.33203125" style="93" customWidth="1"/>
    <col min="5378" max="5378" width="37.33203125" style="93" bestFit="1" customWidth="1"/>
    <col min="5379" max="5379" width="15.33203125" style="93" customWidth="1"/>
    <col min="5380" max="5380" width="3.33203125" style="93" customWidth="1"/>
    <col min="5381" max="5383" width="15.33203125" style="93" customWidth="1"/>
    <col min="5384" max="5384" width="14" style="93" customWidth="1"/>
    <col min="5385" max="5385" width="14.33203125" style="93" customWidth="1"/>
    <col min="5386" max="5386" width="11.88671875" style="93" customWidth="1"/>
    <col min="5387" max="5387" width="14.44140625" style="93" customWidth="1"/>
    <col min="5388" max="5388" width="12.5546875" style="93" customWidth="1"/>
    <col min="5389" max="5391" width="15.33203125" style="93" customWidth="1"/>
    <col min="5392" max="5392" width="12.44140625" style="93" customWidth="1"/>
    <col min="5393" max="5393" width="15.33203125" style="93" customWidth="1"/>
    <col min="5394" max="5632" width="8.88671875" style="93"/>
    <col min="5633" max="5633" width="5.33203125" style="93" customWidth="1"/>
    <col min="5634" max="5634" width="37.33203125" style="93" bestFit="1" customWidth="1"/>
    <col min="5635" max="5635" width="15.33203125" style="93" customWidth="1"/>
    <col min="5636" max="5636" width="3.33203125" style="93" customWidth="1"/>
    <col min="5637" max="5639" width="15.33203125" style="93" customWidth="1"/>
    <col min="5640" max="5640" width="14" style="93" customWidth="1"/>
    <col min="5641" max="5641" width="14.33203125" style="93" customWidth="1"/>
    <col min="5642" max="5642" width="11.88671875" style="93" customWidth="1"/>
    <col min="5643" max="5643" width="14.44140625" style="93" customWidth="1"/>
    <col min="5644" max="5644" width="12.5546875" style="93" customWidth="1"/>
    <col min="5645" max="5647" width="15.33203125" style="93" customWidth="1"/>
    <col min="5648" max="5648" width="12.44140625" style="93" customWidth="1"/>
    <col min="5649" max="5649" width="15.33203125" style="93" customWidth="1"/>
    <col min="5650" max="5888" width="8.88671875" style="93"/>
    <col min="5889" max="5889" width="5.33203125" style="93" customWidth="1"/>
    <col min="5890" max="5890" width="37.33203125" style="93" bestFit="1" customWidth="1"/>
    <col min="5891" max="5891" width="15.33203125" style="93" customWidth="1"/>
    <col min="5892" max="5892" width="3.33203125" style="93" customWidth="1"/>
    <col min="5893" max="5895" width="15.33203125" style="93" customWidth="1"/>
    <col min="5896" max="5896" width="14" style="93" customWidth="1"/>
    <col min="5897" max="5897" width="14.33203125" style="93" customWidth="1"/>
    <col min="5898" max="5898" width="11.88671875" style="93" customWidth="1"/>
    <col min="5899" max="5899" width="14.44140625" style="93" customWidth="1"/>
    <col min="5900" max="5900" width="12.5546875" style="93" customWidth="1"/>
    <col min="5901" max="5903" width="15.33203125" style="93" customWidth="1"/>
    <col min="5904" max="5904" width="12.44140625" style="93" customWidth="1"/>
    <col min="5905" max="5905" width="15.33203125" style="93" customWidth="1"/>
    <col min="5906" max="6144" width="8.88671875" style="93"/>
    <col min="6145" max="6145" width="5.33203125" style="93" customWidth="1"/>
    <col min="6146" max="6146" width="37.33203125" style="93" bestFit="1" customWidth="1"/>
    <col min="6147" max="6147" width="15.33203125" style="93" customWidth="1"/>
    <col min="6148" max="6148" width="3.33203125" style="93" customWidth="1"/>
    <col min="6149" max="6151" width="15.33203125" style="93" customWidth="1"/>
    <col min="6152" max="6152" width="14" style="93" customWidth="1"/>
    <col min="6153" max="6153" width="14.33203125" style="93" customWidth="1"/>
    <col min="6154" max="6154" width="11.88671875" style="93" customWidth="1"/>
    <col min="6155" max="6155" width="14.44140625" style="93" customWidth="1"/>
    <col min="6156" max="6156" width="12.5546875" style="93" customWidth="1"/>
    <col min="6157" max="6159" width="15.33203125" style="93" customWidth="1"/>
    <col min="6160" max="6160" width="12.44140625" style="93" customWidth="1"/>
    <col min="6161" max="6161" width="15.33203125" style="93" customWidth="1"/>
    <col min="6162" max="6400" width="8.88671875" style="93"/>
    <col min="6401" max="6401" width="5.33203125" style="93" customWidth="1"/>
    <col min="6402" max="6402" width="37.33203125" style="93" bestFit="1" customWidth="1"/>
    <col min="6403" max="6403" width="15.33203125" style="93" customWidth="1"/>
    <col min="6404" max="6404" width="3.33203125" style="93" customWidth="1"/>
    <col min="6405" max="6407" width="15.33203125" style="93" customWidth="1"/>
    <col min="6408" max="6408" width="14" style="93" customWidth="1"/>
    <col min="6409" max="6409" width="14.33203125" style="93" customWidth="1"/>
    <col min="6410" max="6410" width="11.88671875" style="93" customWidth="1"/>
    <col min="6411" max="6411" width="14.44140625" style="93" customWidth="1"/>
    <col min="6412" max="6412" width="12.5546875" style="93" customWidth="1"/>
    <col min="6413" max="6415" width="15.33203125" style="93" customWidth="1"/>
    <col min="6416" max="6416" width="12.44140625" style="93" customWidth="1"/>
    <col min="6417" max="6417" width="15.33203125" style="93" customWidth="1"/>
    <col min="6418" max="6656" width="8.88671875" style="93"/>
    <col min="6657" max="6657" width="5.33203125" style="93" customWidth="1"/>
    <col min="6658" max="6658" width="37.33203125" style="93" bestFit="1" customWidth="1"/>
    <col min="6659" max="6659" width="15.33203125" style="93" customWidth="1"/>
    <col min="6660" max="6660" width="3.33203125" style="93" customWidth="1"/>
    <col min="6661" max="6663" width="15.33203125" style="93" customWidth="1"/>
    <col min="6664" max="6664" width="14" style="93" customWidth="1"/>
    <col min="6665" max="6665" width="14.33203125" style="93" customWidth="1"/>
    <col min="6666" max="6666" width="11.88671875" style="93" customWidth="1"/>
    <col min="6667" max="6667" width="14.44140625" style="93" customWidth="1"/>
    <col min="6668" max="6668" width="12.5546875" style="93" customWidth="1"/>
    <col min="6669" max="6671" width="15.33203125" style="93" customWidth="1"/>
    <col min="6672" max="6672" width="12.44140625" style="93" customWidth="1"/>
    <col min="6673" max="6673" width="15.33203125" style="93" customWidth="1"/>
    <col min="6674" max="6912" width="8.88671875" style="93"/>
    <col min="6913" max="6913" width="5.33203125" style="93" customWidth="1"/>
    <col min="6914" max="6914" width="37.33203125" style="93" bestFit="1" customWidth="1"/>
    <col min="6915" max="6915" width="15.33203125" style="93" customWidth="1"/>
    <col min="6916" max="6916" width="3.33203125" style="93" customWidth="1"/>
    <col min="6917" max="6919" width="15.33203125" style="93" customWidth="1"/>
    <col min="6920" max="6920" width="14" style="93" customWidth="1"/>
    <col min="6921" max="6921" width="14.33203125" style="93" customWidth="1"/>
    <col min="6922" max="6922" width="11.88671875" style="93" customWidth="1"/>
    <col min="6923" max="6923" width="14.44140625" style="93" customWidth="1"/>
    <col min="6924" max="6924" width="12.5546875" style="93" customWidth="1"/>
    <col min="6925" max="6927" width="15.33203125" style="93" customWidth="1"/>
    <col min="6928" max="6928" width="12.44140625" style="93" customWidth="1"/>
    <col min="6929" max="6929" width="15.33203125" style="93" customWidth="1"/>
    <col min="6930" max="7168" width="8.88671875" style="93"/>
    <col min="7169" max="7169" width="5.33203125" style="93" customWidth="1"/>
    <col min="7170" max="7170" width="37.33203125" style="93" bestFit="1" customWidth="1"/>
    <col min="7171" max="7171" width="15.33203125" style="93" customWidth="1"/>
    <col min="7172" max="7172" width="3.33203125" style="93" customWidth="1"/>
    <col min="7173" max="7175" width="15.33203125" style="93" customWidth="1"/>
    <col min="7176" max="7176" width="14" style="93" customWidth="1"/>
    <col min="7177" max="7177" width="14.33203125" style="93" customWidth="1"/>
    <col min="7178" max="7178" width="11.88671875" style="93" customWidth="1"/>
    <col min="7179" max="7179" width="14.44140625" style="93" customWidth="1"/>
    <col min="7180" max="7180" width="12.5546875" style="93" customWidth="1"/>
    <col min="7181" max="7183" width="15.33203125" style="93" customWidth="1"/>
    <col min="7184" max="7184" width="12.44140625" style="93" customWidth="1"/>
    <col min="7185" max="7185" width="15.33203125" style="93" customWidth="1"/>
    <col min="7186" max="7424" width="8.88671875" style="93"/>
    <col min="7425" max="7425" width="5.33203125" style="93" customWidth="1"/>
    <col min="7426" max="7426" width="37.33203125" style="93" bestFit="1" customWidth="1"/>
    <col min="7427" max="7427" width="15.33203125" style="93" customWidth="1"/>
    <col min="7428" max="7428" width="3.33203125" style="93" customWidth="1"/>
    <col min="7429" max="7431" width="15.33203125" style="93" customWidth="1"/>
    <col min="7432" max="7432" width="14" style="93" customWidth="1"/>
    <col min="7433" max="7433" width="14.33203125" style="93" customWidth="1"/>
    <col min="7434" max="7434" width="11.88671875" style="93" customWidth="1"/>
    <col min="7435" max="7435" width="14.44140625" style="93" customWidth="1"/>
    <col min="7436" max="7436" width="12.5546875" style="93" customWidth="1"/>
    <col min="7437" max="7439" width="15.33203125" style="93" customWidth="1"/>
    <col min="7440" max="7440" width="12.44140625" style="93" customWidth="1"/>
    <col min="7441" max="7441" width="15.33203125" style="93" customWidth="1"/>
    <col min="7442" max="7680" width="8.88671875" style="93"/>
    <col min="7681" max="7681" width="5.33203125" style="93" customWidth="1"/>
    <col min="7682" max="7682" width="37.33203125" style="93" bestFit="1" customWidth="1"/>
    <col min="7683" max="7683" width="15.33203125" style="93" customWidth="1"/>
    <col min="7684" max="7684" width="3.33203125" style="93" customWidth="1"/>
    <col min="7685" max="7687" width="15.33203125" style="93" customWidth="1"/>
    <col min="7688" max="7688" width="14" style="93" customWidth="1"/>
    <col min="7689" max="7689" width="14.33203125" style="93" customWidth="1"/>
    <col min="7690" max="7690" width="11.88671875" style="93" customWidth="1"/>
    <col min="7691" max="7691" width="14.44140625" style="93" customWidth="1"/>
    <col min="7692" max="7692" width="12.5546875" style="93" customWidth="1"/>
    <col min="7693" max="7695" width="15.33203125" style="93" customWidth="1"/>
    <col min="7696" max="7696" width="12.44140625" style="93" customWidth="1"/>
    <col min="7697" max="7697" width="15.33203125" style="93" customWidth="1"/>
    <col min="7698" max="7936" width="8.88671875" style="93"/>
    <col min="7937" max="7937" width="5.33203125" style="93" customWidth="1"/>
    <col min="7938" max="7938" width="37.33203125" style="93" bestFit="1" customWidth="1"/>
    <col min="7939" max="7939" width="15.33203125" style="93" customWidth="1"/>
    <col min="7940" max="7940" width="3.33203125" style="93" customWidth="1"/>
    <col min="7941" max="7943" width="15.33203125" style="93" customWidth="1"/>
    <col min="7944" max="7944" width="14" style="93" customWidth="1"/>
    <col min="7945" max="7945" width="14.33203125" style="93" customWidth="1"/>
    <col min="7946" max="7946" width="11.88671875" style="93" customWidth="1"/>
    <col min="7947" max="7947" width="14.44140625" style="93" customWidth="1"/>
    <col min="7948" max="7948" width="12.5546875" style="93" customWidth="1"/>
    <col min="7949" max="7951" width="15.33203125" style="93" customWidth="1"/>
    <col min="7952" max="7952" width="12.44140625" style="93" customWidth="1"/>
    <col min="7953" max="7953" width="15.33203125" style="93" customWidth="1"/>
    <col min="7954" max="8192" width="8.88671875" style="93"/>
    <col min="8193" max="8193" width="5.33203125" style="93" customWidth="1"/>
    <col min="8194" max="8194" width="37.33203125" style="93" bestFit="1" customWidth="1"/>
    <col min="8195" max="8195" width="15.33203125" style="93" customWidth="1"/>
    <col min="8196" max="8196" width="3.33203125" style="93" customWidth="1"/>
    <col min="8197" max="8199" width="15.33203125" style="93" customWidth="1"/>
    <col min="8200" max="8200" width="14" style="93" customWidth="1"/>
    <col min="8201" max="8201" width="14.33203125" style="93" customWidth="1"/>
    <col min="8202" max="8202" width="11.88671875" style="93" customWidth="1"/>
    <col min="8203" max="8203" width="14.44140625" style="93" customWidth="1"/>
    <col min="8204" max="8204" width="12.5546875" style="93" customWidth="1"/>
    <col min="8205" max="8207" width="15.33203125" style="93" customWidth="1"/>
    <col min="8208" max="8208" width="12.44140625" style="93" customWidth="1"/>
    <col min="8209" max="8209" width="15.33203125" style="93" customWidth="1"/>
    <col min="8210" max="8448" width="8.88671875" style="93"/>
    <col min="8449" max="8449" width="5.33203125" style="93" customWidth="1"/>
    <col min="8450" max="8450" width="37.33203125" style="93" bestFit="1" customWidth="1"/>
    <col min="8451" max="8451" width="15.33203125" style="93" customWidth="1"/>
    <col min="8452" max="8452" width="3.33203125" style="93" customWidth="1"/>
    <col min="8453" max="8455" width="15.33203125" style="93" customWidth="1"/>
    <col min="8456" max="8456" width="14" style="93" customWidth="1"/>
    <col min="8457" max="8457" width="14.33203125" style="93" customWidth="1"/>
    <col min="8458" max="8458" width="11.88671875" style="93" customWidth="1"/>
    <col min="8459" max="8459" width="14.44140625" style="93" customWidth="1"/>
    <col min="8460" max="8460" width="12.5546875" style="93" customWidth="1"/>
    <col min="8461" max="8463" width="15.33203125" style="93" customWidth="1"/>
    <col min="8464" max="8464" width="12.44140625" style="93" customWidth="1"/>
    <col min="8465" max="8465" width="15.33203125" style="93" customWidth="1"/>
    <col min="8466" max="8704" width="8.88671875" style="93"/>
    <col min="8705" max="8705" width="5.33203125" style="93" customWidth="1"/>
    <col min="8706" max="8706" width="37.33203125" style="93" bestFit="1" customWidth="1"/>
    <col min="8707" max="8707" width="15.33203125" style="93" customWidth="1"/>
    <col min="8708" max="8708" width="3.33203125" style="93" customWidth="1"/>
    <col min="8709" max="8711" width="15.33203125" style="93" customWidth="1"/>
    <col min="8712" max="8712" width="14" style="93" customWidth="1"/>
    <col min="8713" max="8713" width="14.33203125" style="93" customWidth="1"/>
    <col min="8714" max="8714" width="11.88671875" style="93" customWidth="1"/>
    <col min="8715" max="8715" width="14.44140625" style="93" customWidth="1"/>
    <col min="8716" max="8716" width="12.5546875" style="93" customWidth="1"/>
    <col min="8717" max="8719" width="15.33203125" style="93" customWidth="1"/>
    <col min="8720" max="8720" width="12.44140625" style="93" customWidth="1"/>
    <col min="8721" max="8721" width="15.33203125" style="93" customWidth="1"/>
    <col min="8722" max="8960" width="8.88671875" style="93"/>
    <col min="8961" max="8961" width="5.33203125" style="93" customWidth="1"/>
    <col min="8962" max="8962" width="37.33203125" style="93" bestFit="1" customWidth="1"/>
    <col min="8963" max="8963" width="15.33203125" style="93" customWidth="1"/>
    <col min="8964" max="8964" width="3.33203125" style="93" customWidth="1"/>
    <col min="8965" max="8967" width="15.33203125" style="93" customWidth="1"/>
    <col min="8968" max="8968" width="14" style="93" customWidth="1"/>
    <col min="8969" max="8969" width="14.33203125" style="93" customWidth="1"/>
    <col min="8970" max="8970" width="11.88671875" style="93" customWidth="1"/>
    <col min="8971" max="8971" width="14.44140625" style="93" customWidth="1"/>
    <col min="8972" max="8972" width="12.5546875" style="93" customWidth="1"/>
    <col min="8973" max="8975" width="15.33203125" style="93" customWidth="1"/>
    <col min="8976" max="8976" width="12.44140625" style="93" customWidth="1"/>
    <col min="8977" max="8977" width="15.33203125" style="93" customWidth="1"/>
    <col min="8978" max="9216" width="8.88671875" style="93"/>
    <col min="9217" max="9217" width="5.33203125" style="93" customWidth="1"/>
    <col min="9218" max="9218" width="37.33203125" style="93" bestFit="1" customWidth="1"/>
    <col min="9219" max="9219" width="15.33203125" style="93" customWidth="1"/>
    <col min="9220" max="9220" width="3.33203125" style="93" customWidth="1"/>
    <col min="9221" max="9223" width="15.33203125" style="93" customWidth="1"/>
    <col min="9224" max="9224" width="14" style="93" customWidth="1"/>
    <col min="9225" max="9225" width="14.33203125" style="93" customWidth="1"/>
    <col min="9226" max="9226" width="11.88671875" style="93" customWidth="1"/>
    <col min="9227" max="9227" width="14.44140625" style="93" customWidth="1"/>
    <col min="9228" max="9228" width="12.5546875" style="93" customWidth="1"/>
    <col min="9229" max="9231" width="15.33203125" style="93" customWidth="1"/>
    <col min="9232" max="9232" width="12.44140625" style="93" customWidth="1"/>
    <col min="9233" max="9233" width="15.33203125" style="93" customWidth="1"/>
    <col min="9234" max="9472" width="8.88671875" style="93"/>
    <col min="9473" max="9473" width="5.33203125" style="93" customWidth="1"/>
    <col min="9474" max="9474" width="37.33203125" style="93" bestFit="1" customWidth="1"/>
    <col min="9475" max="9475" width="15.33203125" style="93" customWidth="1"/>
    <col min="9476" max="9476" width="3.33203125" style="93" customWidth="1"/>
    <col min="9477" max="9479" width="15.33203125" style="93" customWidth="1"/>
    <col min="9480" max="9480" width="14" style="93" customWidth="1"/>
    <col min="9481" max="9481" width="14.33203125" style="93" customWidth="1"/>
    <col min="9482" max="9482" width="11.88671875" style="93" customWidth="1"/>
    <col min="9483" max="9483" width="14.44140625" style="93" customWidth="1"/>
    <col min="9484" max="9484" width="12.5546875" style="93" customWidth="1"/>
    <col min="9485" max="9487" width="15.33203125" style="93" customWidth="1"/>
    <col min="9488" max="9488" width="12.44140625" style="93" customWidth="1"/>
    <col min="9489" max="9489" width="15.33203125" style="93" customWidth="1"/>
    <col min="9490" max="9728" width="8.88671875" style="93"/>
    <col min="9729" max="9729" width="5.33203125" style="93" customWidth="1"/>
    <col min="9730" max="9730" width="37.33203125" style="93" bestFit="1" customWidth="1"/>
    <col min="9731" max="9731" width="15.33203125" style="93" customWidth="1"/>
    <col min="9732" max="9732" width="3.33203125" style="93" customWidth="1"/>
    <col min="9733" max="9735" width="15.33203125" style="93" customWidth="1"/>
    <col min="9736" max="9736" width="14" style="93" customWidth="1"/>
    <col min="9737" max="9737" width="14.33203125" style="93" customWidth="1"/>
    <col min="9738" max="9738" width="11.88671875" style="93" customWidth="1"/>
    <col min="9739" max="9739" width="14.44140625" style="93" customWidth="1"/>
    <col min="9740" max="9740" width="12.5546875" style="93" customWidth="1"/>
    <col min="9741" max="9743" width="15.33203125" style="93" customWidth="1"/>
    <col min="9744" max="9744" width="12.44140625" style="93" customWidth="1"/>
    <col min="9745" max="9745" width="15.33203125" style="93" customWidth="1"/>
    <col min="9746" max="9984" width="8.88671875" style="93"/>
    <col min="9985" max="9985" width="5.33203125" style="93" customWidth="1"/>
    <col min="9986" max="9986" width="37.33203125" style="93" bestFit="1" customWidth="1"/>
    <col min="9987" max="9987" width="15.33203125" style="93" customWidth="1"/>
    <col min="9988" max="9988" width="3.33203125" style="93" customWidth="1"/>
    <col min="9989" max="9991" width="15.33203125" style="93" customWidth="1"/>
    <col min="9992" max="9992" width="14" style="93" customWidth="1"/>
    <col min="9993" max="9993" width="14.33203125" style="93" customWidth="1"/>
    <col min="9994" max="9994" width="11.88671875" style="93" customWidth="1"/>
    <col min="9995" max="9995" width="14.44140625" style="93" customWidth="1"/>
    <col min="9996" max="9996" width="12.5546875" style="93" customWidth="1"/>
    <col min="9997" max="9999" width="15.33203125" style="93" customWidth="1"/>
    <col min="10000" max="10000" width="12.44140625" style="93" customWidth="1"/>
    <col min="10001" max="10001" width="15.33203125" style="93" customWidth="1"/>
    <col min="10002" max="10240" width="8.88671875" style="93"/>
    <col min="10241" max="10241" width="5.33203125" style="93" customWidth="1"/>
    <col min="10242" max="10242" width="37.33203125" style="93" bestFit="1" customWidth="1"/>
    <col min="10243" max="10243" width="15.33203125" style="93" customWidth="1"/>
    <col min="10244" max="10244" width="3.33203125" style="93" customWidth="1"/>
    <col min="10245" max="10247" width="15.33203125" style="93" customWidth="1"/>
    <col min="10248" max="10248" width="14" style="93" customWidth="1"/>
    <col min="10249" max="10249" width="14.33203125" style="93" customWidth="1"/>
    <col min="10250" max="10250" width="11.88671875" style="93" customWidth="1"/>
    <col min="10251" max="10251" width="14.44140625" style="93" customWidth="1"/>
    <col min="10252" max="10252" width="12.5546875" style="93" customWidth="1"/>
    <col min="10253" max="10255" width="15.33203125" style="93" customWidth="1"/>
    <col min="10256" max="10256" width="12.44140625" style="93" customWidth="1"/>
    <col min="10257" max="10257" width="15.33203125" style="93" customWidth="1"/>
    <col min="10258" max="10496" width="8.88671875" style="93"/>
    <col min="10497" max="10497" width="5.33203125" style="93" customWidth="1"/>
    <col min="10498" max="10498" width="37.33203125" style="93" bestFit="1" customWidth="1"/>
    <col min="10499" max="10499" width="15.33203125" style="93" customWidth="1"/>
    <col min="10500" max="10500" width="3.33203125" style="93" customWidth="1"/>
    <col min="10501" max="10503" width="15.33203125" style="93" customWidth="1"/>
    <col min="10504" max="10504" width="14" style="93" customWidth="1"/>
    <col min="10505" max="10505" width="14.33203125" style="93" customWidth="1"/>
    <col min="10506" max="10506" width="11.88671875" style="93" customWidth="1"/>
    <col min="10507" max="10507" width="14.44140625" style="93" customWidth="1"/>
    <col min="10508" max="10508" width="12.5546875" style="93" customWidth="1"/>
    <col min="10509" max="10511" width="15.33203125" style="93" customWidth="1"/>
    <col min="10512" max="10512" width="12.44140625" style="93" customWidth="1"/>
    <col min="10513" max="10513" width="15.33203125" style="93" customWidth="1"/>
    <col min="10514" max="10752" width="8.88671875" style="93"/>
    <col min="10753" max="10753" width="5.33203125" style="93" customWidth="1"/>
    <col min="10754" max="10754" width="37.33203125" style="93" bestFit="1" customWidth="1"/>
    <col min="10755" max="10755" width="15.33203125" style="93" customWidth="1"/>
    <col min="10756" max="10756" width="3.33203125" style="93" customWidth="1"/>
    <col min="10757" max="10759" width="15.33203125" style="93" customWidth="1"/>
    <col min="10760" max="10760" width="14" style="93" customWidth="1"/>
    <col min="10761" max="10761" width="14.33203125" style="93" customWidth="1"/>
    <col min="10762" max="10762" width="11.88671875" style="93" customWidth="1"/>
    <col min="10763" max="10763" width="14.44140625" style="93" customWidth="1"/>
    <col min="10764" max="10764" width="12.5546875" style="93" customWidth="1"/>
    <col min="10765" max="10767" width="15.33203125" style="93" customWidth="1"/>
    <col min="10768" max="10768" width="12.44140625" style="93" customWidth="1"/>
    <col min="10769" max="10769" width="15.33203125" style="93" customWidth="1"/>
    <col min="10770" max="11008" width="8.88671875" style="93"/>
    <col min="11009" max="11009" width="5.33203125" style="93" customWidth="1"/>
    <col min="11010" max="11010" width="37.33203125" style="93" bestFit="1" customWidth="1"/>
    <col min="11011" max="11011" width="15.33203125" style="93" customWidth="1"/>
    <col min="11012" max="11012" width="3.33203125" style="93" customWidth="1"/>
    <col min="11013" max="11015" width="15.33203125" style="93" customWidth="1"/>
    <col min="11016" max="11016" width="14" style="93" customWidth="1"/>
    <col min="11017" max="11017" width="14.33203125" style="93" customWidth="1"/>
    <col min="11018" max="11018" width="11.88671875" style="93" customWidth="1"/>
    <col min="11019" max="11019" width="14.44140625" style="93" customWidth="1"/>
    <col min="11020" max="11020" width="12.5546875" style="93" customWidth="1"/>
    <col min="11021" max="11023" width="15.33203125" style="93" customWidth="1"/>
    <col min="11024" max="11024" width="12.44140625" style="93" customWidth="1"/>
    <col min="11025" max="11025" width="15.33203125" style="93" customWidth="1"/>
    <col min="11026" max="11264" width="8.88671875" style="93"/>
    <col min="11265" max="11265" width="5.33203125" style="93" customWidth="1"/>
    <col min="11266" max="11266" width="37.33203125" style="93" bestFit="1" customWidth="1"/>
    <col min="11267" max="11267" width="15.33203125" style="93" customWidth="1"/>
    <col min="11268" max="11268" width="3.33203125" style="93" customWidth="1"/>
    <col min="11269" max="11271" width="15.33203125" style="93" customWidth="1"/>
    <col min="11272" max="11272" width="14" style="93" customWidth="1"/>
    <col min="11273" max="11273" width="14.33203125" style="93" customWidth="1"/>
    <col min="11274" max="11274" width="11.88671875" style="93" customWidth="1"/>
    <col min="11275" max="11275" width="14.44140625" style="93" customWidth="1"/>
    <col min="11276" max="11276" width="12.5546875" style="93" customWidth="1"/>
    <col min="11277" max="11279" width="15.33203125" style="93" customWidth="1"/>
    <col min="11280" max="11280" width="12.44140625" style="93" customWidth="1"/>
    <col min="11281" max="11281" width="15.33203125" style="93" customWidth="1"/>
    <col min="11282" max="11520" width="8.88671875" style="93"/>
    <col min="11521" max="11521" width="5.33203125" style="93" customWidth="1"/>
    <col min="11522" max="11522" width="37.33203125" style="93" bestFit="1" customWidth="1"/>
    <col min="11523" max="11523" width="15.33203125" style="93" customWidth="1"/>
    <col min="11524" max="11524" width="3.33203125" style="93" customWidth="1"/>
    <col min="11525" max="11527" width="15.33203125" style="93" customWidth="1"/>
    <col min="11528" max="11528" width="14" style="93" customWidth="1"/>
    <col min="11529" max="11529" width="14.33203125" style="93" customWidth="1"/>
    <col min="11530" max="11530" width="11.88671875" style="93" customWidth="1"/>
    <col min="11531" max="11531" width="14.44140625" style="93" customWidth="1"/>
    <col min="11532" max="11532" width="12.5546875" style="93" customWidth="1"/>
    <col min="11533" max="11535" width="15.33203125" style="93" customWidth="1"/>
    <col min="11536" max="11536" width="12.44140625" style="93" customWidth="1"/>
    <col min="11537" max="11537" width="15.33203125" style="93" customWidth="1"/>
    <col min="11538" max="11776" width="8.88671875" style="93"/>
    <col min="11777" max="11777" width="5.33203125" style="93" customWidth="1"/>
    <col min="11778" max="11778" width="37.33203125" style="93" bestFit="1" customWidth="1"/>
    <col min="11779" max="11779" width="15.33203125" style="93" customWidth="1"/>
    <col min="11780" max="11780" width="3.33203125" style="93" customWidth="1"/>
    <col min="11781" max="11783" width="15.33203125" style="93" customWidth="1"/>
    <col min="11784" max="11784" width="14" style="93" customWidth="1"/>
    <col min="11785" max="11785" width="14.33203125" style="93" customWidth="1"/>
    <col min="11786" max="11786" width="11.88671875" style="93" customWidth="1"/>
    <col min="11787" max="11787" width="14.44140625" style="93" customWidth="1"/>
    <col min="11788" max="11788" width="12.5546875" style="93" customWidth="1"/>
    <col min="11789" max="11791" width="15.33203125" style="93" customWidth="1"/>
    <col min="11792" max="11792" width="12.44140625" style="93" customWidth="1"/>
    <col min="11793" max="11793" width="15.33203125" style="93" customWidth="1"/>
    <col min="11794" max="12032" width="8.88671875" style="93"/>
    <col min="12033" max="12033" width="5.33203125" style="93" customWidth="1"/>
    <col min="12034" max="12034" width="37.33203125" style="93" bestFit="1" customWidth="1"/>
    <col min="12035" max="12035" width="15.33203125" style="93" customWidth="1"/>
    <col min="12036" max="12036" width="3.33203125" style="93" customWidth="1"/>
    <col min="12037" max="12039" width="15.33203125" style="93" customWidth="1"/>
    <col min="12040" max="12040" width="14" style="93" customWidth="1"/>
    <col min="12041" max="12041" width="14.33203125" style="93" customWidth="1"/>
    <col min="12042" max="12042" width="11.88671875" style="93" customWidth="1"/>
    <col min="12043" max="12043" width="14.44140625" style="93" customWidth="1"/>
    <col min="12044" max="12044" width="12.5546875" style="93" customWidth="1"/>
    <col min="12045" max="12047" width="15.33203125" style="93" customWidth="1"/>
    <col min="12048" max="12048" width="12.44140625" style="93" customWidth="1"/>
    <col min="12049" max="12049" width="15.33203125" style="93" customWidth="1"/>
    <col min="12050" max="12288" width="8.88671875" style="93"/>
    <col min="12289" max="12289" width="5.33203125" style="93" customWidth="1"/>
    <col min="12290" max="12290" width="37.33203125" style="93" bestFit="1" customWidth="1"/>
    <col min="12291" max="12291" width="15.33203125" style="93" customWidth="1"/>
    <col min="12292" max="12292" width="3.33203125" style="93" customWidth="1"/>
    <col min="12293" max="12295" width="15.33203125" style="93" customWidth="1"/>
    <col min="12296" max="12296" width="14" style="93" customWidth="1"/>
    <col min="12297" max="12297" width="14.33203125" style="93" customWidth="1"/>
    <col min="12298" max="12298" width="11.88671875" style="93" customWidth="1"/>
    <col min="12299" max="12299" width="14.44140625" style="93" customWidth="1"/>
    <col min="12300" max="12300" width="12.5546875" style="93" customWidth="1"/>
    <col min="12301" max="12303" width="15.33203125" style="93" customWidth="1"/>
    <col min="12304" max="12304" width="12.44140625" style="93" customWidth="1"/>
    <col min="12305" max="12305" width="15.33203125" style="93" customWidth="1"/>
    <col min="12306" max="12544" width="8.88671875" style="93"/>
    <col min="12545" max="12545" width="5.33203125" style="93" customWidth="1"/>
    <col min="12546" max="12546" width="37.33203125" style="93" bestFit="1" customWidth="1"/>
    <col min="12547" max="12547" width="15.33203125" style="93" customWidth="1"/>
    <col min="12548" max="12548" width="3.33203125" style="93" customWidth="1"/>
    <col min="12549" max="12551" width="15.33203125" style="93" customWidth="1"/>
    <col min="12552" max="12552" width="14" style="93" customWidth="1"/>
    <col min="12553" max="12553" width="14.33203125" style="93" customWidth="1"/>
    <col min="12554" max="12554" width="11.88671875" style="93" customWidth="1"/>
    <col min="12555" max="12555" width="14.44140625" style="93" customWidth="1"/>
    <col min="12556" max="12556" width="12.5546875" style="93" customWidth="1"/>
    <col min="12557" max="12559" width="15.33203125" style="93" customWidth="1"/>
    <col min="12560" max="12560" width="12.44140625" style="93" customWidth="1"/>
    <col min="12561" max="12561" width="15.33203125" style="93" customWidth="1"/>
    <col min="12562" max="12800" width="8.88671875" style="93"/>
    <col min="12801" max="12801" width="5.33203125" style="93" customWidth="1"/>
    <col min="12802" max="12802" width="37.33203125" style="93" bestFit="1" customWidth="1"/>
    <col min="12803" max="12803" width="15.33203125" style="93" customWidth="1"/>
    <col min="12804" max="12804" width="3.33203125" style="93" customWidth="1"/>
    <col min="12805" max="12807" width="15.33203125" style="93" customWidth="1"/>
    <col min="12808" max="12808" width="14" style="93" customWidth="1"/>
    <col min="12809" max="12809" width="14.33203125" style="93" customWidth="1"/>
    <col min="12810" max="12810" width="11.88671875" style="93" customWidth="1"/>
    <col min="12811" max="12811" width="14.44140625" style="93" customWidth="1"/>
    <col min="12812" max="12812" width="12.5546875" style="93" customWidth="1"/>
    <col min="12813" max="12815" width="15.33203125" style="93" customWidth="1"/>
    <col min="12816" max="12816" width="12.44140625" style="93" customWidth="1"/>
    <col min="12817" max="12817" width="15.33203125" style="93" customWidth="1"/>
    <col min="12818" max="13056" width="8.88671875" style="93"/>
    <col min="13057" max="13057" width="5.33203125" style="93" customWidth="1"/>
    <col min="13058" max="13058" width="37.33203125" style="93" bestFit="1" customWidth="1"/>
    <col min="13059" max="13059" width="15.33203125" style="93" customWidth="1"/>
    <col min="13060" max="13060" width="3.33203125" style="93" customWidth="1"/>
    <col min="13061" max="13063" width="15.33203125" style="93" customWidth="1"/>
    <col min="13064" max="13064" width="14" style="93" customWidth="1"/>
    <col min="13065" max="13065" width="14.33203125" style="93" customWidth="1"/>
    <col min="13066" max="13066" width="11.88671875" style="93" customWidth="1"/>
    <col min="13067" max="13067" width="14.44140625" style="93" customWidth="1"/>
    <col min="13068" max="13068" width="12.5546875" style="93" customWidth="1"/>
    <col min="13069" max="13071" width="15.33203125" style="93" customWidth="1"/>
    <col min="13072" max="13072" width="12.44140625" style="93" customWidth="1"/>
    <col min="13073" max="13073" width="15.33203125" style="93" customWidth="1"/>
    <col min="13074" max="13312" width="8.88671875" style="93"/>
    <col min="13313" max="13313" width="5.33203125" style="93" customWidth="1"/>
    <col min="13314" max="13314" width="37.33203125" style="93" bestFit="1" customWidth="1"/>
    <col min="13315" max="13315" width="15.33203125" style="93" customWidth="1"/>
    <col min="13316" max="13316" width="3.33203125" style="93" customWidth="1"/>
    <col min="13317" max="13319" width="15.33203125" style="93" customWidth="1"/>
    <col min="13320" max="13320" width="14" style="93" customWidth="1"/>
    <col min="13321" max="13321" width="14.33203125" style="93" customWidth="1"/>
    <col min="13322" max="13322" width="11.88671875" style="93" customWidth="1"/>
    <col min="13323" max="13323" width="14.44140625" style="93" customWidth="1"/>
    <col min="13324" max="13324" width="12.5546875" style="93" customWidth="1"/>
    <col min="13325" max="13327" width="15.33203125" style="93" customWidth="1"/>
    <col min="13328" max="13328" width="12.44140625" style="93" customWidth="1"/>
    <col min="13329" max="13329" width="15.33203125" style="93" customWidth="1"/>
    <col min="13330" max="13568" width="8.88671875" style="93"/>
    <col min="13569" max="13569" width="5.33203125" style="93" customWidth="1"/>
    <col min="13570" max="13570" width="37.33203125" style="93" bestFit="1" customWidth="1"/>
    <col min="13571" max="13571" width="15.33203125" style="93" customWidth="1"/>
    <col min="13572" max="13572" width="3.33203125" style="93" customWidth="1"/>
    <col min="13573" max="13575" width="15.33203125" style="93" customWidth="1"/>
    <col min="13576" max="13576" width="14" style="93" customWidth="1"/>
    <col min="13577" max="13577" width="14.33203125" style="93" customWidth="1"/>
    <col min="13578" max="13578" width="11.88671875" style="93" customWidth="1"/>
    <col min="13579" max="13579" width="14.44140625" style="93" customWidth="1"/>
    <col min="13580" max="13580" width="12.5546875" style="93" customWidth="1"/>
    <col min="13581" max="13583" width="15.33203125" style="93" customWidth="1"/>
    <col min="13584" max="13584" width="12.44140625" style="93" customWidth="1"/>
    <col min="13585" max="13585" width="15.33203125" style="93" customWidth="1"/>
    <col min="13586" max="13824" width="8.88671875" style="93"/>
    <col min="13825" max="13825" width="5.33203125" style="93" customWidth="1"/>
    <col min="13826" max="13826" width="37.33203125" style="93" bestFit="1" customWidth="1"/>
    <col min="13827" max="13827" width="15.33203125" style="93" customWidth="1"/>
    <col min="13828" max="13828" width="3.33203125" style="93" customWidth="1"/>
    <col min="13829" max="13831" width="15.33203125" style="93" customWidth="1"/>
    <col min="13832" max="13832" width="14" style="93" customWidth="1"/>
    <col min="13833" max="13833" width="14.33203125" style="93" customWidth="1"/>
    <col min="13834" max="13834" width="11.88671875" style="93" customWidth="1"/>
    <col min="13835" max="13835" width="14.44140625" style="93" customWidth="1"/>
    <col min="13836" max="13836" width="12.5546875" style="93" customWidth="1"/>
    <col min="13837" max="13839" width="15.33203125" style="93" customWidth="1"/>
    <col min="13840" max="13840" width="12.44140625" style="93" customWidth="1"/>
    <col min="13841" max="13841" width="15.33203125" style="93" customWidth="1"/>
    <col min="13842" max="14080" width="8.88671875" style="93"/>
    <col min="14081" max="14081" width="5.33203125" style="93" customWidth="1"/>
    <col min="14082" max="14082" width="37.33203125" style="93" bestFit="1" customWidth="1"/>
    <col min="14083" max="14083" width="15.33203125" style="93" customWidth="1"/>
    <col min="14084" max="14084" width="3.33203125" style="93" customWidth="1"/>
    <col min="14085" max="14087" width="15.33203125" style="93" customWidth="1"/>
    <col min="14088" max="14088" width="14" style="93" customWidth="1"/>
    <col min="14089" max="14089" width="14.33203125" style="93" customWidth="1"/>
    <col min="14090" max="14090" width="11.88671875" style="93" customWidth="1"/>
    <col min="14091" max="14091" width="14.44140625" style="93" customWidth="1"/>
    <col min="14092" max="14092" width="12.5546875" style="93" customWidth="1"/>
    <col min="14093" max="14095" width="15.33203125" style="93" customWidth="1"/>
    <col min="14096" max="14096" width="12.44140625" style="93" customWidth="1"/>
    <col min="14097" max="14097" width="15.33203125" style="93" customWidth="1"/>
    <col min="14098" max="14336" width="8.88671875" style="93"/>
    <col min="14337" max="14337" width="5.33203125" style="93" customWidth="1"/>
    <col min="14338" max="14338" width="37.33203125" style="93" bestFit="1" customWidth="1"/>
    <col min="14339" max="14339" width="15.33203125" style="93" customWidth="1"/>
    <col min="14340" max="14340" width="3.33203125" style="93" customWidth="1"/>
    <col min="14341" max="14343" width="15.33203125" style="93" customWidth="1"/>
    <col min="14344" max="14344" width="14" style="93" customWidth="1"/>
    <col min="14345" max="14345" width="14.33203125" style="93" customWidth="1"/>
    <col min="14346" max="14346" width="11.88671875" style="93" customWidth="1"/>
    <col min="14347" max="14347" width="14.44140625" style="93" customWidth="1"/>
    <col min="14348" max="14348" width="12.5546875" style="93" customWidth="1"/>
    <col min="14349" max="14351" width="15.33203125" style="93" customWidth="1"/>
    <col min="14352" max="14352" width="12.44140625" style="93" customWidth="1"/>
    <col min="14353" max="14353" width="15.33203125" style="93" customWidth="1"/>
    <col min="14354" max="14592" width="8.88671875" style="93"/>
    <col min="14593" max="14593" width="5.33203125" style="93" customWidth="1"/>
    <col min="14594" max="14594" width="37.33203125" style="93" bestFit="1" customWidth="1"/>
    <col min="14595" max="14595" width="15.33203125" style="93" customWidth="1"/>
    <col min="14596" max="14596" width="3.33203125" style="93" customWidth="1"/>
    <col min="14597" max="14599" width="15.33203125" style="93" customWidth="1"/>
    <col min="14600" max="14600" width="14" style="93" customWidth="1"/>
    <col min="14601" max="14601" width="14.33203125" style="93" customWidth="1"/>
    <col min="14602" max="14602" width="11.88671875" style="93" customWidth="1"/>
    <col min="14603" max="14603" width="14.44140625" style="93" customWidth="1"/>
    <col min="14604" max="14604" width="12.5546875" style="93" customWidth="1"/>
    <col min="14605" max="14607" width="15.33203125" style="93" customWidth="1"/>
    <col min="14608" max="14608" width="12.44140625" style="93" customWidth="1"/>
    <col min="14609" max="14609" width="15.33203125" style="93" customWidth="1"/>
    <col min="14610" max="14848" width="8.88671875" style="93"/>
    <col min="14849" max="14849" width="5.33203125" style="93" customWidth="1"/>
    <col min="14850" max="14850" width="37.33203125" style="93" bestFit="1" customWidth="1"/>
    <col min="14851" max="14851" width="15.33203125" style="93" customWidth="1"/>
    <col min="14852" max="14852" width="3.33203125" style="93" customWidth="1"/>
    <col min="14853" max="14855" width="15.33203125" style="93" customWidth="1"/>
    <col min="14856" max="14856" width="14" style="93" customWidth="1"/>
    <col min="14857" max="14857" width="14.33203125" style="93" customWidth="1"/>
    <col min="14858" max="14858" width="11.88671875" style="93" customWidth="1"/>
    <col min="14859" max="14859" width="14.44140625" style="93" customWidth="1"/>
    <col min="14860" max="14860" width="12.5546875" style="93" customWidth="1"/>
    <col min="14861" max="14863" width="15.33203125" style="93" customWidth="1"/>
    <col min="14864" max="14864" width="12.44140625" style="93" customWidth="1"/>
    <col min="14865" max="14865" width="15.33203125" style="93" customWidth="1"/>
    <col min="14866" max="15104" width="8.88671875" style="93"/>
    <col min="15105" max="15105" width="5.33203125" style="93" customWidth="1"/>
    <col min="15106" max="15106" width="37.33203125" style="93" bestFit="1" customWidth="1"/>
    <col min="15107" max="15107" width="15.33203125" style="93" customWidth="1"/>
    <col min="15108" max="15108" width="3.33203125" style="93" customWidth="1"/>
    <col min="15109" max="15111" width="15.33203125" style="93" customWidth="1"/>
    <col min="15112" max="15112" width="14" style="93" customWidth="1"/>
    <col min="15113" max="15113" width="14.33203125" style="93" customWidth="1"/>
    <col min="15114" max="15114" width="11.88671875" style="93" customWidth="1"/>
    <col min="15115" max="15115" width="14.44140625" style="93" customWidth="1"/>
    <col min="15116" max="15116" width="12.5546875" style="93" customWidth="1"/>
    <col min="15117" max="15119" width="15.33203125" style="93" customWidth="1"/>
    <col min="15120" max="15120" width="12.44140625" style="93" customWidth="1"/>
    <col min="15121" max="15121" width="15.33203125" style="93" customWidth="1"/>
    <col min="15122" max="15360" width="8.88671875" style="93"/>
    <col min="15361" max="15361" width="5.33203125" style="93" customWidth="1"/>
    <col min="15362" max="15362" width="37.33203125" style="93" bestFit="1" customWidth="1"/>
    <col min="15363" max="15363" width="15.33203125" style="93" customWidth="1"/>
    <col min="15364" max="15364" width="3.33203125" style="93" customWidth="1"/>
    <col min="15365" max="15367" width="15.33203125" style="93" customWidth="1"/>
    <col min="15368" max="15368" width="14" style="93" customWidth="1"/>
    <col min="15369" max="15369" width="14.33203125" style="93" customWidth="1"/>
    <col min="15370" max="15370" width="11.88671875" style="93" customWidth="1"/>
    <col min="15371" max="15371" width="14.44140625" style="93" customWidth="1"/>
    <col min="15372" max="15372" width="12.5546875" style="93" customWidth="1"/>
    <col min="15373" max="15375" width="15.33203125" style="93" customWidth="1"/>
    <col min="15376" max="15376" width="12.44140625" style="93" customWidth="1"/>
    <col min="15377" max="15377" width="15.33203125" style="93" customWidth="1"/>
    <col min="15378" max="15616" width="8.88671875" style="93"/>
    <col min="15617" max="15617" width="5.33203125" style="93" customWidth="1"/>
    <col min="15618" max="15618" width="37.33203125" style="93" bestFit="1" customWidth="1"/>
    <col min="15619" max="15619" width="15.33203125" style="93" customWidth="1"/>
    <col min="15620" max="15620" width="3.33203125" style="93" customWidth="1"/>
    <col min="15621" max="15623" width="15.33203125" style="93" customWidth="1"/>
    <col min="15624" max="15624" width="14" style="93" customWidth="1"/>
    <col min="15625" max="15625" width="14.33203125" style="93" customWidth="1"/>
    <col min="15626" max="15626" width="11.88671875" style="93" customWidth="1"/>
    <col min="15627" max="15627" width="14.44140625" style="93" customWidth="1"/>
    <col min="15628" max="15628" width="12.5546875" style="93" customWidth="1"/>
    <col min="15629" max="15631" width="15.33203125" style="93" customWidth="1"/>
    <col min="15632" max="15632" width="12.44140625" style="93" customWidth="1"/>
    <col min="15633" max="15633" width="15.33203125" style="93" customWidth="1"/>
    <col min="15634" max="15872" width="8.88671875" style="93"/>
    <col min="15873" max="15873" width="5.33203125" style="93" customWidth="1"/>
    <col min="15874" max="15874" width="37.33203125" style="93" bestFit="1" customWidth="1"/>
    <col min="15875" max="15875" width="15.33203125" style="93" customWidth="1"/>
    <col min="15876" max="15876" width="3.33203125" style="93" customWidth="1"/>
    <col min="15877" max="15879" width="15.33203125" style="93" customWidth="1"/>
    <col min="15880" max="15880" width="14" style="93" customWidth="1"/>
    <col min="15881" max="15881" width="14.33203125" style="93" customWidth="1"/>
    <col min="15882" max="15882" width="11.88671875" style="93" customWidth="1"/>
    <col min="15883" max="15883" width="14.44140625" style="93" customWidth="1"/>
    <col min="15884" max="15884" width="12.5546875" style="93" customWidth="1"/>
    <col min="15885" max="15887" width="15.33203125" style="93" customWidth="1"/>
    <col min="15888" max="15888" width="12.44140625" style="93" customWidth="1"/>
    <col min="15889" max="15889" width="15.33203125" style="93" customWidth="1"/>
    <col min="15890" max="16128" width="8.88671875" style="93"/>
    <col min="16129" max="16129" width="5.33203125" style="93" customWidth="1"/>
    <col min="16130" max="16130" width="37.33203125" style="93" bestFit="1" customWidth="1"/>
    <col min="16131" max="16131" width="15.33203125" style="93" customWidth="1"/>
    <col min="16132" max="16132" width="3.33203125" style="93" customWidth="1"/>
    <col min="16133" max="16135" width="15.33203125" style="93" customWidth="1"/>
    <col min="16136" max="16136" width="14" style="93" customWidth="1"/>
    <col min="16137" max="16137" width="14.33203125" style="93" customWidth="1"/>
    <col min="16138" max="16138" width="11.88671875" style="93" customWidth="1"/>
    <col min="16139" max="16139" width="14.44140625" style="93" customWidth="1"/>
    <col min="16140" max="16140" width="12.5546875" style="93" customWidth="1"/>
    <col min="16141" max="16143" width="15.33203125" style="93" customWidth="1"/>
    <col min="16144" max="16144" width="12.44140625" style="93" customWidth="1"/>
    <col min="16145" max="16145" width="15.33203125" style="93" customWidth="1"/>
    <col min="16146" max="16384" width="8.88671875" style="93"/>
  </cols>
  <sheetData>
    <row r="1" spans="1:18" x14ac:dyDescent="0.2">
      <c r="A1" s="273" t="s">
        <v>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18" x14ac:dyDescent="0.2">
      <c r="A2" s="273" t="s">
        <v>44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8" x14ac:dyDescent="0.2">
      <c r="A3" s="273" t="s">
        <v>72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18" x14ac:dyDescent="0.2">
      <c r="A4" s="273" t="s">
        <v>101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</row>
    <row r="6" spans="1:18" ht="20.399999999999999" x14ac:dyDescent="0.2">
      <c r="A6" s="94" t="s">
        <v>15</v>
      </c>
      <c r="B6" s="94" t="s">
        <v>17</v>
      </c>
      <c r="C6" s="94" t="s">
        <v>45</v>
      </c>
      <c r="D6" s="94"/>
      <c r="E6" s="94" t="s">
        <v>46</v>
      </c>
      <c r="F6" s="94" t="s">
        <v>47</v>
      </c>
      <c r="G6" s="94" t="s">
        <v>48</v>
      </c>
      <c r="H6" s="94" t="s">
        <v>49</v>
      </c>
      <c r="I6" s="94" t="s">
        <v>50</v>
      </c>
      <c r="J6" s="94" t="s">
        <v>51</v>
      </c>
      <c r="K6" s="94" t="s">
        <v>52</v>
      </c>
      <c r="L6" s="94" t="s">
        <v>53</v>
      </c>
      <c r="M6" s="94" t="s">
        <v>54</v>
      </c>
      <c r="N6" s="94" t="s">
        <v>55</v>
      </c>
      <c r="O6" s="94" t="s">
        <v>56</v>
      </c>
      <c r="P6" s="94" t="s">
        <v>57</v>
      </c>
      <c r="Q6" s="94" t="s">
        <v>58</v>
      </c>
    </row>
    <row r="7" spans="1:18" x14ac:dyDescent="0.2">
      <c r="A7" s="95"/>
      <c r="B7" s="96" t="s">
        <v>13</v>
      </c>
      <c r="C7" s="96" t="s">
        <v>12</v>
      </c>
      <c r="D7" s="96"/>
      <c r="E7" s="96" t="s">
        <v>11</v>
      </c>
      <c r="F7" s="96" t="s">
        <v>10</v>
      </c>
      <c r="G7" s="96" t="s">
        <v>9</v>
      </c>
      <c r="H7" s="96" t="s">
        <v>7</v>
      </c>
      <c r="I7" s="96" t="s">
        <v>6</v>
      </c>
      <c r="J7" s="96" t="s">
        <v>5</v>
      </c>
      <c r="K7" s="96" t="s">
        <v>4</v>
      </c>
      <c r="L7" s="96" t="s">
        <v>3</v>
      </c>
      <c r="M7" s="96" t="s">
        <v>2</v>
      </c>
      <c r="N7" s="96" t="s">
        <v>1</v>
      </c>
      <c r="O7" s="96" t="s">
        <v>0</v>
      </c>
      <c r="P7" s="96" t="s">
        <v>18</v>
      </c>
      <c r="Q7" s="96" t="s">
        <v>59</v>
      </c>
    </row>
    <row r="8" spans="1:18" ht="15.6" x14ac:dyDescent="0.2">
      <c r="C8" s="274"/>
      <c r="D8" s="275"/>
      <c r="E8" s="275"/>
      <c r="F8" s="275"/>
      <c r="G8" s="275"/>
      <c r="H8" s="275"/>
      <c r="I8" s="276"/>
      <c r="J8" s="276"/>
      <c r="K8" s="276"/>
      <c r="L8" s="276"/>
      <c r="M8" s="276"/>
      <c r="N8" s="276"/>
      <c r="O8" s="276"/>
      <c r="P8" s="276"/>
      <c r="Q8" s="276"/>
    </row>
    <row r="9" spans="1:18" x14ac:dyDescent="0.2">
      <c r="A9" s="129">
        <v>1</v>
      </c>
      <c r="B9" s="97" t="s">
        <v>102</v>
      </c>
      <c r="C9" s="151">
        <f>SUM(E9:Q9)</f>
        <v>22311829039.999996</v>
      </c>
      <c r="D9" s="152"/>
      <c r="E9" s="151">
        <v>11362694034.5944</v>
      </c>
      <c r="F9" s="151">
        <v>2983833723.3713889</v>
      </c>
      <c r="G9" s="151">
        <v>3080584885.4856691</v>
      </c>
      <c r="H9" s="151">
        <v>2051022389.543107</v>
      </c>
      <c r="I9" s="151">
        <v>1342870567.1184549</v>
      </c>
      <c r="J9" s="151">
        <v>4594563.3633324662</v>
      </c>
      <c r="K9" s="151">
        <v>124979540.86316925</v>
      </c>
      <c r="L9" s="151">
        <v>639599439.09802258</v>
      </c>
      <c r="M9" s="151">
        <v>632887813.72208166</v>
      </c>
      <c r="N9" s="151">
        <v>0</v>
      </c>
      <c r="O9" s="151">
        <v>0</v>
      </c>
      <c r="P9" s="151">
        <v>81534389.017231286</v>
      </c>
      <c r="Q9" s="151">
        <v>7227693.8231415441</v>
      </c>
      <c r="R9" s="98"/>
    </row>
    <row r="10" spans="1:18" x14ac:dyDescent="0.2">
      <c r="A10" s="129">
        <f>+A9+1</f>
        <v>2</v>
      </c>
      <c r="B10" s="97" t="s">
        <v>181</v>
      </c>
      <c r="C10" s="151">
        <f>SUM(E10:Q10)</f>
        <v>-446799397</v>
      </c>
      <c r="D10" s="152"/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-446799397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98"/>
    </row>
    <row r="11" spans="1:18" x14ac:dyDescent="0.2">
      <c r="A11" s="129">
        <f t="shared" ref="A11:A37" si="0">+A10+1</f>
        <v>3</v>
      </c>
      <c r="B11" s="97" t="s">
        <v>182</v>
      </c>
      <c r="C11" s="151">
        <f>C9+C10</f>
        <v>21865029642.999996</v>
      </c>
      <c r="D11" s="152"/>
      <c r="E11" s="151">
        <f>E9+E10</f>
        <v>11362694034.5944</v>
      </c>
      <c r="F11" s="151">
        <f t="shared" ref="F11:P11" si="1">F9+F10</f>
        <v>2983833723.3713889</v>
      </c>
      <c r="G11" s="151">
        <f t="shared" si="1"/>
        <v>3080584885.4856691</v>
      </c>
      <c r="H11" s="151">
        <f t="shared" si="1"/>
        <v>2051022389.543107</v>
      </c>
      <c r="I11" s="151">
        <f t="shared" si="1"/>
        <v>1342870567.1184549</v>
      </c>
      <c r="J11" s="151">
        <f t="shared" si="1"/>
        <v>4594563.3633324662</v>
      </c>
      <c r="K11" s="151">
        <f t="shared" si="1"/>
        <v>124979540.86316925</v>
      </c>
      <c r="L11" s="151">
        <f>L9+L10</f>
        <v>192800042.09802258</v>
      </c>
      <c r="M11" s="151">
        <f t="shared" si="1"/>
        <v>632887813.72208166</v>
      </c>
      <c r="N11" s="151">
        <f t="shared" si="1"/>
        <v>0</v>
      </c>
      <c r="O11" s="151">
        <f t="shared" si="1"/>
        <v>0</v>
      </c>
      <c r="P11" s="151">
        <f t="shared" si="1"/>
        <v>81534389.017231286</v>
      </c>
      <c r="Q11" s="151">
        <f>Q9+Q10</f>
        <v>7227693.8231415441</v>
      </c>
      <c r="R11" s="98"/>
    </row>
    <row r="12" spans="1:18" x14ac:dyDescent="0.2">
      <c r="A12" s="129">
        <f t="shared" si="0"/>
        <v>4</v>
      </c>
      <c r="B12" s="97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98"/>
    </row>
    <row r="13" spans="1:18" x14ac:dyDescent="0.2">
      <c r="A13" s="129">
        <f t="shared" si="0"/>
        <v>5</v>
      </c>
      <c r="B13" s="97" t="s">
        <v>103</v>
      </c>
      <c r="C13" s="151">
        <f>SUM(E13:Q13)</f>
        <v>3941657.8585261339</v>
      </c>
      <c r="D13" s="152"/>
      <c r="E13" s="151">
        <v>2401760.8159533199</v>
      </c>
      <c r="F13" s="151">
        <v>483797.35950569448</v>
      </c>
      <c r="G13" s="151">
        <v>452472.55815379717</v>
      </c>
      <c r="H13" s="151">
        <v>261562.891393383</v>
      </c>
      <c r="I13" s="151">
        <v>179157.07260351363</v>
      </c>
      <c r="J13" s="151">
        <v>4.0419526549894496</v>
      </c>
      <c r="K13" s="151">
        <v>0</v>
      </c>
      <c r="L13" s="151">
        <v>80420.565981487205</v>
      </c>
      <c r="M13" s="151">
        <v>67179.705291231017</v>
      </c>
      <c r="N13" s="151">
        <v>0</v>
      </c>
      <c r="O13" s="151">
        <v>0</v>
      </c>
      <c r="P13" s="151">
        <v>13772.381425311305</v>
      </c>
      <c r="Q13" s="151">
        <v>1530.4662657410647</v>
      </c>
    </row>
    <row r="14" spans="1:18" x14ac:dyDescent="0.2">
      <c r="A14" s="129">
        <f t="shared" si="0"/>
        <v>6</v>
      </c>
      <c r="B14" s="97" t="s">
        <v>183</v>
      </c>
      <c r="C14" s="151">
        <f>SUM(E14:Q14)</f>
        <v>-60801</v>
      </c>
      <c r="D14" s="152"/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-60801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</row>
    <row r="15" spans="1:18" x14ac:dyDescent="0.2">
      <c r="A15" s="129">
        <f t="shared" si="0"/>
        <v>7</v>
      </c>
      <c r="B15" s="97" t="s">
        <v>184</v>
      </c>
      <c r="C15" s="151">
        <f>C13+C14</f>
        <v>3880856.8585261339</v>
      </c>
      <c r="D15" s="152"/>
      <c r="E15" s="151">
        <f t="shared" ref="E15:O15" si="2">E13+E14</f>
        <v>2401760.8159533199</v>
      </c>
      <c r="F15" s="151">
        <f t="shared" si="2"/>
        <v>483797.35950569448</v>
      </c>
      <c r="G15" s="151">
        <f t="shared" si="2"/>
        <v>452472.55815379717</v>
      </c>
      <c r="H15" s="151">
        <f t="shared" si="2"/>
        <v>261562.891393383</v>
      </c>
      <c r="I15" s="151">
        <f t="shared" si="2"/>
        <v>179157.07260351363</v>
      </c>
      <c r="J15" s="151">
        <f t="shared" si="2"/>
        <v>4.0419526549894496</v>
      </c>
      <c r="K15" s="151">
        <f t="shared" si="2"/>
        <v>0</v>
      </c>
      <c r="L15" s="151">
        <f>L13+L14</f>
        <v>19619.565981487205</v>
      </c>
      <c r="M15" s="151">
        <f t="shared" si="2"/>
        <v>67179.705291231017</v>
      </c>
      <c r="N15" s="151">
        <f t="shared" si="2"/>
        <v>0</v>
      </c>
      <c r="O15" s="151">
        <f t="shared" si="2"/>
        <v>0</v>
      </c>
      <c r="P15" s="151">
        <f>P13+P14</f>
        <v>13772.381425311305</v>
      </c>
      <c r="Q15" s="151">
        <f>Q13+Q14</f>
        <v>1530.4662657410647</v>
      </c>
    </row>
    <row r="16" spans="1:18" x14ac:dyDescent="0.2">
      <c r="A16" s="129">
        <f t="shared" si="0"/>
        <v>8</v>
      </c>
      <c r="B16" s="97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17" x14ac:dyDescent="0.2">
      <c r="A17" s="129">
        <f t="shared" si="0"/>
        <v>9</v>
      </c>
      <c r="B17" s="99" t="s">
        <v>60</v>
      </c>
      <c r="C17" s="153">
        <f>SUM(E17:Q17)</f>
        <v>1.0000000000000002</v>
      </c>
      <c r="D17" s="154"/>
      <c r="E17" s="153">
        <f t="shared" ref="E17:Q17" si="3">(E9/$C$9*$C$19+E13/$C$13*$C$20)</f>
        <v>0.53428267414961672</v>
      </c>
      <c r="F17" s="153">
        <f t="shared" si="3"/>
        <v>0.13098483852655646</v>
      </c>
      <c r="G17" s="153">
        <f t="shared" si="3"/>
        <v>0.13225029791791532</v>
      </c>
      <c r="H17" s="153">
        <f t="shared" si="3"/>
        <v>8.5533651911442882E-2</v>
      </c>
      <c r="I17" s="153">
        <f t="shared" si="3"/>
        <v>5.6502917113085652E-2</v>
      </c>
      <c r="J17" s="153">
        <f t="shared" si="3"/>
        <v>1.5470011013980859E-4</v>
      </c>
      <c r="K17" s="153">
        <f t="shared" si="3"/>
        <v>4.2011193022020825E-3</v>
      </c>
      <c r="L17" s="153">
        <f t="shared" si="3"/>
        <v>2.6600468875824963E-2</v>
      </c>
      <c r="M17" s="153">
        <f t="shared" si="3"/>
        <v>2.5535058472508355E-2</v>
      </c>
      <c r="N17" s="153">
        <f t="shared" si="3"/>
        <v>0</v>
      </c>
      <c r="O17" s="153">
        <f t="shared" si="3"/>
        <v>0</v>
      </c>
      <c r="P17" s="153">
        <f t="shared" si="3"/>
        <v>3.614248664337222E-3</v>
      </c>
      <c r="Q17" s="153">
        <f t="shared" si="3"/>
        <v>3.4002495637072092E-4</v>
      </c>
    </row>
    <row r="18" spans="1:17" x14ac:dyDescent="0.2">
      <c r="A18" s="129">
        <f t="shared" si="0"/>
        <v>10</v>
      </c>
      <c r="B18" s="99" t="s">
        <v>185</v>
      </c>
      <c r="C18" s="153">
        <f>SUM(E18:Q18)</f>
        <v>1</v>
      </c>
      <c r="D18" s="154"/>
      <c r="E18" s="153">
        <f>(E11/$C$11*$C$19+E15/$C$15*$C$20)</f>
        <v>0.54447418896707389</v>
      </c>
      <c r="F18" s="153">
        <f t="shared" ref="F18:Q18" si="4">(F11/$C$11*$C$19+F15/$C$15*$C$20)</f>
        <v>0.13351514783858534</v>
      </c>
      <c r="G18" s="153">
        <f t="shared" si="4"/>
        <v>0.1348159381915274</v>
      </c>
      <c r="H18" s="153">
        <f t="shared" si="4"/>
        <v>8.7202391632266604E-2</v>
      </c>
      <c r="I18" s="153">
        <f t="shared" si="4"/>
        <v>5.7603348288429002E-2</v>
      </c>
      <c r="J18" s="153">
        <f t="shared" si="4"/>
        <v>1.578600963558254E-4</v>
      </c>
      <c r="K18" s="153">
        <f t="shared" si="4"/>
        <v>4.2869667765296502E-3</v>
      </c>
      <c r="L18" s="153">
        <f>(L11/$C$11*$C$19+L15/$C$15*$C$20)</f>
        <v>7.8771695996032558E-3</v>
      </c>
      <c r="M18" s="153">
        <f t="shared" si="4"/>
        <v>2.6036538953921343E-2</v>
      </c>
      <c r="N18" s="153">
        <f t="shared" si="4"/>
        <v>0</v>
      </c>
      <c r="O18" s="153">
        <f t="shared" si="4"/>
        <v>0</v>
      </c>
      <c r="P18" s="153">
        <f t="shared" si="4"/>
        <v>3.6839392672468347E-3</v>
      </c>
      <c r="Q18" s="153">
        <f t="shared" si="4"/>
        <v>3.4651038846089438E-4</v>
      </c>
    </row>
    <row r="19" spans="1:17" x14ac:dyDescent="0.2">
      <c r="A19" s="129">
        <f t="shared" si="0"/>
        <v>11</v>
      </c>
      <c r="B19" s="100" t="s">
        <v>61</v>
      </c>
      <c r="C19" s="155">
        <v>0.75</v>
      </c>
      <c r="D19" s="147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x14ac:dyDescent="0.2">
      <c r="A20" s="129">
        <f t="shared" si="0"/>
        <v>12</v>
      </c>
      <c r="B20" s="100" t="s">
        <v>62</v>
      </c>
      <c r="C20" s="155">
        <v>0.25</v>
      </c>
      <c r="D20" s="147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x14ac:dyDescent="0.2">
      <c r="A21" s="129">
        <f t="shared" si="0"/>
        <v>13</v>
      </c>
      <c r="C21" s="145"/>
      <c r="D21" s="147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x14ac:dyDescent="0.2">
      <c r="A22" s="129">
        <f t="shared" si="0"/>
        <v>14</v>
      </c>
      <c r="B22" s="99" t="s">
        <v>104</v>
      </c>
      <c r="C22" s="145">
        <f>SUM(E22:Q22)</f>
        <v>2108200587.7086906</v>
      </c>
      <c r="D22" s="147"/>
      <c r="E22" s="146">
        <v>1199530845.961303</v>
      </c>
      <c r="F22" s="146">
        <v>267214405.57393074</v>
      </c>
      <c r="G22" s="146">
        <v>251912322.65464625</v>
      </c>
      <c r="H22" s="146">
        <v>153008096.02665669</v>
      </c>
      <c r="I22" s="146">
        <v>104103146.19852759</v>
      </c>
      <c r="J22" s="146">
        <v>429180.35752772924</v>
      </c>
      <c r="K22" s="146">
        <v>10935459.949142268</v>
      </c>
      <c r="L22" s="146">
        <v>46953616.608873129</v>
      </c>
      <c r="M22" s="146">
        <v>42557366.967938654</v>
      </c>
      <c r="N22" s="146">
        <v>1121279.5765295029</v>
      </c>
      <c r="O22" s="146">
        <v>11216018.725058943</v>
      </c>
      <c r="P22" s="146">
        <v>18495472.952828079</v>
      </c>
      <c r="Q22" s="146">
        <v>723376.15572802676</v>
      </c>
    </row>
    <row r="23" spans="1:17" x14ac:dyDescent="0.2">
      <c r="A23" s="129">
        <f t="shared" si="0"/>
        <v>15</v>
      </c>
      <c r="B23" s="9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x14ac:dyDescent="0.2">
      <c r="A24" s="129">
        <f t="shared" si="0"/>
        <v>16</v>
      </c>
      <c r="B24" s="97" t="s">
        <v>105</v>
      </c>
      <c r="C24" s="145">
        <f>SUM(E24:Q24)</f>
        <v>111225825.98513673</v>
      </c>
      <c r="D24" s="147"/>
      <c r="E24" s="146">
        <v>60792526.492355719</v>
      </c>
      <c r="F24" s="146">
        <v>16929189.203066148</v>
      </c>
      <c r="G24" s="146">
        <v>11900165.035182636</v>
      </c>
      <c r="H24" s="146">
        <v>7202400.4051362295</v>
      </c>
      <c r="I24" s="146">
        <v>5549720.1749180267</v>
      </c>
      <c r="J24" s="146">
        <v>22319.875382678936</v>
      </c>
      <c r="K24" s="146">
        <v>479441.21714901226</v>
      </c>
      <c r="L24" s="146">
        <v>2170923.4248753381</v>
      </c>
      <c r="M24" s="146">
        <v>4835975.8716102857</v>
      </c>
      <c r="N24" s="146">
        <v>2850.6248341625537</v>
      </c>
      <c r="O24" s="146">
        <v>875638.69411477575</v>
      </c>
      <c r="P24" s="146">
        <v>425733.74896333064</v>
      </c>
      <c r="Q24" s="146">
        <v>38941.217548381959</v>
      </c>
    </row>
    <row r="25" spans="1:17" x14ac:dyDescent="0.2">
      <c r="A25" s="129">
        <f t="shared" si="0"/>
        <v>17</v>
      </c>
      <c r="C25" s="145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x14ac:dyDescent="0.2">
      <c r="A26" s="129">
        <f t="shared" si="0"/>
        <v>18</v>
      </c>
      <c r="B26" s="97" t="s">
        <v>98</v>
      </c>
      <c r="C26" s="148">
        <f>'Exhibit A-1 (2017 GRC)'!L39</f>
        <v>556740939.36561978</v>
      </c>
      <c r="D26" s="147"/>
      <c r="E26" s="149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7" x14ac:dyDescent="0.2">
      <c r="A27" s="129">
        <f t="shared" si="0"/>
        <v>19</v>
      </c>
      <c r="B27" s="97"/>
      <c r="C27" s="148"/>
      <c r="D27" s="147"/>
      <c r="E27" s="150"/>
      <c r="F27" s="150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7" x14ac:dyDescent="0.2">
      <c r="A28" s="129">
        <f t="shared" si="0"/>
        <v>20</v>
      </c>
      <c r="B28" s="97" t="s">
        <v>99</v>
      </c>
      <c r="C28" s="148">
        <f>'Exhibit A-1 (2017 GRC)'!M39</f>
        <v>703528867.23010707</v>
      </c>
      <c r="D28" s="147"/>
      <c r="E28" s="150"/>
      <c r="F28" s="150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7" x14ac:dyDescent="0.2">
      <c r="A29" s="129">
        <f t="shared" si="0"/>
        <v>21</v>
      </c>
      <c r="B29" s="97"/>
      <c r="C29" s="145"/>
      <c r="D29" s="147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7" x14ac:dyDescent="0.2">
      <c r="A30" s="129">
        <f t="shared" si="0"/>
        <v>22</v>
      </c>
      <c r="B30" s="102" t="s">
        <v>77</v>
      </c>
      <c r="C30" s="145">
        <f>SUM(E30:Q30)</f>
        <v>556740939.3656199</v>
      </c>
      <c r="D30" s="147"/>
      <c r="E30" s="145">
        <f>+$C$26*E$18</f>
        <v>303131071.42586267</v>
      </c>
      <c r="F30" s="145">
        <f t="shared" ref="F30:Q30" si="5">+$C$26*F$18</f>
        <v>74333348.827193603</v>
      </c>
      <c r="G30" s="145">
        <f t="shared" si="5"/>
        <v>75057552.070208296</v>
      </c>
      <c r="H30" s="145">
        <f t="shared" si="5"/>
        <v>48549141.43227677</v>
      </c>
      <c r="I30" s="145">
        <f t="shared" si="5"/>
        <v>32070142.236704927</v>
      </c>
      <c r="J30" s="145">
        <f t="shared" si="5"/>
        <v>87887.178333489486</v>
      </c>
      <c r="K30" s="145">
        <f t="shared" si="5"/>
        <v>2386729.9101943206</v>
      </c>
      <c r="L30" s="145">
        <f t="shared" si="5"/>
        <v>4385542.8024254199</v>
      </c>
      <c r="M30" s="145">
        <f t="shared" si="5"/>
        <v>14495607.155035719</v>
      </c>
      <c r="N30" s="145">
        <f t="shared" si="5"/>
        <v>0</v>
      </c>
      <c r="O30" s="145">
        <f t="shared" si="5"/>
        <v>0</v>
      </c>
      <c r="P30" s="145">
        <f t="shared" si="5"/>
        <v>2050999.8082128956</v>
      </c>
      <c r="Q30" s="145">
        <f t="shared" si="5"/>
        <v>192916.51917166414</v>
      </c>
    </row>
    <row r="31" spans="1:17" x14ac:dyDescent="0.2">
      <c r="A31" s="129">
        <f t="shared" si="0"/>
        <v>23</v>
      </c>
      <c r="B31" s="102" t="s">
        <v>78</v>
      </c>
      <c r="C31" s="145">
        <f>SUM(E31:Q31)</f>
        <v>703528867.23010707</v>
      </c>
      <c r="D31" s="147"/>
      <c r="E31" s="145">
        <f>+$C$28*E$18</f>
        <v>383053309.40003675</v>
      </c>
      <c r="F31" s="145">
        <f t="shared" ref="F31:Q31" si="6">+$C$28*F$18</f>
        <v>93931760.716940224</v>
      </c>
      <c r="G31" s="145">
        <f t="shared" si="6"/>
        <v>94846904.280449405</v>
      </c>
      <c r="H31" s="145">
        <f t="shared" si="6"/>
        <v>61349399.80480469</v>
      </c>
      <c r="I31" s="145">
        <f t="shared" si="6"/>
        <v>40525618.370019779</v>
      </c>
      <c r="J31" s="145">
        <f t="shared" si="6"/>
        <v>111059.13477004939</v>
      </c>
      <c r="K31" s="145">
        <f t="shared" si="6"/>
        <v>3016004.8801450082</v>
      </c>
      <c r="L31" s="145">
        <f t="shared" si="6"/>
        <v>5541816.205388315</v>
      </c>
      <c r="M31" s="145">
        <f t="shared" si="6"/>
        <v>18317456.756844837</v>
      </c>
      <c r="N31" s="145">
        <f t="shared" si="6"/>
        <v>0</v>
      </c>
      <c r="O31" s="145">
        <f t="shared" si="6"/>
        <v>0</v>
      </c>
      <c r="P31" s="145">
        <f t="shared" si="6"/>
        <v>2591757.6196306762</v>
      </c>
      <c r="Q31" s="145">
        <f t="shared" si="6"/>
        <v>243780.06107735739</v>
      </c>
    </row>
    <row r="32" spans="1:17" x14ac:dyDescent="0.2">
      <c r="A32" s="129">
        <f t="shared" si="0"/>
        <v>24</v>
      </c>
      <c r="B32" s="103" t="s">
        <v>87</v>
      </c>
      <c r="C32" s="145">
        <f>SUM(E32:Q32)</f>
        <v>1260269806.5957267</v>
      </c>
      <c r="D32" s="147"/>
      <c r="E32" s="145">
        <f t="shared" ref="E32:Q32" si="7">SUM(E30:E31)</f>
        <v>686184380.82589936</v>
      </c>
      <c r="F32" s="145">
        <f t="shared" si="7"/>
        <v>168265109.54413384</v>
      </c>
      <c r="G32" s="145">
        <f t="shared" si="7"/>
        <v>169904456.3506577</v>
      </c>
      <c r="H32" s="145">
        <f t="shared" si="7"/>
        <v>109898541.23708147</v>
      </c>
      <c r="I32" s="145">
        <f t="shared" si="7"/>
        <v>72595760.606724709</v>
      </c>
      <c r="J32" s="145">
        <f t="shared" si="7"/>
        <v>198946.31310353888</v>
      </c>
      <c r="K32" s="145">
        <f t="shared" si="7"/>
        <v>5402734.7903393283</v>
      </c>
      <c r="L32" s="145">
        <f t="shared" si="7"/>
        <v>9927359.0078137349</v>
      </c>
      <c r="M32" s="145">
        <f t="shared" si="7"/>
        <v>32813063.911880556</v>
      </c>
      <c r="N32" s="145">
        <f t="shared" si="7"/>
        <v>0</v>
      </c>
      <c r="O32" s="145">
        <f t="shared" si="7"/>
        <v>0</v>
      </c>
      <c r="P32" s="145">
        <f t="shared" si="7"/>
        <v>4642757.4278435716</v>
      </c>
      <c r="Q32" s="145">
        <f t="shared" si="7"/>
        <v>436696.58024902153</v>
      </c>
    </row>
    <row r="33" spans="1:17" x14ac:dyDescent="0.2">
      <c r="A33" s="129">
        <f t="shared" si="0"/>
        <v>25</v>
      </c>
      <c r="B33" s="97"/>
      <c r="C33" s="145"/>
      <c r="D33" s="147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s="101" customFormat="1" x14ac:dyDescent="0.2">
      <c r="A34" s="129">
        <f t="shared" si="0"/>
        <v>26</v>
      </c>
      <c r="B34" s="104" t="s">
        <v>73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</row>
    <row r="35" spans="1:17" s="101" customFormat="1" x14ac:dyDescent="0.2">
      <c r="A35" s="129">
        <f t="shared" si="0"/>
        <v>27</v>
      </c>
      <c r="B35" s="104" t="s">
        <v>74</v>
      </c>
      <c r="C35" s="154">
        <f>SUM(E35:Q35)</f>
        <v>0.74999999999999989</v>
      </c>
      <c r="D35" s="154"/>
      <c r="E35" s="154">
        <f t="shared" ref="E35:Q35" si="8">ROUND(+$C$19*E9/$C$9,6)</f>
        <v>0.38195099999999998</v>
      </c>
      <c r="F35" s="154">
        <f t="shared" si="8"/>
        <v>0.1003</v>
      </c>
      <c r="G35" s="154">
        <f t="shared" si="8"/>
        <v>0.10355200000000001</v>
      </c>
      <c r="H35" s="154">
        <f t="shared" si="8"/>
        <v>6.8944000000000005E-2</v>
      </c>
      <c r="I35" s="154">
        <f t="shared" si="8"/>
        <v>4.514E-2</v>
      </c>
      <c r="J35" s="154">
        <f t="shared" si="8"/>
        <v>1.54E-4</v>
      </c>
      <c r="K35" s="154">
        <f t="shared" si="8"/>
        <v>4.2009999999999999E-3</v>
      </c>
      <c r="L35" s="154">
        <f t="shared" si="8"/>
        <v>2.1499999999999998E-2</v>
      </c>
      <c r="M35" s="154">
        <f t="shared" si="8"/>
        <v>2.1274000000000001E-2</v>
      </c>
      <c r="N35" s="154">
        <f t="shared" si="8"/>
        <v>0</v>
      </c>
      <c r="O35" s="154">
        <f t="shared" si="8"/>
        <v>0</v>
      </c>
      <c r="P35" s="154">
        <f t="shared" si="8"/>
        <v>2.7409999999999999E-3</v>
      </c>
      <c r="Q35" s="154">
        <f t="shared" si="8"/>
        <v>2.43E-4</v>
      </c>
    </row>
    <row r="36" spans="1:17" s="101" customFormat="1" x14ac:dyDescent="0.2">
      <c r="A36" s="129">
        <f t="shared" si="0"/>
        <v>28</v>
      </c>
      <c r="B36" s="104" t="s">
        <v>75</v>
      </c>
      <c r="C36" s="154">
        <f>SUM(E36:Q36)</f>
        <v>0.25</v>
      </c>
      <c r="D36" s="154"/>
      <c r="E36" s="154">
        <f>ROUND(+$C$20*E13/$C$13,6)-0.000001</f>
        <v>0.15233099999999999</v>
      </c>
      <c r="F36" s="154">
        <f t="shared" ref="F36:Q36" si="9">ROUND(+$C$20*F13/$C$13,6)</f>
        <v>3.0685E-2</v>
      </c>
      <c r="G36" s="154">
        <f t="shared" si="9"/>
        <v>2.8698000000000001E-2</v>
      </c>
      <c r="H36" s="154">
        <f t="shared" si="9"/>
        <v>1.6590000000000001E-2</v>
      </c>
      <c r="I36" s="154">
        <f t="shared" si="9"/>
        <v>1.1363E-2</v>
      </c>
      <c r="J36" s="154">
        <f t="shared" si="9"/>
        <v>0</v>
      </c>
      <c r="K36" s="154">
        <f t="shared" si="9"/>
        <v>0</v>
      </c>
      <c r="L36" s="154">
        <f t="shared" si="9"/>
        <v>5.1009999999999996E-3</v>
      </c>
      <c r="M36" s="154">
        <f t="shared" si="9"/>
        <v>4.261E-3</v>
      </c>
      <c r="N36" s="154">
        <f t="shared" si="9"/>
        <v>0</v>
      </c>
      <c r="O36" s="154">
        <f t="shared" si="9"/>
        <v>0</v>
      </c>
      <c r="P36" s="154">
        <f t="shared" si="9"/>
        <v>8.7399999999999999E-4</v>
      </c>
      <c r="Q36" s="154">
        <f t="shared" si="9"/>
        <v>9.7E-5</v>
      </c>
    </row>
    <row r="37" spans="1:17" s="101" customFormat="1" x14ac:dyDescent="0.2">
      <c r="A37" s="129">
        <f t="shared" si="0"/>
        <v>29</v>
      </c>
      <c r="B37" s="104" t="s">
        <v>76</v>
      </c>
      <c r="C37" s="154">
        <f>SUM(E37:Q37)</f>
        <v>0.99999999999999989</v>
      </c>
      <c r="D37" s="147"/>
      <c r="E37" s="154">
        <f t="shared" ref="E37:Q37" si="10">SUM(E35:E36)</f>
        <v>0.53428199999999992</v>
      </c>
      <c r="F37" s="154">
        <f t="shared" si="10"/>
        <v>0.13098499999999999</v>
      </c>
      <c r="G37" s="154">
        <f t="shared" si="10"/>
        <v>0.13225000000000001</v>
      </c>
      <c r="H37" s="154">
        <f t="shared" si="10"/>
        <v>8.5533999999999999E-2</v>
      </c>
      <c r="I37" s="154">
        <f t="shared" si="10"/>
        <v>5.6502999999999998E-2</v>
      </c>
      <c r="J37" s="154">
        <f t="shared" si="10"/>
        <v>1.54E-4</v>
      </c>
      <c r="K37" s="154">
        <f t="shared" si="10"/>
        <v>4.2009999999999999E-3</v>
      </c>
      <c r="L37" s="154">
        <f t="shared" si="10"/>
        <v>2.6601E-2</v>
      </c>
      <c r="M37" s="154">
        <f t="shared" si="10"/>
        <v>2.5535000000000002E-2</v>
      </c>
      <c r="N37" s="154">
        <f t="shared" si="10"/>
        <v>0</v>
      </c>
      <c r="O37" s="154">
        <f t="shared" si="10"/>
        <v>0</v>
      </c>
      <c r="P37" s="154">
        <f t="shared" si="10"/>
        <v>3.6150000000000002E-3</v>
      </c>
      <c r="Q37" s="154">
        <f t="shared" si="10"/>
        <v>3.4000000000000002E-4</v>
      </c>
    </row>
    <row r="38" spans="1:17" s="101" customFormat="1" x14ac:dyDescent="0.2">
      <c r="A38" s="129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x14ac:dyDescent="0.2">
      <c r="A39" s="105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x14ac:dyDescent="0.2">
      <c r="A40" s="105"/>
    </row>
    <row r="41" spans="1:17" x14ac:dyDescent="0.2">
      <c r="A41" s="105"/>
    </row>
    <row r="42" spans="1:17" x14ac:dyDescent="0.2">
      <c r="A42" s="105"/>
    </row>
    <row r="43" spans="1:17" x14ac:dyDescent="0.2">
      <c r="A43" s="105"/>
    </row>
    <row r="44" spans="1:17" x14ac:dyDescent="0.2">
      <c r="A44" s="105"/>
    </row>
    <row r="45" spans="1:17" x14ac:dyDescent="0.2">
      <c r="A45" s="105"/>
    </row>
    <row r="46" spans="1:17" x14ac:dyDescent="0.2">
      <c r="A46" s="105"/>
    </row>
    <row r="47" spans="1:17" x14ac:dyDescent="0.2">
      <c r="A47" s="105"/>
    </row>
    <row r="48" spans="1:17" x14ac:dyDescent="0.2">
      <c r="A48" s="105"/>
    </row>
    <row r="49" spans="1:1" x14ac:dyDescent="0.2">
      <c r="A49" s="105"/>
    </row>
    <row r="50" spans="1:1" x14ac:dyDescent="0.2">
      <c r="A50" s="105"/>
    </row>
    <row r="51" spans="1:1" x14ac:dyDescent="0.2">
      <c r="A51" s="105"/>
    </row>
    <row r="52" spans="1:1" x14ac:dyDescent="0.2">
      <c r="A52" s="105"/>
    </row>
    <row r="53" spans="1:1" x14ac:dyDescent="0.2">
      <c r="A53" s="105"/>
    </row>
    <row r="54" spans="1:1" x14ac:dyDescent="0.2">
      <c r="A54" s="105"/>
    </row>
  </sheetData>
  <mergeCells count="5">
    <mergeCell ref="A1:Q1"/>
    <mergeCell ref="A2:Q2"/>
    <mergeCell ref="A3:Q3"/>
    <mergeCell ref="A4:Q4"/>
    <mergeCell ref="C8:Q8"/>
  </mergeCells>
  <pageMargins left="0.5" right="0.5" top="1" bottom="1" header="0.5" footer="0.5"/>
  <pageSetup scale="54" orientation="landscape" horizontalDpi="300" verticalDpi="300" r:id="rId1"/>
  <headerFooter alignWithMargins="0">
    <oddFooter>&amp;R&amp;F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zoomScaleNormal="100" workbookViewId="0">
      <selection activeCell="I18" sqref="I18"/>
    </sheetView>
  </sheetViews>
  <sheetFormatPr defaultColWidth="9.33203125" defaultRowHeight="10.199999999999999" x14ac:dyDescent="0.2"/>
  <cols>
    <col min="1" max="1" width="7" style="10" customWidth="1"/>
    <col min="2" max="2" width="43.33203125" style="10" customWidth="1"/>
    <col min="3" max="3" width="12.88671875" style="10" bestFit="1" customWidth="1"/>
    <col min="4" max="4" width="18" style="10" customWidth="1"/>
    <col min="5" max="5" width="4" style="10" bestFit="1" customWidth="1"/>
    <col min="6" max="6" width="15.88671875" style="10" bestFit="1" customWidth="1"/>
    <col min="7" max="7" width="11.5546875" style="10" bestFit="1" customWidth="1"/>
    <col min="8" max="8" width="3.33203125" style="10" customWidth="1"/>
    <col min="9" max="9" width="12.88671875" style="1" bestFit="1" customWidth="1"/>
    <col min="10" max="10" width="18.109375" style="1" customWidth="1"/>
    <col min="11" max="11" width="4" style="1" bestFit="1" customWidth="1"/>
    <col min="12" max="12" width="13.6640625" style="1" bestFit="1" customWidth="1"/>
    <col min="13" max="13" width="11.5546875" style="1" bestFit="1" customWidth="1"/>
    <col min="14" max="14" width="11.33203125" style="1" bestFit="1" customWidth="1"/>
    <col min="15" max="15" width="22.6640625" style="2" bestFit="1" customWidth="1"/>
    <col min="16" max="16" width="14.5546875" style="1" bestFit="1" customWidth="1"/>
    <col min="17" max="17" width="16.5546875" style="1" bestFit="1" customWidth="1"/>
    <col min="18" max="18" width="9.33203125" style="1"/>
    <col min="19" max="19" width="5.6640625" style="1" bestFit="1" customWidth="1"/>
    <col min="20" max="20" width="11.5546875" style="1" bestFit="1" customWidth="1"/>
    <col min="21" max="16384" width="9.33203125" style="10"/>
  </cols>
  <sheetData>
    <row r="1" spans="1:15" ht="10.95" x14ac:dyDescent="0.25">
      <c r="A1" s="8" t="s">
        <v>106</v>
      </c>
      <c r="B1" s="9"/>
      <c r="M1" s="11"/>
      <c r="N1" s="11"/>
    </row>
    <row r="2" spans="1:15" x14ac:dyDescent="0.2">
      <c r="A2" s="12" t="s">
        <v>107</v>
      </c>
      <c r="B2" s="13"/>
      <c r="M2" s="14"/>
      <c r="N2" s="14"/>
    </row>
    <row r="3" spans="1:15" ht="10.95" thickBot="1" x14ac:dyDescent="0.25">
      <c r="A3" s="8"/>
      <c r="B3" s="13"/>
    </row>
    <row r="4" spans="1:15" ht="10.95" thickBot="1" x14ac:dyDescent="0.25">
      <c r="A4" s="8"/>
      <c r="B4" s="13"/>
      <c r="C4" s="15" t="s">
        <v>108</v>
      </c>
      <c r="D4" s="16"/>
      <c r="E4" s="16"/>
      <c r="F4" s="17"/>
      <c r="G4" s="18"/>
      <c r="I4" s="15" t="s">
        <v>109</v>
      </c>
      <c r="J4" s="16"/>
      <c r="K4" s="16"/>
      <c r="L4" s="17"/>
      <c r="M4" s="18"/>
    </row>
    <row r="5" spans="1:15" x14ac:dyDescent="0.2">
      <c r="A5" s="19" t="s">
        <v>110</v>
      </c>
      <c r="B5" s="20"/>
      <c r="C5" s="21" t="s">
        <v>111</v>
      </c>
      <c r="D5" s="22"/>
      <c r="E5" s="22"/>
      <c r="F5" s="22"/>
      <c r="G5" s="23"/>
      <c r="I5" s="21" t="s">
        <v>111</v>
      </c>
      <c r="J5" s="22"/>
      <c r="K5" s="22"/>
      <c r="L5" s="22"/>
      <c r="M5" s="23"/>
    </row>
    <row r="6" spans="1:15" x14ac:dyDescent="0.2">
      <c r="A6" s="19">
        <v>3</v>
      </c>
      <c r="B6" s="24" t="s">
        <v>112</v>
      </c>
      <c r="C6" s="25">
        <v>199079031.3739852</v>
      </c>
      <c r="D6" s="3"/>
      <c r="E6" s="3"/>
      <c r="F6" s="3"/>
      <c r="G6" s="4"/>
      <c r="I6" s="25">
        <f>+C6</f>
        <v>199079031.3739852</v>
      </c>
      <c r="J6" s="3"/>
      <c r="K6" s="3"/>
      <c r="L6" s="3"/>
      <c r="M6" s="4"/>
      <c r="N6" s="5" t="s">
        <v>113</v>
      </c>
      <c r="O6" s="5" t="s">
        <v>114</v>
      </c>
    </row>
    <row r="7" spans="1:15" x14ac:dyDescent="0.2">
      <c r="A7" s="19">
        <v>4</v>
      </c>
      <c r="B7" s="24" t="s">
        <v>115</v>
      </c>
      <c r="C7" s="26">
        <v>85738601.034227908</v>
      </c>
      <c r="D7" s="7"/>
      <c r="E7" s="7"/>
      <c r="F7" s="7"/>
      <c r="G7" s="27"/>
      <c r="I7" s="26">
        <f>+C7</f>
        <v>85738601.034227908</v>
      </c>
      <c r="J7" s="7"/>
      <c r="K7" s="7"/>
      <c r="L7" s="7"/>
      <c r="M7" s="27"/>
      <c r="N7" s="28"/>
    </row>
    <row r="8" spans="1:15" x14ac:dyDescent="0.2">
      <c r="A8" s="19">
        <v>5</v>
      </c>
      <c r="B8" s="24" t="s">
        <v>116</v>
      </c>
      <c r="C8" s="26">
        <v>1961447671.7378278</v>
      </c>
      <c r="D8" s="7"/>
      <c r="E8" s="29"/>
      <c r="F8" s="30" t="s">
        <v>117</v>
      </c>
      <c r="G8" s="31">
        <v>3.8393999999999998E-2</v>
      </c>
      <c r="I8" s="26">
        <f>+C8</f>
        <v>1961447671.7378278</v>
      </c>
      <c r="J8" s="7"/>
      <c r="K8" s="29"/>
      <c r="L8" s="30" t="s">
        <v>118</v>
      </c>
      <c r="M8" s="31">
        <v>3.8172439532610514E-2</v>
      </c>
      <c r="N8" s="106">
        <f>M8-G8</f>
        <v>-2.2156046738948387E-4</v>
      </c>
      <c r="O8" s="32" t="s">
        <v>119</v>
      </c>
    </row>
    <row r="9" spans="1:15" x14ac:dyDescent="0.2">
      <c r="A9" s="19">
        <v>6</v>
      </c>
      <c r="B9" s="9"/>
      <c r="C9" s="33">
        <f>SUM(C6:C8)</f>
        <v>2246265304.1460409</v>
      </c>
      <c r="D9" s="34"/>
      <c r="E9" s="35"/>
      <c r="F9" s="36"/>
      <c r="G9" s="31">
        <f>1-G8</f>
        <v>0.96160599999999996</v>
      </c>
      <c r="I9" s="33">
        <f>SUM(I6:I8)</f>
        <v>2246265304.1460409</v>
      </c>
      <c r="J9" s="34"/>
      <c r="K9" s="35"/>
      <c r="L9" s="36"/>
      <c r="M9" s="31">
        <f>1-M8</f>
        <v>0.96182756046738949</v>
      </c>
      <c r="N9" s="106">
        <f>M9-G9</f>
        <v>2.2156046738952551E-4</v>
      </c>
      <c r="O9" s="32" t="s">
        <v>119</v>
      </c>
    </row>
    <row r="10" spans="1:15" x14ac:dyDescent="0.2">
      <c r="A10" s="19">
        <v>7</v>
      </c>
      <c r="B10" s="24" t="s">
        <v>120</v>
      </c>
      <c r="C10" s="37">
        <v>6.9699999999999998E-2</v>
      </c>
      <c r="D10" s="38"/>
      <c r="E10" s="35"/>
      <c r="F10" s="35" t="s">
        <v>121</v>
      </c>
      <c r="G10" s="39" t="s">
        <v>122</v>
      </c>
      <c r="I10" s="37">
        <f>+C10</f>
        <v>6.9699999999999998E-2</v>
      </c>
      <c r="J10" s="38"/>
      <c r="K10" s="35"/>
      <c r="L10" s="35" t="s">
        <v>121</v>
      </c>
      <c r="M10" s="39" t="s">
        <v>122</v>
      </c>
      <c r="N10" s="107"/>
    </row>
    <row r="11" spans="1:15" x14ac:dyDescent="0.2">
      <c r="A11" s="19">
        <v>8</v>
      </c>
      <c r="B11" s="40"/>
      <c r="C11" s="41"/>
      <c r="D11" s="35" t="s">
        <v>123</v>
      </c>
      <c r="E11" s="35"/>
      <c r="F11" s="35" t="s">
        <v>124</v>
      </c>
      <c r="G11" s="39" t="s">
        <v>124</v>
      </c>
      <c r="I11" s="41"/>
      <c r="J11" s="35" t="s">
        <v>123</v>
      </c>
      <c r="K11" s="35"/>
      <c r="L11" s="35" t="s">
        <v>124</v>
      </c>
      <c r="M11" s="39" t="s">
        <v>124</v>
      </c>
      <c r="N11" s="107"/>
    </row>
    <row r="12" spans="1:15" x14ac:dyDescent="0.2">
      <c r="A12" s="19">
        <v>9</v>
      </c>
      <c r="B12" s="42"/>
      <c r="C12" s="41"/>
      <c r="D12" s="35" t="s">
        <v>125</v>
      </c>
      <c r="E12" s="43" t="s">
        <v>126</v>
      </c>
      <c r="F12" s="43" t="s">
        <v>127</v>
      </c>
      <c r="G12" s="44" t="s">
        <v>128</v>
      </c>
      <c r="H12" s="45"/>
      <c r="I12" s="41"/>
      <c r="J12" s="35" t="s">
        <v>125</v>
      </c>
      <c r="K12" s="43" t="s">
        <v>126</v>
      </c>
      <c r="L12" s="43" t="s">
        <v>127</v>
      </c>
      <c r="M12" s="44" t="s">
        <v>128</v>
      </c>
      <c r="N12" s="43"/>
    </row>
    <row r="13" spans="1:15" x14ac:dyDescent="0.2">
      <c r="A13" s="19" t="s">
        <v>129</v>
      </c>
      <c r="B13" s="24"/>
      <c r="C13" s="46" t="s">
        <v>130</v>
      </c>
      <c r="D13" s="35" t="s">
        <v>131</v>
      </c>
      <c r="E13" s="35" t="s">
        <v>132</v>
      </c>
      <c r="F13" s="43" t="s">
        <v>133</v>
      </c>
      <c r="G13" s="44" t="s">
        <v>134</v>
      </c>
      <c r="H13" s="45"/>
      <c r="I13" s="46" t="s">
        <v>130</v>
      </c>
      <c r="J13" s="35" t="s">
        <v>131</v>
      </c>
      <c r="K13" s="35" t="s">
        <v>132</v>
      </c>
      <c r="L13" s="43" t="s">
        <v>133</v>
      </c>
      <c r="M13" s="44" t="s">
        <v>134</v>
      </c>
      <c r="N13" s="108"/>
    </row>
    <row r="14" spans="1:15" x14ac:dyDescent="0.2">
      <c r="A14" s="19">
        <v>10</v>
      </c>
      <c r="B14" s="24" t="s">
        <v>135</v>
      </c>
      <c r="C14" s="25">
        <f>C6*$I$10/0.79</f>
        <v>17564314.5402111</v>
      </c>
      <c r="D14" s="47">
        <f t="shared" ref="D14:D35" si="0">+C14/$C$40</f>
        <v>0.8475674343154771</v>
      </c>
      <c r="E14" s="48" t="s">
        <v>136</v>
      </c>
      <c r="F14" s="49">
        <f>+C14</f>
        <v>17564314.5402111</v>
      </c>
      <c r="G14" s="50">
        <v>0</v>
      </c>
      <c r="H14" s="51"/>
      <c r="I14" s="25">
        <f>I6*$I$10/0.79</f>
        <v>17564314.5402111</v>
      </c>
      <c r="J14" s="47">
        <f t="shared" ref="J14:J35" si="1">+I14/$I$40</f>
        <v>0.86596411007935781</v>
      </c>
      <c r="K14" s="48" t="s">
        <v>136</v>
      </c>
      <c r="L14" s="49">
        <f>+I14</f>
        <v>17564314.5402111</v>
      </c>
      <c r="M14" s="50">
        <v>0</v>
      </c>
      <c r="N14" s="109"/>
    </row>
    <row r="15" spans="1:15" x14ac:dyDescent="0.2">
      <c r="A15" s="19" t="s">
        <v>137</v>
      </c>
      <c r="B15" s="24" t="s">
        <v>138</v>
      </c>
      <c r="C15" s="26">
        <v>4769481.1386719989</v>
      </c>
      <c r="D15" s="47">
        <f t="shared" si="0"/>
        <v>0.23015170233177235</v>
      </c>
      <c r="E15" s="48" t="s">
        <v>139</v>
      </c>
      <c r="F15" s="7"/>
      <c r="G15" s="52">
        <f>+C15</f>
        <v>4769481.1386719989</v>
      </c>
      <c r="H15" s="51"/>
      <c r="I15" s="26">
        <f>+C15/$G$9*$M$9</f>
        <v>4770580.0590929296</v>
      </c>
      <c r="J15" s="47">
        <f t="shared" si="1"/>
        <v>0.23520138551248512</v>
      </c>
      <c r="K15" s="48" t="s">
        <v>139</v>
      </c>
      <c r="L15" s="7"/>
      <c r="M15" s="52">
        <f>+I15</f>
        <v>4770580.0590929296</v>
      </c>
      <c r="N15" s="110">
        <f>M15-G15</f>
        <v>1098.9204209307209</v>
      </c>
      <c r="O15" s="32" t="s">
        <v>140</v>
      </c>
    </row>
    <row r="16" spans="1:15" x14ac:dyDescent="0.2">
      <c r="A16" s="19">
        <v>11</v>
      </c>
      <c r="B16" s="9" t="s">
        <v>141</v>
      </c>
      <c r="C16" s="53">
        <f>C7*$I$10/0.79</f>
        <v>7564532.2684628917</v>
      </c>
      <c r="D16" s="47">
        <f t="shared" si="0"/>
        <v>0.36502712314218622</v>
      </c>
      <c r="E16" s="48" t="s">
        <v>136</v>
      </c>
      <c r="F16" s="54">
        <f>+C16</f>
        <v>7564532.2684628917</v>
      </c>
      <c r="G16" s="27"/>
      <c r="H16" s="51"/>
      <c r="I16" s="53">
        <f>I7*$I$10/0.79</f>
        <v>7564532.2684628917</v>
      </c>
      <c r="J16" s="47">
        <f t="shared" si="1"/>
        <v>0.3729501335807508</v>
      </c>
      <c r="K16" s="48" t="s">
        <v>136</v>
      </c>
      <c r="L16" s="54">
        <f>+I16</f>
        <v>7564532.2684628917</v>
      </c>
      <c r="M16" s="27"/>
      <c r="N16" s="111"/>
    </row>
    <row r="17" spans="1:15" x14ac:dyDescent="0.2">
      <c r="A17" s="19">
        <v>12</v>
      </c>
      <c r="B17" s="9" t="s">
        <v>142</v>
      </c>
      <c r="C17" s="26">
        <f>C8*$I$10/0.79</f>
        <v>173054307.24066657</v>
      </c>
      <c r="D17" s="47">
        <f t="shared" si="0"/>
        <v>8.3507497459932871</v>
      </c>
      <c r="E17" s="48" t="s">
        <v>136</v>
      </c>
      <c r="F17" s="54">
        <f>+C17</f>
        <v>173054307.24066657</v>
      </c>
      <c r="G17" s="27"/>
      <c r="H17" s="51"/>
      <c r="I17" s="26">
        <f>I8*$I$10/0.79</f>
        <v>173054307.24066657</v>
      </c>
      <c r="J17" s="47">
        <f t="shared" si="1"/>
        <v>8.532004982146173</v>
      </c>
      <c r="K17" s="48" t="s">
        <v>136</v>
      </c>
      <c r="L17" s="54">
        <f>+I17</f>
        <v>173054307.24066657</v>
      </c>
      <c r="M17" s="27"/>
      <c r="N17" s="111"/>
    </row>
    <row r="18" spans="1:15" x14ac:dyDescent="0.2">
      <c r="A18" s="19">
        <v>13</v>
      </c>
      <c r="B18" s="9" t="s">
        <v>143</v>
      </c>
      <c r="C18" s="26">
        <v>69962949.456452519</v>
      </c>
      <c r="D18" s="47">
        <f t="shared" si="0"/>
        <v>3.3760678466668006</v>
      </c>
      <c r="E18" s="48" t="s">
        <v>139</v>
      </c>
      <c r="F18" s="7"/>
      <c r="G18" s="52">
        <f>+C18</f>
        <v>69962949.456452519</v>
      </c>
      <c r="H18" s="51"/>
      <c r="I18" s="26">
        <v>69979069.388921246</v>
      </c>
      <c r="J18" s="47">
        <f t="shared" si="1"/>
        <v>3.4501410464282478</v>
      </c>
      <c r="K18" s="48" t="s">
        <v>139</v>
      </c>
      <c r="L18" s="7"/>
      <c r="M18" s="52">
        <f>+I18</f>
        <v>69979069.388921246</v>
      </c>
      <c r="N18" s="110">
        <f>M18-G18</f>
        <v>16119.932468727231</v>
      </c>
      <c r="O18" s="32" t="s">
        <v>140</v>
      </c>
    </row>
    <row r="19" spans="1:15" x14ac:dyDescent="0.2">
      <c r="A19" s="19">
        <v>14</v>
      </c>
      <c r="B19" s="9" t="s">
        <v>144</v>
      </c>
      <c r="C19" s="26">
        <v>378349379.60972166</v>
      </c>
      <c r="D19" s="47">
        <f t="shared" si="0"/>
        <v>18.257280249480782</v>
      </c>
      <c r="E19" s="48" t="s">
        <v>139</v>
      </c>
      <c r="F19" s="7"/>
      <c r="G19" s="52">
        <f>+C19</f>
        <v>378349379.60972166</v>
      </c>
      <c r="H19" s="51"/>
      <c r="I19" s="26">
        <v>370094613.96061605</v>
      </c>
      <c r="J19" s="47">
        <f t="shared" si="1"/>
        <v>18.246579010518932</v>
      </c>
      <c r="K19" s="48" t="s">
        <v>139</v>
      </c>
      <c r="L19" s="7"/>
      <c r="M19" s="52">
        <f>+I19</f>
        <v>370094613.96061605</v>
      </c>
      <c r="N19" s="110">
        <f>M19-G19</f>
        <v>-8254765.6491056085</v>
      </c>
      <c r="O19" s="32" t="s">
        <v>145</v>
      </c>
    </row>
    <row r="20" spans="1:15" x14ac:dyDescent="0.2">
      <c r="A20" s="19">
        <v>15</v>
      </c>
      <c r="B20" s="9" t="s">
        <v>146</v>
      </c>
      <c r="C20" s="26">
        <v>7238267.1874165451</v>
      </c>
      <c r="D20" s="47">
        <f t="shared" si="0"/>
        <v>0.34928317497864692</v>
      </c>
      <c r="E20" s="48" t="s">
        <v>136</v>
      </c>
      <c r="F20" s="54">
        <f>+C20</f>
        <v>7238267.1874165451</v>
      </c>
      <c r="G20" s="27"/>
      <c r="H20" s="51"/>
      <c r="I20" s="26">
        <f>+C20</f>
        <v>7238267.1874165451</v>
      </c>
      <c r="J20" s="47">
        <f t="shared" si="1"/>
        <v>0.35686445885023704</v>
      </c>
      <c r="K20" s="48" t="s">
        <v>136</v>
      </c>
      <c r="L20" s="54">
        <f>+I20</f>
        <v>7238267.1874165451</v>
      </c>
      <c r="M20" s="27"/>
      <c r="N20" s="111"/>
    </row>
    <row r="21" spans="1:15" x14ac:dyDescent="0.2">
      <c r="A21" s="19" t="s">
        <v>147</v>
      </c>
      <c r="B21" s="55" t="s">
        <v>148</v>
      </c>
      <c r="C21" s="26">
        <v>8206061.1260157973</v>
      </c>
      <c r="D21" s="47">
        <f t="shared" si="0"/>
        <v>0.39598415061915598</v>
      </c>
      <c r="E21" s="48" t="s">
        <v>136</v>
      </c>
      <c r="F21" s="54">
        <f>+C21</f>
        <v>8206061.1260157973</v>
      </c>
      <c r="G21" s="27"/>
      <c r="H21" s="51"/>
      <c r="I21" s="26">
        <f>+C21</f>
        <v>8206061.1260157973</v>
      </c>
      <c r="J21" s="47">
        <f t="shared" si="1"/>
        <v>0.40457909154259974</v>
      </c>
      <c r="K21" s="48" t="s">
        <v>136</v>
      </c>
      <c r="L21" s="54">
        <f>+I21</f>
        <v>8206061.1260157973</v>
      </c>
      <c r="M21" s="27"/>
      <c r="N21" s="111"/>
    </row>
    <row r="22" spans="1:15" x14ac:dyDescent="0.2">
      <c r="A22" s="19" t="s">
        <v>149</v>
      </c>
      <c r="B22" s="55" t="s">
        <v>150</v>
      </c>
      <c r="C22" s="26">
        <v>2763777.09</v>
      </c>
      <c r="D22" s="47">
        <f t="shared" si="0"/>
        <v>0.13336628946312651</v>
      </c>
      <c r="E22" s="48" t="s">
        <v>136</v>
      </c>
      <c r="F22" s="54">
        <f>+C22</f>
        <v>2763777.09</v>
      </c>
      <c r="G22" s="27"/>
      <c r="H22" s="51"/>
      <c r="I22" s="26">
        <f>+C22</f>
        <v>2763777.09</v>
      </c>
      <c r="J22" s="47">
        <f t="shared" si="1"/>
        <v>0.13626104011747003</v>
      </c>
      <c r="K22" s="48" t="s">
        <v>136</v>
      </c>
      <c r="L22" s="54">
        <f>+I22</f>
        <v>2763777.09</v>
      </c>
      <c r="M22" s="27"/>
      <c r="N22" s="111"/>
    </row>
    <row r="23" spans="1:15" x14ac:dyDescent="0.2">
      <c r="A23" s="19" t="s">
        <v>151</v>
      </c>
      <c r="B23" s="55" t="s">
        <v>152</v>
      </c>
      <c r="C23" s="26">
        <v>1262663.2680056884</v>
      </c>
      <c r="D23" s="47">
        <f t="shared" si="0"/>
        <v>6.092991924153475E-2</v>
      </c>
      <c r="E23" s="48" t="s">
        <v>139</v>
      </c>
      <c r="F23" s="7"/>
      <c r="G23" s="52">
        <f>+C23</f>
        <v>1262663.2680056884</v>
      </c>
      <c r="H23" s="51"/>
      <c r="I23" s="26">
        <f>+C23/$G$9*$M$9</f>
        <v>1262954.1940854082</v>
      </c>
      <c r="J23" s="47">
        <f t="shared" si="1"/>
        <v>6.2266762659501915E-2</v>
      </c>
      <c r="K23" s="48" t="s">
        <v>139</v>
      </c>
      <c r="L23" s="7"/>
      <c r="M23" s="52">
        <f>+I23</f>
        <v>1262954.1940854082</v>
      </c>
      <c r="N23" s="110">
        <f>M23-G23</f>
        <v>290.92607971979305</v>
      </c>
      <c r="O23" s="32" t="s">
        <v>140</v>
      </c>
    </row>
    <row r="24" spans="1:15" x14ac:dyDescent="0.2">
      <c r="A24" s="19" t="s">
        <v>153</v>
      </c>
      <c r="B24" s="55" t="s">
        <v>154</v>
      </c>
      <c r="C24" s="26">
        <v>2119540.3036357597</v>
      </c>
      <c r="D24" s="47">
        <f t="shared" si="0"/>
        <v>0.1022785906599471</v>
      </c>
      <c r="E24" s="48" t="s">
        <v>136</v>
      </c>
      <c r="F24" s="54">
        <f>+C24</f>
        <v>2119540.3036357597</v>
      </c>
      <c r="G24" s="27"/>
      <c r="H24" s="51"/>
      <c r="I24" s="26">
        <f>+C24</f>
        <v>2119540.3036357597</v>
      </c>
      <c r="J24" s="47">
        <f t="shared" si="1"/>
        <v>0.10449857457364874</v>
      </c>
      <c r="K24" s="48" t="s">
        <v>136</v>
      </c>
      <c r="L24" s="54">
        <f>+I24</f>
        <v>2119540.3036357597</v>
      </c>
      <c r="M24" s="27"/>
      <c r="N24" s="111"/>
    </row>
    <row r="25" spans="1:15" x14ac:dyDescent="0.2">
      <c r="A25" s="19" t="s">
        <v>155</v>
      </c>
      <c r="B25" s="55" t="s">
        <v>156</v>
      </c>
      <c r="C25" s="26">
        <v>313332.07420681993</v>
      </c>
      <c r="D25" s="47">
        <f t="shared" si="0"/>
        <v>1.5119864861007507E-2</v>
      </c>
      <c r="E25" s="48" t="s">
        <v>139</v>
      </c>
      <c r="F25" s="7"/>
      <c r="G25" s="52">
        <f>+C25</f>
        <v>313332.07420681993</v>
      </c>
      <c r="H25" s="51"/>
      <c r="I25" s="26">
        <f>+C25/$G$9*$M$9</f>
        <v>313404.2680167685</v>
      </c>
      <c r="J25" s="47">
        <f t="shared" si="1"/>
        <v>1.5451604867749744E-2</v>
      </c>
      <c r="K25" s="48" t="s">
        <v>139</v>
      </c>
      <c r="L25" s="7"/>
      <c r="M25" s="52">
        <f>+I25</f>
        <v>313404.2680167685</v>
      </c>
      <c r="N25" s="110">
        <f>M25-G25</f>
        <v>72.193809948570561</v>
      </c>
      <c r="O25" s="32" t="s">
        <v>140</v>
      </c>
    </row>
    <row r="26" spans="1:15" x14ac:dyDescent="0.2">
      <c r="A26" s="19">
        <v>16</v>
      </c>
      <c r="B26" s="9" t="s">
        <v>157</v>
      </c>
      <c r="C26" s="26">
        <v>171115373.90212974</v>
      </c>
      <c r="D26" s="47">
        <f t="shared" si="0"/>
        <v>8.2571863592018406</v>
      </c>
      <c r="E26" s="48" t="s">
        <v>139</v>
      </c>
      <c r="F26" s="7"/>
      <c r="G26" s="52">
        <f>+C26</f>
        <v>171115373.90212974</v>
      </c>
      <c r="H26" s="51"/>
      <c r="I26" s="26">
        <v>171056253.11371228</v>
      </c>
      <c r="J26" s="47">
        <f t="shared" si="1"/>
        <v>8.433495976287892</v>
      </c>
      <c r="K26" s="48" t="s">
        <v>139</v>
      </c>
      <c r="L26" s="7"/>
      <c r="M26" s="52">
        <f>+I26</f>
        <v>171056253.11371228</v>
      </c>
      <c r="N26" s="110">
        <f>M26-G26</f>
        <v>-59120.788417458534</v>
      </c>
      <c r="O26" s="32" t="s">
        <v>145</v>
      </c>
    </row>
    <row r="27" spans="1:15" x14ac:dyDescent="0.2">
      <c r="A27" s="19">
        <v>17</v>
      </c>
      <c r="B27" s="9" t="s">
        <v>158</v>
      </c>
      <c r="C27" s="26">
        <v>108374278.4084733</v>
      </c>
      <c r="D27" s="47">
        <f t="shared" si="0"/>
        <v>5.2296096660175699</v>
      </c>
      <c r="E27" s="48" t="s">
        <v>139</v>
      </c>
      <c r="F27" s="7"/>
      <c r="G27" s="52">
        <f>+C27</f>
        <v>108374278.4084733</v>
      </c>
      <c r="H27" s="51"/>
      <c r="I27" s="26">
        <v>108399248.56857753</v>
      </c>
      <c r="J27" s="47">
        <f t="shared" si="1"/>
        <v>5.3443508202416385</v>
      </c>
      <c r="K27" s="48" t="s">
        <v>139</v>
      </c>
      <c r="L27" s="7"/>
      <c r="M27" s="52">
        <f>+I27</f>
        <v>108399248.56857753</v>
      </c>
      <c r="N27" s="110">
        <f>M27-G27</f>
        <v>24970.160104230046</v>
      </c>
      <c r="O27" s="32" t="s">
        <v>140</v>
      </c>
    </row>
    <row r="28" spans="1:15" x14ac:dyDescent="0.2">
      <c r="A28" s="19">
        <v>18</v>
      </c>
      <c r="B28" s="9" t="s">
        <v>159</v>
      </c>
      <c r="C28" s="26">
        <v>-11639833.365925668</v>
      </c>
      <c r="D28" s="47">
        <f t="shared" si="0"/>
        <v>-0.56168111082453498</v>
      </c>
      <c r="E28" s="48" t="s">
        <v>136</v>
      </c>
      <c r="F28" s="54">
        <f>+C28</f>
        <v>-11639833.365925668</v>
      </c>
      <c r="G28" s="27"/>
      <c r="H28" s="51"/>
      <c r="I28" s="26">
        <f>+C28</f>
        <v>-11639833.365925668</v>
      </c>
      <c r="J28" s="47">
        <f t="shared" si="1"/>
        <v>-0.57387254817828448</v>
      </c>
      <c r="K28" s="48" t="s">
        <v>136</v>
      </c>
      <c r="L28" s="54">
        <f>+I28</f>
        <v>-11639833.365925668</v>
      </c>
      <c r="M28" s="27"/>
      <c r="N28" s="111"/>
    </row>
    <row r="29" spans="1:15" x14ac:dyDescent="0.2">
      <c r="A29" s="19">
        <v>19</v>
      </c>
      <c r="B29" s="9" t="s">
        <v>160</v>
      </c>
      <c r="C29" s="26">
        <v>138209148.65181684</v>
      </c>
      <c r="D29" s="47">
        <f t="shared" si="0"/>
        <v>6.6692937691116345</v>
      </c>
      <c r="E29" s="48" t="s">
        <v>136</v>
      </c>
      <c r="F29" s="54">
        <f>+C29</f>
        <v>138209148.65181684</v>
      </c>
      <c r="G29" s="27"/>
      <c r="H29" s="51"/>
      <c r="I29" s="26">
        <f>+C29</f>
        <v>138209148.65181684</v>
      </c>
      <c r="J29" s="47">
        <f t="shared" si="1"/>
        <v>6.814052557707031</v>
      </c>
      <c r="K29" s="48" t="s">
        <v>136</v>
      </c>
      <c r="L29" s="54">
        <f>+I29</f>
        <v>138209148.65181684</v>
      </c>
      <c r="M29" s="27"/>
      <c r="N29" s="111"/>
    </row>
    <row r="30" spans="1:15" x14ac:dyDescent="0.2">
      <c r="A30" s="19">
        <v>20</v>
      </c>
      <c r="B30" s="9" t="s">
        <v>161</v>
      </c>
      <c r="C30" s="26">
        <v>-36228866.83523047</v>
      </c>
      <c r="D30" s="47">
        <f t="shared" si="0"/>
        <v>-1.7482269314521348</v>
      </c>
      <c r="E30" s="48" t="s">
        <v>139</v>
      </c>
      <c r="F30" s="7"/>
      <c r="G30" s="52">
        <f>+C30</f>
        <v>-36228866.83523047</v>
      </c>
      <c r="H30" s="51"/>
      <c r="I30" s="26">
        <v>-39617468.444088995</v>
      </c>
      <c r="J30" s="47">
        <f t="shared" si="1"/>
        <v>-1.9532390931761483</v>
      </c>
      <c r="K30" s="48" t="s">
        <v>139</v>
      </c>
      <c r="L30" s="7"/>
      <c r="M30" s="52">
        <f>+I30</f>
        <v>-39617468.444088995</v>
      </c>
      <c r="N30" s="110">
        <f>M30-G30</f>
        <v>-3388601.6088585258</v>
      </c>
      <c r="O30" s="32" t="s">
        <v>145</v>
      </c>
    </row>
    <row r="31" spans="1:15" x14ac:dyDescent="0.2">
      <c r="A31" s="56">
        <v>21</v>
      </c>
      <c r="B31" s="57" t="s">
        <v>162</v>
      </c>
      <c r="C31" s="26">
        <v>-16223873.273980575</v>
      </c>
      <c r="D31" s="47">
        <f t="shared" si="0"/>
        <v>-0.78288433140994562</v>
      </c>
      <c r="E31" s="48" t="s">
        <v>139</v>
      </c>
      <c r="F31" s="7"/>
      <c r="G31" s="52">
        <f>+C31</f>
        <v>-16223873.273980575</v>
      </c>
      <c r="H31" s="51"/>
      <c r="I31" s="26">
        <v>-16227611.363120463</v>
      </c>
      <c r="J31" s="47">
        <f t="shared" si="1"/>
        <v>-0.80006134031629517</v>
      </c>
      <c r="K31" s="48" t="s">
        <v>139</v>
      </c>
      <c r="L31" s="7"/>
      <c r="M31" s="52">
        <f>+I31</f>
        <v>-16227611.363120463</v>
      </c>
      <c r="N31" s="110">
        <f>M31-G31</f>
        <v>-3738.0891398880631</v>
      </c>
      <c r="O31" s="32" t="s">
        <v>140</v>
      </c>
    </row>
    <row r="32" spans="1:15" x14ac:dyDescent="0.2">
      <c r="A32" s="19">
        <v>22</v>
      </c>
      <c r="B32" s="9" t="s">
        <v>163</v>
      </c>
      <c r="C32" s="26">
        <v>662134.87</v>
      </c>
      <c r="D32" s="47">
        <f t="shared" si="0"/>
        <v>3.1951372292491807E-2</v>
      </c>
      <c r="E32" s="48" t="s">
        <v>136</v>
      </c>
      <c r="F32" s="54">
        <f>+C32</f>
        <v>662134.87</v>
      </c>
      <c r="G32" s="27"/>
      <c r="H32" s="51"/>
      <c r="I32" s="26">
        <f>+C32</f>
        <v>662134.87</v>
      </c>
      <c r="J32" s="47">
        <f t="shared" si="1"/>
        <v>3.264488529508934E-2</v>
      </c>
      <c r="K32" s="48" t="s">
        <v>136</v>
      </c>
      <c r="L32" s="54">
        <f>+I32</f>
        <v>662134.87</v>
      </c>
      <c r="M32" s="27"/>
      <c r="N32" s="111"/>
    </row>
    <row r="33" spans="1:14" x14ac:dyDescent="0.2">
      <c r="A33" s="19">
        <v>23</v>
      </c>
      <c r="B33" s="58" t="s">
        <v>164</v>
      </c>
      <c r="C33" s="26">
        <v>161583689.16694248</v>
      </c>
      <c r="D33" s="47">
        <f t="shared" si="0"/>
        <v>7.7972341329301305</v>
      </c>
      <c r="E33" s="48" t="s">
        <v>136</v>
      </c>
      <c r="F33" s="54">
        <f>+C33</f>
        <v>161583689.16694248</v>
      </c>
      <c r="G33" s="27"/>
      <c r="H33" s="51"/>
      <c r="I33" s="26">
        <f>+C33</f>
        <v>161583689.16694248</v>
      </c>
      <c r="J33" s="47">
        <f t="shared" si="1"/>
        <v>7.9664751660220032</v>
      </c>
      <c r="K33" s="48" t="s">
        <v>136</v>
      </c>
      <c r="L33" s="54">
        <f>+I33</f>
        <v>161583689.16694248</v>
      </c>
      <c r="M33" s="27"/>
      <c r="N33" s="28"/>
    </row>
    <row r="34" spans="1:14" x14ac:dyDescent="0.2">
      <c r="A34" s="19">
        <v>24</v>
      </c>
      <c r="B34" s="20" t="s">
        <v>165</v>
      </c>
      <c r="C34" s="26">
        <v>3490805.0455442886</v>
      </c>
      <c r="D34" s="47">
        <f t="shared" si="0"/>
        <v>0.16844908290465715</v>
      </c>
      <c r="E34" s="48" t="s">
        <v>136</v>
      </c>
      <c r="F34" s="54">
        <f>+C34</f>
        <v>3490805.0455442886</v>
      </c>
      <c r="G34" s="27"/>
      <c r="H34" s="51"/>
      <c r="I34" s="26">
        <f>+C34</f>
        <v>3490805.0455442886</v>
      </c>
      <c r="J34" s="47">
        <f t="shared" si="1"/>
        <v>0.17210531488745251</v>
      </c>
      <c r="K34" s="48" t="s">
        <v>136</v>
      </c>
      <c r="L34" s="54">
        <f>+I34</f>
        <v>3490805.0455442886</v>
      </c>
      <c r="M34" s="27"/>
      <c r="N34" s="28"/>
    </row>
    <row r="35" spans="1:14" x14ac:dyDescent="0.2">
      <c r="A35" s="19">
        <f t="shared" ref="A35:A46" si="2">+A34+1</f>
        <v>25</v>
      </c>
      <c r="B35" s="20" t="s">
        <v>166</v>
      </c>
      <c r="C35" s="26">
        <v>19415532.153878614</v>
      </c>
      <c r="D35" s="47">
        <f t="shared" si="0"/>
        <v>0.93689809163112181</v>
      </c>
      <c r="E35" s="48" t="s">
        <v>136</v>
      </c>
      <c r="F35" s="54">
        <f>+C35</f>
        <v>19415532.153878614</v>
      </c>
      <c r="G35" s="27"/>
      <c r="H35" s="51"/>
      <c r="I35" s="26">
        <f>+C35</f>
        <v>19415532.153878614</v>
      </c>
      <c r="J35" s="47">
        <f t="shared" si="1"/>
        <v>0.95723371298431426</v>
      </c>
      <c r="K35" s="48" t="s">
        <v>136</v>
      </c>
      <c r="L35" s="54">
        <f>+I35</f>
        <v>19415532.153878614</v>
      </c>
      <c r="M35" s="27"/>
      <c r="N35" s="28"/>
    </row>
    <row r="36" spans="1:14" x14ac:dyDescent="0.2">
      <c r="A36" s="19">
        <f t="shared" si="2"/>
        <v>26</v>
      </c>
      <c r="B36" s="59" t="s">
        <v>167</v>
      </c>
      <c r="C36" s="60"/>
      <c r="D36" s="61"/>
      <c r="E36" s="48"/>
      <c r="F36" s="61"/>
      <c r="G36" s="62"/>
      <c r="H36" s="51"/>
      <c r="I36" s="60"/>
      <c r="J36" s="61"/>
      <c r="K36" s="48"/>
      <c r="L36" s="61"/>
      <c r="M36" s="62"/>
      <c r="N36" s="63"/>
    </row>
    <row r="37" spans="1:14" x14ac:dyDescent="0.2">
      <c r="A37" s="19">
        <f t="shared" si="2"/>
        <v>27</v>
      </c>
      <c r="B37" s="64" t="s">
        <v>168</v>
      </c>
      <c r="C37" s="65">
        <f>SUM(C14:C36)</f>
        <v>1211926994.0271161</v>
      </c>
      <c r="D37" s="66">
        <f>SUM(D14:D36)</f>
        <v>58.48163619215655</v>
      </c>
      <c r="E37" s="66"/>
      <c r="F37" s="67">
        <f>SUM(F14:F36)</f>
        <v>530232276.27866518</v>
      </c>
      <c r="G37" s="68">
        <f>SUM(G14:G36)</f>
        <v>681694717.74845052</v>
      </c>
      <c r="H37" s="45"/>
      <c r="I37" s="65">
        <f>SUM(I14:I36)</f>
        <v>1200263320.0244782</v>
      </c>
      <c r="J37" s="66">
        <f>SUM(J14:J36)</f>
        <v>59.175947652631841</v>
      </c>
      <c r="K37" s="66"/>
      <c r="L37" s="67">
        <f>SUM(L14:L36)</f>
        <v>530232276.27866518</v>
      </c>
      <c r="M37" s="68">
        <f>SUM(M14:M36)</f>
        <v>670031043.74581277</v>
      </c>
      <c r="N37" s="74"/>
    </row>
    <row r="38" spans="1:14" x14ac:dyDescent="0.2">
      <c r="A38" s="19">
        <f t="shared" si="2"/>
        <v>28</v>
      </c>
      <c r="B38" s="9" t="s">
        <v>169</v>
      </c>
      <c r="C38" s="69">
        <v>0.95238599999999995</v>
      </c>
      <c r="D38" s="70">
        <f>+C38</f>
        <v>0.95238599999999995</v>
      </c>
      <c r="E38" s="70"/>
      <c r="F38" s="71">
        <f>+D38</f>
        <v>0.95238599999999995</v>
      </c>
      <c r="G38" s="72">
        <f>+F38</f>
        <v>0.95238599999999995</v>
      </c>
      <c r="H38" s="45"/>
      <c r="I38" s="69">
        <f>+C38</f>
        <v>0.95238599999999995</v>
      </c>
      <c r="J38" s="70">
        <f>+I38</f>
        <v>0.95238599999999995</v>
      </c>
      <c r="K38" s="70"/>
      <c r="L38" s="71">
        <f>+J38</f>
        <v>0.95238599999999995</v>
      </c>
      <c r="M38" s="72">
        <f>+L38</f>
        <v>0.95238599999999995</v>
      </c>
      <c r="N38" s="73"/>
    </row>
    <row r="39" spans="1:14" x14ac:dyDescent="0.2">
      <c r="A39" s="19">
        <f t="shared" si="2"/>
        <v>29</v>
      </c>
      <c r="B39" s="9" t="s">
        <v>170</v>
      </c>
      <c r="C39" s="65">
        <f>+C37/C38</f>
        <v>1272516599.3904951</v>
      </c>
      <c r="D39" s="66">
        <f>+D37/C38</f>
        <v>61.405392553183852</v>
      </c>
      <c r="E39" s="66"/>
      <c r="F39" s="67">
        <f>+F37/F38</f>
        <v>556740939.36561978</v>
      </c>
      <c r="G39" s="68">
        <f>+G37/G38</f>
        <v>715775660.02487493</v>
      </c>
      <c r="H39" s="45"/>
      <c r="I39" s="65">
        <f>+I37/I38</f>
        <v>1260269806.5957272</v>
      </c>
      <c r="J39" s="66">
        <f>+J37/J38</f>
        <v>62.134415722860105</v>
      </c>
      <c r="K39" s="66"/>
      <c r="L39" s="67">
        <f>+L37/L38</f>
        <v>556740939.36561978</v>
      </c>
      <c r="M39" s="68">
        <f>+M37/M38</f>
        <v>703528867.23010707</v>
      </c>
      <c r="N39" s="74"/>
    </row>
    <row r="40" spans="1:14" x14ac:dyDescent="0.2">
      <c r="A40" s="19">
        <f t="shared" si="2"/>
        <v>30</v>
      </c>
      <c r="B40" s="9" t="s">
        <v>171</v>
      </c>
      <c r="C40" s="53">
        <v>20723206</v>
      </c>
      <c r="D40" s="75" t="s">
        <v>172</v>
      </c>
      <c r="E40" s="75"/>
      <c r="F40" s="7"/>
      <c r="G40" s="27"/>
      <c r="H40" s="45"/>
      <c r="I40" s="53">
        <v>20282959</v>
      </c>
      <c r="J40" s="75" t="s">
        <v>172</v>
      </c>
      <c r="K40" s="75"/>
      <c r="L40" s="7"/>
      <c r="M40" s="27"/>
      <c r="N40" s="28"/>
    </row>
    <row r="41" spans="1:14" x14ac:dyDescent="0.2">
      <c r="A41" s="19">
        <f t="shared" si="2"/>
        <v>31</v>
      </c>
      <c r="B41" s="24"/>
      <c r="C41" s="76"/>
      <c r="D41" s="77" t="s">
        <v>173</v>
      </c>
      <c r="E41" s="77"/>
      <c r="F41" s="77" t="s">
        <v>121</v>
      </c>
      <c r="G41" s="78" t="s">
        <v>174</v>
      </c>
      <c r="H41" s="45"/>
      <c r="I41" s="76"/>
      <c r="J41" s="77" t="s">
        <v>173</v>
      </c>
      <c r="K41" s="77"/>
      <c r="L41" s="77" t="s">
        <v>121</v>
      </c>
      <c r="M41" s="78" t="s">
        <v>174</v>
      </c>
      <c r="N41" s="79"/>
    </row>
    <row r="42" spans="1:14" x14ac:dyDescent="0.2">
      <c r="A42" s="19">
        <f t="shared" si="2"/>
        <v>32</v>
      </c>
      <c r="B42" s="9" t="s">
        <v>175</v>
      </c>
      <c r="C42" s="80"/>
      <c r="D42" s="81"/>
      <c r="E42" s="81"/>
      <c r="F42" s="81"/>
      <c r="G42" s="82"/>
      <c r="H42" s="45"/>
      <c r="I42" s="80"/>
      <c r="J42" s="81"/>
      <c r="K42" s="81"/>
      <c r="L42" s="81"/>
      <c r="M42" s="82"/>
      <c r="N42" s="83"/>
    </row>
    <row r="43" spans="1:14" x14ac:dyDescent="0.2">
      <c r="A43" s="19">
        <f t="shared" si="2"/>
        <v>33</v>
      </c>
      <c r="B43" s="9" t="s">
        <v>176</v>
      </c>
      <c r="C43" s="84"/>
      <c r="D43" s="85">
        <f>+F43+G43</f>
        <v>58.481636192156543</v>
      </c>
      <c r="E43" s="85"/>
      <c r="F43" s="85">
        <f>+F37/$C$40</f>
        <v>25.586401847217328</v>
      </c>
      <c r="G43" s="86">
        <f>+G37/$C$40</f>
        <v>32.895234344939219</v>
      </c>
      <c r="H43" s="45"/>
      <c r="I43" s="84"/>
      <c r="J43" s="85">
        <f>+L43+M43</f>
        <v>59.175947652631848</v>
      </c>
      <c r="K43" s="85"/>
      <c r="L43" s="85">
        <f>+L37/$I$40</f>
        <v>26.14176147960784</v>
      </c>
      <c r="M43" s="86">
        <f>+M37/$I$40</f>
        <v>33.034186173024004</v>
      </c>
      <c r="N43" s="87"/>
    </row>
    <row r="44" spans="1:14" ht="10.8" thickBot="1" x14ac:dyDescent="0.25">
      <c r="A44" s="19">
        <f t="shared" si="2"/>
        <v>34</v>
      </c>
      <c r="B44" s="9" t="s">
        <v>177</v>
      </c>
      <c r="C44" s="88"/>
      <c r="D44" s="89">
        <f>+F44+G44</f>
        <v>61.405392553183837</v>
      </c>
      <c r="E44" s="89"/>
      <c r="F44" s="89">
        <f>+F39/$C$40</f>
        <v>26.865579552006565</v>
      </c>
      <c r="G44" s="90">
        <f>+G39/$C$40</f>
        <v>34.539813001177272</v>
      </c>
      <c r="H44" s="45"/>
      <c r="I44" s="88"/>
      <c r="J44" s="89">
        <f>+L44+M44</f>
        <v>62.134415722860105</v>
      </c>
      <c r="K44" s="89"/>
      <c r="L44" s="89">
        <f>+L39/$I$40</f>
        <v>27.448704075456632</v>
      </c>
      <c r="M44" s="90">
        <f>+M39/$I$40</f>
        <v>34.685711647403473</v>
      </c>
      <c r="N44" s="87"/>
    </row>
    <row r="45" spans="1:14" x14ac:dyDescent="0.2">
      <c r="A45" s="19">
        <f t="shared" si="2"/>
        <v>35</v>
      </c>
      <c r="B45" s="9"/>
      <c r="H45" s="45"/>
      <c r="I45" s="45"/>
      <c r="J45" s="45"/>
      <c r="K45" s="45"/>
      <c r="L45" s="45"/>
      <c r="M45" s="45"/>
      <c r="N45" s="45"/>
    </row>
    <row r="46" spans="1:14" x14ac:dyDescent="0.2">
      <c r="A46" s="19">
        <f t="shared" si="2"/>
        <v>36</v>
      </c>
      <c r="B46" s="9" t="s">
        <v>178</v>
      </c>
      <c r="H46" s="45"/>
    </row>
    <row r="47" spans="1:14" ht="10.8" x14ac:dyDescent="0.25">
      <c r="B47" s="91"/>
      <c r="H47" s="45"/>
      <c r="I47" s="91"/>
    </row>
    <row r="48" spans="1:14" x14ac:dyDescent="0.2">
      <c r="B48" s="1"/>
      <c r="C48" s="1"/>
      <c r="D48" s="1"/>
      <c r="E48" s="1"/>
      <c r="F48" s="1"/>
      <c r="G48" s="1"/>
      <c r="H48" s="45"/>
    </row>
    <row r="49" spans="1:15" s="10" customFormat="1" x14ac:dyDescent="0.2">
      <c r="B49" s="1"/>
      <c r="C49" s="1"/>
      <c r="D49" s="1"/>
      <c r="E49" s="1"/>
      <c r="F49" s="1"/>
      <c r="G49" s="1"/>
      <c r="H49" s="45"/>
      <c r="I49" s="1"/>
      <c r="J49" s="1"/>
      <c r="K49" s="1"/>
      <c r="L49" s="1"/>
      <c r="M49" s="1"/>
      <c r="N49" s="1"/>
      <c r="O49" s="2"/>
    </row>
    <row r="50" spans="1:15" s="10" customForma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</row>
    <row r="51" spans="1:15" s="10" customForma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</row>
    <row r="52" spans="1:15" s="10" customForma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</row>
    <row r="53" spans="1:15" s="10" customForma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</row>
    <row r="54" spans="1:15" s="10" customForma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s="10" customForma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s="10" customForma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s="10" customForma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s="10" customForma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s="10" customForma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s="10" customFormat="1" x14ac:dyDescent="0.2">
      <c r="A60" s="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s="10" customFormat="1" x14ac:dyDescent="0.2">
      <c r="A61" s="6"/>
      <c r="B61" s="1"/>
      <c r="C61" s="1"/>
      <c r="D61" s="1"/>
      <c r="E61" s="1"/>
      <c r="F61" s="1"/>
      <c r="G61" s="1"/>
      <c r="H61" s="45"/>
      <c r="I61" s="1"/>
      <c r="J61" s="1"/>
      <c r="K61" s="1"/>
      <c r="L61" s="1"/>
      <c r="M61" s="1"/>
      <c r="N61" s="1"/>
      <c r="O61" s="2"/>
    </row>
    <row r="62" spans="1:15" s="10" customFormat="1" x14ac:dyDescent="0.2">
      <c r="B62" s="7"/>
      <c r="C62" s="1"/>
      <c r="D62" s="1"/>
      <c r="E62" s="1"/>
      <c r="F62" s="1"/>
      <c r="I62" s="1"/>
      <c r="J62" s="1"/>
      <c r="K62" s="1"/>
      <c r="L62" s="1"/>
      <c r="M62" s="1"/>
      <c r="N62" s="1"/>
      <c r="O62" s="2"/>
    </row>
    <row r="63" spans="1:15" s="10" customFormat="1" x14ac:dyDescent="0.2">
      <c r="C63" s="1"/>
      <c r="D63" s="1"/>
      <c r="E63" s="1"/>
      <c r="F63" s="1"/>
      <c r="I63" s="1"/>
      <c r="J63" s="1"/>
      <c r="K63" s="1"/>
      <c r="L63" s="1"/>
      <c r="M63" s="1"/>
      <c r="N63" s="1"/>
      <c r="O63" s="2"/>
    </row>
    <row r="64" spans="1:15" s="10" customFormat="1" x14ac:dyDescent="0.2">
      <c r="D64" s="92"/>
      <c r="E64" s="92"/>
      <c r="I64" s="1"/>
      <c r="J64" s="1"/>
      <c r="K64" s="1"/>
      <c r="L64" s="1"/>
      <c r="M64" s="1"/>
      <c r="N64" s="1"/>
      <c r="O64" s="2"/>
    </row>
  </sheetData>
  <pageMargins left="0.5" right="0.5" top="1" bottom="1" header="0.5" footer="0.5"/>
  <pageSetup scale="73" orientation="landscape" horizontalDpi="300" verticalDpi="300" r:id="rId1"/>
  <headerFooter alignWithMargins="0">
    <oddFooter>&amp;R&amp;F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workbookViewId="0">
      <selection activeCell="G22" sqref="G22"/>
    </sheetView>
  </sheetViews>
  <sheetFormatPr defaultRowHeight="10.199999999999999" x14ac:dyDescent="0.2"/>
  <cols>
    <col min="1" max="1" width="3.88671875" style="93" bestFit="1" customWidth="1"/>
    <col min="2" max="2" width="29.33203125" style="93" bestFit="1" customWidth="1"/>
    <col min="3" max="3" width="11.5546875" style="93" bestFit="1" customWidth="1"/>
    <col min="4" max="4" width="3.33203125" style="93" customWidth="1"/>
    <col min="5" max="5" width="13.109375" style="93" bestFit="1" customWidth="1"/>
    <col min="6" max="6" width="11.77734375" style="93" bestFit="1" customWidth="1"/>
    <col min="7" max="8" width="15" style="93" bestFit="1" customWidth="1"/>
    <col min="9" max="9" width="13.21875" style="93" bestFit="1" customWidth="1"/>
    <col min="10" max="10" width="11.109375" style="93" bestFit="1" customWidth="1"/>
    <col min="11" max="12" width="9.5546875" style="93" bestFit="1" customWidth="1"/>
    <col min="13" max="13" width="11.21875" style="93" bestFit="1" customWidth="1"/>
    <col min="14" max="15" width="10.21875" style="93" bestFit="1" customWidth="1"/>
    <col min="16" max="16" width="10.5546875" style="93" bestFit="1" customWidth="1"/>
    <col min="17" max="17" width="13.88671875" style="93" bestFit="1" customWidth="1"/>
    <col min="18" max="256" width="8.88671875" style="93"/>
    <col min="257" max="257" width="5.33203125" style="93" customWidth="1"/>
    <col min="258" max="258" width="37.33203125" style="93" bestFit="1" customWidth="1"/>
    <col min="259" max="259" width="15.33203125" style="93" customWidth="1"/>
    <col min="260" max="260" width="3.33203125" style="93" customWidth="1"/>
    <col min="261" max="263" width="15.33203125" style="93" customWidth="1"/>
    <col min="264" max="264" width="14" style="93" customWidth="1"/>
    <col min="265" max="265" width="14.33203125" style="93" customWidth="1"/>
    <col min="266" max="266" width="11.88671875" style="93" customWidth="1"/>
    <col min="267" max="267" width="14.44140625" style="93" customWidth="1"/>
    <col min="268" max="268" width="12.5546875" style="93" customWidth="1"/>
    <col min="269" max="271" width="15.33203125" style="93" customWidth="1"/>
    <col min="272" max="272" width="12.44140625" style="93" customWidth="1"/>
    <col min="273" max="273" width="15.33203125" style="93" customWidth="1"/>
    <col min="274" max="512" width="8.88671875" style="93"/>
    <col min="513" max="513" width="5.33203125" style="93" customWidth="1"/>
    <col min="514" max="514" width="37.33203125" style="93" bestFit="1" customWidth="1"/>
    <col min="515" max="515" width="15.33203125" style="93" customWidth="1"/>
    <col min="516" max="516" width="3.33203125" style="93" customWidth="1"/>
    <col min="517" max="519" width="15.33203125" style="93" customWidth="1"/>
    <col min="520" max="520" width="14" style="93" customWidth="1"/>
    <col min="521" max="521" width="14.33203125" style="93" customWidth="1"/>
    <col min="522" max="522" width="11.88671875" style="93" customWidth="1"/>
    <col min="523" max="523" width="14.44140625" style="93" customWidth="1"/>
    <col min="524" max="524" width="12.5546875" style="93" customWidth="1"/>
    <col min="525" max="527" width="15.33203125" style="93" customWidth="1"/>
    <col min="528" max="528" width="12.44140625" style="93" customWidth="1"/>
    <col min="529" max="529" width="15.33203125" style="93" customWidth="1"/>
    <col min="530" max="768" width="8.88671875" style="93"/>
    <col min="769" max="769" width="5.33203125" style="93" customWidth="1"/>
    <col min="770" max="770" width="37.33203125" style="93" bestFit="1" customWidth="1"/>
    <col min="771" max="771" width="15.33203125" style="93" customWidth="1"/>
    <col min="772" max="772" width="3.33203125" style="93" customWidth="1"/>
    <col min="773" max="775" width="15.33203125" style="93" customWidth="1"/>
    <col min="776" max="776" width="14" style="93" customWidth="1"/>
    <col min="777" max="777" width="14.33203125" style="93" customWidth="1"/>
    <col min="778" max="778" width="11.88671875" style="93" customWidth="1"/>
    <col min="779" max="779" width="14.44140625" style="93" customWidth="1"/>
    <col min="780" max="780" width="12.5546875" style="93" customWidth="1"/>
    <col min="781" max="783" width="15.33203125" style="93" customWidth="1"/>
    <col min="784" max="784" width="12.44140625" style="93" customWidth="1"/>
    <col min="785" max="785" width="15.33203125" style="93" customWidth="1"/>
    <col min="786" max="1024" width="8.88671875" style="93"/>
    <col min="1025" max="1025" width="5.33203125" style="93" customWidth="1"/>
    <col min="1026" max="1026" width="37.33203125" style="93" bestFit="1" customWidth="1"/>
    <col min="1027" max="1027" width="15.33203125" style="93" customWidth="1"/>
    <col min="1028" max="1028" width="3.33203125" style="93" customWidth="1"/>
    <col min="1029" max="1031" width="15.33203125" style="93" customWidth="1"/>
    <col min="1032" max="1032" width="14" style="93" customWidth="1"/>
    <col min="1033" max="1033" width="14.33203125" style="93" customWidth="1"/>
    <col min="1034" max="1034" width="11.88671875" style="93" customWidth="1"/>
    <col min="1035" max="1035" width="14.44140625" style="93" customWidth="1"/>
    <col min="1036" max="1036" width="12.5546875" style="93" customWidth="1"/>
    <col min="1037" max="1039" width="15.33203125" style="93" customWidth="1"/>
    <col min="1040" max="1040" width="12.44140625" style="93" customWidth="1"/>
    <col min="1041" max="1041" width="15.33203125" style="93" customWidth="1"/>
    <col min="1042" max="1280" width="8.88671875" style="93"/>
    <col min="1281" max="1281" width="5.33203125" style="93" customWidth="1"/>
    <col min="1282" max="1282" width="37.33203125" style="93" bestFit="1" customWidth="1"/>
    <col min="1283" max="1283" width="15.33203125" style="93" customWidth="1"/>
    <col min="1284" max="1284" width="3.33203125" style="93" customWidth="1"/>
    <col min="1285" max="1287" width="15.33203125" style="93" customWidth="1"/>
    <col min="1288" max="1288" width="14" style="93" customWidth="1"/>
    <col min="1289" max="1289" width="14.33203125" style="93" customWidth="1"/>
    <col min="1290" max="1290" width="11.88671875" style="93" customWidth="1"/>
    <col min="1291" max="1291" width="14.44140625" style="93" customWidth="1"/>
    <col min="1292" max="1292" width="12.5546875" style="93" customWidth="1"/>
    <col min="1293" max="1295" width="15.33203125" style="93" customWidth="1"/>
    <col min="1296" max="1296" width="12.44140625" style="93" customWidth="1"/>
    <col min="1297" max="1297" width="15.33203125" style="93" customWidth="1"/>
    <col min="1298" max="1536" width="8.88671875" style="93"/>
    <col min="1537" max="1537" width="5.33203125" style="93" customWidth="1"/>
    <col min="1538" max="1538" width="37.33203125" style="93" bestFit="1" customWidth="1"/>
    <col min="1539" max="1539" width="15.33203125" style="93" customWidth="1"/>
    <col min="1540" max="1540" width="3.33203125" style="93" customWidth="1"/>
    <col min="1541" max="1543" width="15.33203125" style="93" customWidth="1"/>
    <col min="1544" max="1544" width="14" style="93" customWidth="1"/>
    <col min="1545" max="1545" width="14.33203125" style="93" customWidth="1"/>
    <col min="1546" max="1546" width="11.88671875" style="93" customWidth="1"/>
    <col min="1547" max="1547" width="14.44140625" style="93" customWidth="1"/>
    <col min="1548" max="1548" width="12.5546875" style="93" customWidth="1"/>
    <col min="1549" max="1551" width="15.33203125" style="93" customWidth="1"/>
    <col min="1552" max="1552" width="12.44140625" style="93" customWidth="1"/>
    <col min="1553" max="1553" width="15.33203125" style="93" customWidth="1"/>
    <col min="1554" max="1792" width="8.88671875" style="93"/>
    <col min="1793" max="1793" width="5.33203125" style="93" customWidth="1"/>
    <col min="1794" max="1794" width="37.33203125" style="93" bestFit="1" customWidth="1"/>
    <col min="1795" max="1795" width="15.33203125" style="93" customWidth="1"/>
    <col min="1796" max="1796" width="3.33203125" style="93" customWidth="1"/>
    <col min="1797" max="1799" width="15.33203125" style="93" customWidth="1"/>
    <col min="1800" max="1800" width="14" style="93" customWidth="1"/>
    <col min="1801" max="1801" width="14.33203125" style="93" customWidth="1"/>
    <col min="1802" max="1802" width="11.88671875" style="93" customWidth="1"/>
    <col min="1803" max="1803" width="14.44140625" style="93" customWidth="1"/>
    <col min="1804" max="1804" width="12.5546875" style="93" customWidth="1"/>
    <col min="1805" max="1807" width="15.33203125" style="93" customWidth="1"/>
    <col min="1808" max="1808" width="12.44140625" style="93" customWidth="1"/>
    <col min="1809" max="1809" width="15.33203125" style="93" customWidth="1"/>
    <col min="1810" max="2048" width="8.88671875" style="93"/>
    <col min="2049" max="2049" width="5.33203125" style="93" customWidth="1"/>
    <col min="2050" max="2050" width="37.33203125" style="93" bestFit="1" customWidth="1"/>
    <col min="2051" max="2051" width="15.33203125" style="93" customWidth="1"/>
    <col min="2052" max="2052" width="3.33203125" style="93" customWidth="1"/>
    <col min="2053" max="2055" width="15.33203125" style="93" customWidth="1"/>
    <col min="2056" max="2056" width="14" style="93" customWidth="1"/>
    <col min="2057" max="2057" width="14.33203125" style="93" customWidth="1"/>
    <col min="2058" max="2058" width="11.88671875" style="93" customWidth="1"/>
    <col min="2059" max="2059" width="14.44140625" style="93" customWidth="1"/>
    <col min="2060" max="2060" width="12.5546875" style="93" customWidth="1"/>
    <col min="2061" max="2063" width="15.33203125" style="93" customWidth="1"/>
    <col min="2064" max="2064" width="12.44140625" style="93" customWidth="1"/>
    <col min="2065" max="2065" width="15.33203125" style="93" customWidth="1"/>
    <col min="2066" max="2304" width="8.88671875" style="93"/>
    <col min="2305" max="2305" width="5.33203125" style="93" customWidth="1"/>
    <col min="2306" max="2306" width="37.33203125" style="93" bestFit="1" customWidth="1"/>
    <col min="2307" max="2307" width="15.33203125" style="93" customWidth="1"/>
    <col min="2308" max="2308" width="3.33203125" style="93" customWidth="1"/>
    <col min="2309" max="2311" width="15.33203125" style="93" customWidth="1"/>
    <col min="2312" max="2312" width="14" style="93" customWidth="1"/>
    <col min="2313" max="2313" width="14.33203125" style="93" customWidth="1"/>
    <col min="2314" max="2314" width="11.88671875" style="93" customWidth="1"/>
    <col min="2315" max="2315" width="14.44140625" style="93" customWidth="1"/>
    <col min="2316" max="2316" width="12.5546875" style="93" customWidth="1"/>
    <col min="2317" max="2319" width="15.33203125" style="93" customWidth="1"/>
    <col min="2320" max="2320" width="12.44140625" style="93" customWidth="1"/>
    <col min="2321" max="2321" width="15.33203125" style="93" customWidth="1"/>
    <col min="2322" max="2560" width="8.88671875" style="93"/>
    <col min="2561" max="2561" width="5.33203125" style="93" customWidth="1"/>
    <col min="2562" max="2562" width="37.33203125" style="93" bestFit="1" customWidth="1"/>
    <col min="2563" max="2563" width="15.33203125" style="93" customWidth="1"/>
    <col min="2564" max="2564" width="3.33203125" style="93" customWidth="1"/>
    <col min="2565" max="2567" width="15.33203125" style="93" customWidth="1"/>
    <col min="2568" max="2568" width="14" style="93" customWidth="1"/>
    <col min="2569" max="2569" width="14.33203125" style="93" customWidth="1"/>
    <col min="2570" max="2570" width="11.88671875" style="93" customWidth="1"/>
    <col min="2571" max="2571" width="14.44140625" style="93" customWidth="1"/>
    <col min="2572" max="2572" width="12.5546875" style="93" customWidth="1"/>
    <col min="2573" max="2575" width="15.33203125" style="93" customWidth="1"/>
    <col min="2576" max="2576" width="12.44140625" style="93" customWidth="1"/>
    <col min="2577" max="2577" width="15.33203125" style="93" customWidth="1"/>
    <col min="2578" max="2816" width="8.88671875" style="93"/>
    <col min="2817" max="2817" width="5.33203125" style="93" customWidth="1"/>
    <col min="2818" max="2818" width="37.33203125" style="93" bestFit="1" customWidth="1"/>
    <col min="2819" max="2819" width="15.33203125" style="93" customWidth="1"/>
    <col min="2820" max="2820" width="3.33203125" style="93" customWidth="1"/>
    <col min="2821" max="2823" width="15.33203125" style="93" customWidth="1"/>
    <col min="2824" max="2824" width="14" style="93" customWidth="1"/>
    <col min="2825" max="2825" width="14.33203125" style="93" customWidth="1"/>
    <col min="2826" max="2826" width="11.88671875" style="93" customWidth="1"/>
    <col min="2827" max="2827" width="14.44140625" style="93" customWidth="1"/>
    <col min="2828" max="2828" width="12.5546875" style="93" customWidth="1"/>
    <col min="2829" max="2831" width="15.33203125" style="93" customWidth="1"/>
    <col min="2832" max="2832" width="12.44140625" style="93" customWidth="1"/>
    <col min="2833" max="2833" width="15.33203125" style="93" customWidth="1"/>
    <col min="2834" max="3072" width="8.88671875" style="93"/>
    <col min="3073" max="3073" width="5.33203125" style="93" customWidth="1"/>
    <col min="3074" max="3074" width="37.33203125" style="93" bestFit="1" customWidth="1"/>
    <col min="3075" max="3075" width="15.33203125" style="93" customWidth="1"/>
    <col min="3076" max="3076" width="3.33203125" style="93" customWidth="1"/>
    <col min="3077" max="3079" width="15.33203125" style="93" customWidth="1"/>
    <col min="3080" max="3080" width="14" style="93" customWidth="1"/>
    <col min="3081" max="3081" width="14.33203125" style="93" customWidth="1"/>
    <col min="3082" max="3082" width="11.88671875" style="93" customWidth="1"/>
    <col min="3083" max="3083" width="14.44140625" style="93" customWidth="1"/>
    <col min="3084" max="3084" width="12.5546875" style="93" customWidth="1"/>
    <col min="3085" max="3087" width="15.33203125" style="93" customWidth="1"/>
    <col min="3088" max="3088" width="12.44140625" style="93" customWidth="1"/>
    <col min="3089" max="3089" width="15.33203125" style="93" customWidth="1"/>
    <col min="3090" max="3328" width="8.88671875" style="93"/>
    <col min="3329" max="3329" width="5.33203125" style="93" customWidth="1"/>
    <col min="3330" max="3330" width="37.33203125" style="93" bestFit="1" customWidth="1"/>
    <col min="3331" max="3331" width="15.33203125" style="93" customWidth="1"/>
    <col min="3332" max="3332" width="3.33203125" style="93" customWidth="1"/>
    <col min="3333" max="3335" width="15.33203125" style="93" customWidth="1"/>
    <col min="3336" max="3336" width="14" style="93" customWidth="1"/>
    <col min="3337" max="3337" width="14.33203125" style="93" customWidth="1"/>
    <col min="3338" max="3338" width="11.88671875" style="93" customWidth="1"/>
    <col min="3339" max="3339" width="14.44140625" style="93" customWidth="1"/>
    <col min="3340" max="3340" width="12.5546875" style="93" customWidth="1"/>
    <col min="3341" max="3343" width="15.33203125" style="93" customWidth="1"/>
    <col min="3344" max="3344" width="12.44140625" style="93" customWidth="1"/>
    <col min="3345" max="3345" width="15.33203125" style="93" customWidth="1"/>
    <col min="3346" max="3584" width="8.88671875" style="93"/>
    <col min="3585" max="3585" width="5.33203125" style="93" customWidth="1"/>
    <col min="3586" max="3586" width="37.33203125" style="93" bestFit="1" customWidth="1"/>
    <col min="3587" max="3587" width="15.33203125" style="93" customWidth="1"/>
    <col min="3588" max="3588" width="3.33203125" style="93" customWidth="1"/>
    <col min="3589" max="3591" width="15.33203125" style="93" customWidth="1"/>
    <col min="3592" max="3592" width="14" style="93" customWidth="1"/>
    <col min="3593" max="3593" width="14.33203125" style="93" customWidth="1"/>
    <col min="3594" max="3594" width="11.88671875" style="93" customWidth="1"/>
    <col min="3595" max="3595" width="14.44140625" style="93" customWidth="1"/>
    <col min="3596" max="3596" width="12.5546875" style="93" customWidth="1"/>
    <col min="3597" max="3599" width="15.33203125" style="93" customWidth="1"/>
    <col min="3600" max="3600" width="12.44140625" style="93" customWidth="1"/>
    <col min="3601" max="3601" width="15.33203125" style="93" customWidth="1"/>
    <col min="3602" max="3840" width="8.88671875" style="93"/>
    <col min="3841" max="3841" width="5.33203125" style="93" customWidth="1"/>
    <col min="3842" max="3842" width="37.33203125" style="93" bestFit="1" customWidth="1"/>
    <col min="3843" max="3843" width="15.33203125" style="93" customWidth="1"/>
    <col min="3844" max="3844" width="3.33203125" style="93" customWidth="1"/>
    <col min="3845" max="3847" width="15.33203125" style="93" customWidth="1"/>
    <col min="3848" max="3848" width="14" style="93" customWidth="1"/>
    <col min="3849" max="3849" width="14.33203125" style="93" customWidth="1"/>
    <col min="3850" max="3850" width="11.88671875" style="93" customWidth="1"/>
    <col min="3851" max="3851" width="14.44140625" style="93" customWidth="1"/>
    <col min="3852" max="3852" width="12.5546875" style="93" customWidth="1"/>
    <col min="3853" max="3855" width="15.33203125" style="93" customWidth="1"/>
    <col min="3856" max="3856" width="12.44140625" style="93" customWidth="1"/>
    <col min="3857" max="3857" width="15.33203125" style="93" customWidth="1"/>
    <col min="3858" max="4096" width="8.88671875" style="93"/>
    <col min="4097" max="4097" width="5.33203125" style="93" customWidth="1"/>
    <col min="4098" max="4098" width="37.33203125" style="93" bestFit="1" customWidth="1"/>
    <col min="4099" max="4099" width="15.33203125" style="93" customWidth="1"/>
    <col min="4100" max="4100" width="3.33203125" style="93" customWidth="1"/>
    <col min="4101" max="4103" width="15.33203125" style="93" customWidth="1"/>
    <col min="4104" max="4104" width="14" style="93" customWidth="1"/>
    <col min="4105" max="4105" width="14.33203125" style="93" customWidth="1"/>
    <col min="4106" max="4106" width="11.88671875" style="93" customWidth="1"/>
    <col min="4107" max="4107" width="14.44140625" style="93" customWidth="1"/>
    <col min="4108" max="4108" width="12.5546875" style="93" customWidth="1"/>
    <col min="4109" max="4111" width="15.33203125" style="93" customWidth="1"/>
    <col min="4112" max="4112" width="12.44140625" style="93" customWidth="1"/>
    <col min="4113" max="4113" width="15.33203125" style="93" customWidth="1"/>
    <col min="4114" max="4352" width="8.88671875" style="93"/>
    <col min="4353" max="4353" width="5.33203125" style="93" customWidth="1"/>
    <col min="4354" max="4354" width="37.33203125" style="93" bestFit="1" customWidth="1"/>
    <col min="4355" max="4355" width="15.33203125" style="93" customWidth="1"/>
    <col min="4356" max="4356" width="3.33203125" style="93" customWidth="1"/>
    <col min="4357" max="4359" width="15.33203125" style="93" customWidth="1"/>
    <col min="4360" max="4360" width="14" style="93" customWidth="1"/>
    <col min="4361" max="4361" width="14.33203125" style="93" customWidth="1"/>
    <col min="4362" max="4362" width="11.88671875" style="93" customWidth="1"/>
    <col min="4363" max="4363" width="14.44140625" style="93" customWidth="1"/>
    <col min="4364" max="4364" width="12.5546875" style="93" customWidth="1"/>
    <col min="4365" max="4367" width="15.33203125" style="93" customWidth="1"/>
    <col min="4368" max="4368" width="12.44140625" style="93" customWidth="1"/>
    <col min="4369" max="4369" width="15.33203125" style="93" customWidth="1"/>
    <col min="4370" max="4608" width="8.88671875" style="93"/>
    <col min="4609" max="4609" width="5.33203125" style="93" customWidth="1"/>
    <col min="4610" max="4610" width="37.33203125" style="93" bestFit="1" customWidth="1"/>
    <col min="4611" max="4611" width="15.33203125" style="93" customWidth="1"/>
    <col min="4612" max="4612" width="3.33203125" style="93" customWidth="1"/>
    <col min="4613" max="4615" width="15.33203125" style="93" customWidth="1"/>
    <col min="4616" max="4616" width="14" style="93" customWidth="1"/>
    <col min="4617" max="4617" width="14.33203125" style="93" customWidth="1"/>
    <col min="4618" max="4618" width="11.88671875" style="93" customWidth="1"/>
    <col min="4619" max="4619" width="14.44140625" style="93" customWidth="1"/>
    <col min="4620" max="4620" width="12.5546875" style="93" customWidth="1"/>
    <col min="4621" max="4623" width="15.33203125" style="93" customWidth="1"/>
    <col min="4624" max="4624" width="12.44140625" style="93" customWidth="1"/>
    <col min="4625" max="4625" width="15.33203125" style="93" customWidth="1"/>
    <col min="4626" max="4864" width="8.88671875" style="93"/>
    <col min="4865" max="4865" width="5.33203125" style="93" customWidth="1"/>
    <col min="4866" max="4866" width="37.33203125" style="93" bestFit="1" customWidth="1"/>
    <col min="4867" max="4867" width="15.33203125" style="93" customWidth="1"/>
    <col min="4868" max="4868" width="3.33203125" style="93" customWidth="1"/>
    <col min="4869" max="4871" width="15.33203125" style="93" customWidth="1"/>
    <col min="4872" max="4872" width="14" style="93" customWidth="1"/>
    <col min="4873" max="4873" width="14.33203125" style="93" customWidth="1"/>
    <col min="4874" max="4874" width="11.88671875" style="93" customWidth="1"/>
    <col min="4875" max="4875" width="14.44140625" style="93" customWidth="1"/>
    <col min="4876" max="4876" width="12.5546875" style="93" customWidth="1"/>
    <col min="4877" max="4879" width="15.33203125" style="93" customWidth="1"/>
    <col min="4880" max="4880" width="12.44140625" style="93" customWidth="1"/>
    <col min="4881" max="4881" width="15.33203125" style="93" customWidth="1"/>
    <col min="4882" max="5120" width="8.88671875" style="93"/>
    <col min="5121" max="5121" width="5.33203125" style="93" customWidth="1"/>
    <col min="5122" max="5122" width="37.33203125" style="93" bestFit="1" customWidth="1"/>
    <col min="5123" max="5123" width="15.33203125" style="93" customWidth="1"/>
    <col min="5124" max="5124" width="3.33203125" style="93" customWidth="1"/>
    <col min="5125" max="5127" width="15.33203125" style="93" customWidth="1"/>
    <col min="5128" max="5128" width="14" style="93" customWidth="1"/>
    <col min="5129" max="5129" width="14.33203125" style="93" customWidth="1"/>
    <col min="5130" max="5130" width="11.88671875" style="93" customWidth="1"/>
    <col min="5131" max="5131" width="14.44140625" style="93" customWidth="1"/>
    <col min="5132" max="5132" width="12.5546875" style="93" customWidth="1"/>
    <col min="5133" max="5135" width="15.33203125" style="93" customWidth="1"/>
    <col min="5136" max="5136" width="12.44140625" style="93" customWidth="1"/>
    <col min="5137" max="5137" width="15.33203125" style="93" customWidth="1"/>
    <col min="5138" max="5376" width="8.88671875" style="93"/>
    <col min="5377" max="5377" width="5.33203125" style="93" customWidth="1"/>
    <col min="5378" max="5378" width="37.33203125" style="93" bestFit="1" customWidth="1"/>
    <col min="5379" max="5379" width="15.33203125" style="93" customWidth="1"/>
    <col min="5380" max="5380" width="3.33203125" style="93" customWidth="1"/>
    <col min="5381" max="5383" width="15.33203125" style="93" customWidth="1"/>
    <col min="5384" max="5384" width="14" style="93" customWidth="1"/>
    <col min="5385" max="5385" width="14.33203125" style="93" customWidth="1"/>
    <col min="5386" max="5386" width="11.88671875" style="93" customWidth="1"/>
    <col min="5387" max="5387" width="14.44140625" style="93" customWidth="1"/>
    <col min="5388" max="5388" width="12.5546875" style="93" customWidth="1"/>
    <col min="5389" max="5391" width="15.33203125" style="93" customWidth="1"/>
    <col min="5392" max="5392" width="12.44140625" style="93" customWidth="1"/>
    <col min="5393" max="5393" width="15.33203125" style="93" customWidth="1"/>
    <col min="5394" max="5632" width="8.88671875" style="93"/>
    <col min="5633" max="5633" width="5.33203125" style="93" customWidth="1"/>
    <col min="5634" max="5634" width="37.33203125" style="93" bestFit="1" customWidth="1"/>
    <col min="5635" max="5635" width="15.33203125" style="93" customWidth="1"/>
    <col min="5636" max="5636" width="3.33203125" style="93" customWidth="1"/>
    <col min="5637" max="5639" width="15.33203125" style="93" customWidth="1"/>
    <col min="5640" max="5640" width="14" style="93" customWidth="1"/>
    <col min="5641" max="5641" width="14.33203125" style="93" customWidth="1"/>
    <col min="5642" max="5642" width="11.88671875" style="93" customWidth="1"/>
    <col min="5643" max="5643" width="14.44140625" style="93" customWidth="1"/>
    <col min="5644" max="5644" width="12.5546875" style="93" customWidth="1"/>
    <col min="5645" max="5647" width="15.33203125" style="93" customWidth="1"/>
    <col min="5648" max="5648" width="12.44140625" style="93" customWidth="1"/>
    <col min="5649" max="5649" width="15.33203125" style="93" customWidth="1"/>
    <col min="5650" max="5888" width="8.88671875" style="93"/>
    <col min="5889" max="5889" width="5.33203125" style="93" customWidth="1"/>
    <col min="5890" max="5890" width="37.33203125" style="93" bestFit="1" customWidth="1"/>
    <col min="5891" max="5891" width="15.33203125" style="93" customWidth="1"/>
    <col min="5892" max="5892" width="3.33203125" style="93" customWidth="1"/>
    <col min="5893" max="5895" width="15.33203125" style="93" customWidth="1"/>
    <col min="5896" max="5896" width="14" style="93" customWidth="1"/>
    <col min="5897" max="5897" width="14.33203125" style="93" customWidth="1"/>
    <col min="5898" max="5898" width="11.88671875" style="93" customWidth="1"/>
    <col min="5899" max="5899" width="14.44140625" style="93" customWidth="1"/>
    <col min="5900" max="5900" width="12.5546875" style="93" customWidth="1"/>
    <col min="5901" max="5903" width="15.33203125" style="93" customWidth="1"/>
    <col min="5904" max="5904" width="12.44140625" style="93" customWidth="1"/>
    <col min="5905" max="5905" width="15.33203125" style="93" customWidth="1"/>
    <col min="5906" max="6144" width="8.88671875" style="93"/>
    <col min="6145" max="6145" width="5.33203125" style="93" customWidth="1"/>
    <col min="6146" max="6146" width="37.33203125" style="93" bestFit="1" customWidth="1"/>
    <col min="6147" max="6147" width="15.33203125" style="93" customWidth="1"/>
    <col min="6148" max="6148" width="3.33203125" style="93" customWidth="1"/>
    <col min="6149" max="6151" width="15.33203125" style="93" customWidth="1"/>
    <col min="6152" max="6152" width="14" style="93" customWidth="1"/>
    <col min="6153" max="6153" width="14.33203125" style="93" customWidth="1"/>
    <col min="6154" max="6154" width="11.88671875" style="93" customWidth="1"/>
    <col min="6155" max="6155" width="14.44140625" style="93" customWidth="1"/>
    <col min="6156" max="6156" width="12.5546875" style="93" customWidth="1"/>
    <col min="6157" max="6159" width="15.33203125" style="93" customWidth="1"/>
    <col min="6160" max="6160" width="12.44140625" style="93" customWidth="1"/>
    <col min="6161" max="6161" width="15.33203125" style="93" customWidth="1"/>
    <col min="6162" max="6400" width="8.88671875" style="93"/>
    <col min="6401" max="6401" width="5.33203125" style="93" customWidth="1"/>
    <col min="6402" max="6402" width="37.33203125" style="93" bestFit="1" customWidth="1"/>
    <col min="6403" max="6403" width="15.33203125" style="93" customWidth="1"/>
    <col min="6404" max="6404" width="3.33203125" style="93" customWidth="1"/>
    <col min="6405" max="6407" width="15.33203125" style="93" customWidth="1"/>
    <col min="6408" max="6408" width="14" style="93" customWidth="1"/>
    <col min="6409" max="6409" width="14.33203125" style="93" customWidth="1"/>
    <col min="6410" max="6410" width="11.88671875" style="93" customWidth="1"/>
    <col min="6411" max="6411" width="14.44140625" style="93" customWidth="1"/>
    <col min="6412" max="6412" width="12.5546875" style="93" customWidth="1"/>
    <col min="6413" max="6415" width="15.33203125" style="93" customWidth="1"/>
    <col min="6416" max="6416" width="12.44140625" style="93" customWidth="1"/>
    <col min="6417" max="6417" width="15.33203125" style="93" customWidth="1"/>
    <col min="6418" max="6656" width="8.88671875" style="93"/>
    <col min="6657" max="6657" width="5.33203125" style="93" customWidth="1"/>
    <col min="6658" max="6658" width="37.33203125" style="93" bestFit="1" customWidth="1"/>
    <col min="6659" max="6659" width="15.33203125" style="93" customWidth="1"/>
    <col min="6660" max="6660" width="3.33203125" style="93" customWidth="1"/>
    <col min="6661" max="6663" width="15.33203125" style="93" customWidth="1"/>
    <col min="6664" max="6664" width="14" style="93" customWidth="1"/>
    <col min="6665" max="6665" width="14.33203125" style="93" customWidth="1"/>
    <col min="6666" max="6666" width="11.88671875" style="93" customWidth="1"/>
    <col min="6667" max="6667" width="14.44140625" style="93" customWidth="1"/>
    <col min="6668" max="6668" width="12.5546875" style="93" customWidth="1"/>
    <col min="6669" max="6671" width="15.33203125" style="93" customWidth="1"/>
    <col min="6672" max="6672" width="12.44140625" style="93" customWidth="1"/>
    <col min="6673" max="6673" width="15.33203125" style="93" customWidth="1"/>
    <col min="6674" max="6912" width="8.88671875" style="93"/>
    <col min="6913" max="6913" width="5.33203125" style="93" customWidth="1"/>
    <col min="6914" max="6914" width="37.33203125" style="93" bestFit="1" customWidth="1"/>
    <col min="6915" max="6915" width="15.33203125" style="93" customWidth="1"/>
    <col min="6916" max="6916" width="3.33203125" style="93" customWidth="1"/>
    <col min="6917" max="6919" width="15.33203125" style="93" customWidth="1"/>
    <col min="6920" max="6920" width="14" style="93" customWidth="1"/>
    <col min="6921" max="6921" width="14.33203125" style="93" customWidth="1"/>
    <col min="6922" max="6922" width="11.88671875" style="93" customWidth="1"/>
    <col min="6923" max="6923" width="14.44140625" style="93" customWidth="1"/>
    <col min="6924" max="6924" width="12.5546875" style="93" customWidth="1"/>
    <col min="6925" max="6927" width="15.33203125" style="93" customWidth="1"/>
    <col min="6928" max="6928" width="12.44140625" style="93" customWidth="1"/>
    <col min="6929" max="6929" width="15.33203125" style="93" customWidth="1"/>
    <col min="6930" max="7168" width="8.88671875" style="93"/>
    <col min="7169" max="7169" width="5.33203125" style="93" customWidth="1"/>
    <col min="7170" max="7170" width="37.33203125" style="93" bestFit="1" customWidth="1"/>
    <col min="7171" max="7171" width="15.33203125" style="93" customWidth="1"/>
    <col min="7172" max="7172" width="3.33203125" style="93" customWidth="1"/>
    <col min="7173" max="7175" width="15.33203125" style="93" customWidth="1"/>
    <col min="7176" max="7176" width="14" style="93" customWidth="1"/>
    <col min="7177" max="7177" width="14.33203125" style="93" customWidth="1"/>
    <col min="7178" max="7178" width="11.88671875" style="93" customWidth="1"/>
    <col min="7179" max="7179" width="14.44140625" style="93" customWidth="1"/>
    <col min="7180" max="7180" width="12.5546875" style="93" customWidth="1"/>
    <col min="7181" max="7183" width="15.33203125" style="93" customWidth="1"/>
    <col min="7184" max="7184" width="12.44140625" style="93" customWidth="1"/>
    <col min="7185" max="7185" width="15.33203125" style="93" customWidth="1"/>
    <col min="7186" max="7424" width="8.88671875" style="93"/>
    <col min="7425" max="7425" width="5.33203125" style="93" customWidth="1"/>
    <col min="7426" max="7426" width="37.33203125" style="93" bestFit="1" customWidth="1"/>
    <col min="7427" max="7427" width="15.33203125" style="93" customWidth="1"/>
    <col min="7428" max="7428" width="3.33203125" style="93" customWidth="1"/>
    <col min="7429" max="7431" width="15.33203125" style="93" customWidth="1"/>
    <col min="7432" max="7432" width="14" style="93" customWidth="1"/>
    <col min="7433" max="7433" width="14.33203125" style="93" customWidth="1"/>
    <col min="7434" max="7434" width="11.88671875" style="93" customWidth="1"/>
    <col min="7435" max="7435" width="14.44140625" style="93" customWidth="1"/>
    <col min="7436" max="7436" width="12.5546875" style="93" customWidth="1"/>
    <col min="7437" max="7439" width="15.33203125" style="93" customWidth="1"/>
    <col min="7440" max="7440" width="12.44140625" style="93" customWidth="1"/>
    <col min="7441" max="7441" width="15.33203125" style="93" customWidth="1"/>
    <col min="7442" max="7680" width="8.88671875" style="93"/>
    <col min="7681" max="7681" width="5.33203125" style="93" customWidth="1"/>
    <col min="7682" max="7682" width="37.33203125" style="93" bestFit="1" customWidth="1"/>
    <col min="7683" max="7683" width="15.33203125" style="93" customWidth="1"/>
    <col min="7684" max="7684" width="3.33203125" style="93" customWidth="1"/>
    <col min="7685" max="7687" width="15.33203125" style="93" customWidth="1"/>
    <col min="7688" max="7688" width="14" style="93" customWidth="1"/>
    <col min="7689" max="7689" width="14.33203125" style="93" customWidth="1"/>
    <col min="7690" max="7690" width="11.88671875" style="93" customWidth="1"/>
    <col min="7691" max="7691" width="14.44140625" style="93" customWidth="1"/>
    <col min="7692" max="7692" width="12.5546875" style="93" customWidth="1"/>
    <col min="7693" max="7695" width="15.33203125" style="93" customWidth="1"/>
    <col min="7696" max="7696" width="12.44140625" style="93" customWidth="1"/>
    <col min="7697" max="7697" width="15.33203125" style="93" customWidth="1"/>
    <col min="7698" max="7936" width="8.88671875" style="93"/>
    <col min="7937" max="7937" width="5.33203125" style="93" customWidth="1"/>
    <col min="7938" max="7938" width="37.33203125" style="93" bestFit="1" customWidth="1"/>
    <col min="7939" max="7939" width="15.33203125" style="93" customWidth="1"/>
    <col min="7940" max="7940" width="3.33203125" style="93" customWidth="1"/>
    <col min="7941" max="7943" width="15.33203125" style="93" customWidth="1"/>
    <col min="7944" max="7944" width="14" style="93" customWidth="1"/>
    <col min="7945" max="7945" width="14.33203125" style="93" customWidth="1"/>
    <col min="7946" max="7946" width="11.88671875" style="93" customWidth="1"/>
    <col min="7947" max="7947" width="14.44140625" style="93" customWidth="1"/>
    <col min="7948" max="7948" width="12.5546875" style="93" customWidth="1"/>
    <col min="7949" max="7951" width="15.33203125" style="93" customWidth="1"/>
    <col min="7952" max="7952" width="12.44140625" style="93" customWidth="1"/>
    <col min="7953" max="7953" width="15.33203125" style="93" customWidth="1"/>
    <col min="7954" max="8192" width="8.88671875" style="93"/>
    <col min="8193" max="8193" width="5.33203125" style="93" customWidth="1"/>
    <col min="8194" max="8194" width="37.33203125" style="93" bestFit="1" customWidth="1"/>
    <col min="8195" max="8195" width="15.33203125" style="93" customWidth="1"/>
    <col min="8196" max="8196" width="3.33203125" style="93" customWidth="1"/>
    <col min="8197" max="8199" width="15.33203125" style="93" customWidth="1"/>
    <col min="8200" max="8200" width="14" style="93" customWidth="1"/>
    <col min="8201" max="8201" width="14.33203125" style="93" customWidth="1"/>
    <col min="8202" max="8202" width="11.88671875" style="93" customWidth="1"/>
    <col min="8203" max="8203" width="14.44140625" style="93" customWidth="1"/>
    <col min="8204" max="8204" width="12.5546875" style="93" customWidth="1"/>
    <col min="8205" max="8207" width="15.33203125" style="93" customWidth="1"/>
    <col min="8208" max="8208" width="12.44140625" style="93" customWidth="1"/>
    <col min="8209" max="8209" width="15.33203125" style="93" customWidth="1"/>
    <col min="8210" max="8448" width="8.88671875" style="93"/>
    <col min="8449" max="8449" width="5.33203125" style="93" customWidth="1"/>
    <col min="8450" max="8450" width="37.33203125" style="93" bestFit="1" customWidth="1"/>
    <col min="8451" max="8451" width="15.33203125" style="93" customWidth="1"/>
    <col min="8452" max="8452" width="3.33203125" style="93" customWidth="1"/>
    <col min="8453" max="8455" width="15.33203125" style="93" customWidth="1"/>
    <col min="8456" max="8456" width="14" style="93" customWidth="1"/>
    <col min="8457" max="8457" width="14.33203125" style="93" customWidth="1"/>
    <col min="8458" max="8458" width="11.88671875" style="93" customWidth="1"/>
    <col min="8459" max="8459" width="14.44140625" style="93" customWidth="1"/>
    <col min="8460" max="8460" width="12.5546875" style="93" customWidth="1"/>
    <col min="8461" max="8463" width="15.33203125" style="93" customWidth="1"/>
    <col min="8464" max="8464" width="12.44140625" style="93" customWidth="1"/>
    <col min="8465" max="8465" width="15.33203125" style="93" customWidth="1"/>
    <col min="8466" max="8704" width="8.88671875" style="93"/>
    <col min="8705" max="8705" width="5.33203125" style="93" customWidth="1"/>
    <col min="8706" max="8706" width="37.33203125" style="93" bestFit="1" customWidth="1"/>
    <col min="8707" max="8707" width="15.33203125" style="93" customWidth="1"/>
    <col min="8708" max="8708" width="3.33203125" style="93" customWidth="1"/>
    <col min="8709" max="8711" width="15.33203125" style="93" customWidth="1"/>
    <col min="8712" max="8712" width="14" style="93" customWidth="1"/>
    <col min="8713" max="8713" width="14.33203125" style="93" customWidth="1"/>
    <col min="8714" max="8714" width="11.88671875" style="93" customWidth="1"/>
    <col min="8715" max="8715" width="14.44140625" style="93" customWidth="1"/>
    <col min="8716" max="8716" width="12.5546875" style="93" customWidth="1"/>
    <col min="8717" max="8719" width="15.33203125" style="93" customWidth="1"/>
    <col min="8720" max="8720" width="12.44140625" style="93" customWidth="1"/>
    <col min="8721" max="8721" width="15.33203125" style="93" customWidth="1"/>
    <col min="8722" max="8960" width="8.88671875" style="93"/>
    <col min="8961" max="8961" width="5.33203125" style="93" customWidth="1"/>
    <col min="8962" max="8962" width="37.33203125" style="93" bestFit="1" customWidth="1"/>
    <col min="8963" max="8963" width="15.33203125" style="93" customWidth="1"/>
    <col min="8964" max="8964" width="3.33203125" style="93" customWidth="1"/>
    <col min="8965" max="8967" width="15.33203125" style="93" customWidth="1"/>
    <col min="8968" max="8968" width="14" style="93" customWidth="1"/>
    <col min="8969" max="8969" width="14.33203125" style="93" customWidth="1"/>
    <col min="8970" max="8970" width="11.88671875" style="93" customWidth="1"/>
    <col min="8971" max="8971" width="14.44140625" style="93" customWidth="1"/>
    <col min="8972" max="8972" width="12.5546875" style="93" customWidth="1"/>
    <col min="8973" max="8975" width="15.33203125" style="93" customWidth="1"/>
    <col min="8976" max="8976" width="12.44140625" style="93" customWidth="1"/>
    <col min="8977" max="8977" width="15.33203125" style="93" customWidth="1"/>
    <col min="8978" max="9216" width="8.88671875" style="93"/>
    <col min="9217" max="9217" width="5.33203125" style="93" customWidth="1"/>
    <col min="9218" max="9218" width="37.33203125" style="93" bestFit="1" customWidth="1"/>
    <col min="9219" max="9219" width="15.33203125" style="93" customWidth="1"/>
    <col min="9220" max="9220" width="3.33203125" style="93" customWidth="1"/>
    <col min="9221" max="9223" width="15.33203125" style="93" customWidth="1"/>
    <col min="9224" max="9224" width="14" style="93" customWidth="1"/>
    <col min="9225" max="9225" width="14.33203125" style="93" customWidth="1"/>
    <col min="9226" max="9226" width="11.88671875" style="93" customWidth="1"/>
    <col min="9227" max="9227" width="14.44140625" style="93" customWidth="1"/>
    <col min="9228" max="9228" width="12.5546875" style="93" customWidth="1"/>
    <col min="9229" max="9231" width="15.33203125" style="93" customWidth="1"/>
    <col min="9232" max="9232" width="12.44140625" style="93" customWidth="1"/>
    <col min="9233" max="9233" width="15.33203125" style="93" customWidth="1"/>
    <col min="9234" max="9472" width="8.88671875" style="93"/>
    <col min="9473" max="9473" width="5.33203125" style="93" customWidth="1"/>
    <col min="9474" max="9474" width="37.33203125" style="93" bestFit="1" customWidth="1"/>
    <col min="9475" max="9475" width="15.33203125" style="93" customWidth="1"/>
    <col min="9476" max="9476" width="3.33203125" style="93" customWidth="1"/>
    <col min="9477" max="9479" width="15.33203125" style="93" customWidth="1"/>
    <col min="9480" max="9480" width="14" style="93" customWidth="1"/>
    <col min="9481" max="9481" width="14.33203125" style="93" customWidth="1"/>
    <col min="9482" max="9482" width="11.88671875" style="93" customWidth="1"/>
    <col min="9483" max="9483" width="14.44140625" style="93" customWidth="1"/>
    <col min="9484" max="9484" width="12.5546875" style="93" customWidth="1"/>
    <col min="9485" max="9487" width="15.33203125" style="93" customWidth="1"/>
    <col min="9488" max="9488" width="12.44140625" style="93" customWidth="1"/>
    <col min="9489" max="9489" width="15.33203125" style="93" customWidth="1"/>
    <col min="9490" max="9728" width="8.88671875" style="93"/>
    <col min="9729" max="9729" width="5.33203125" style="93" customWidth="1"/>
    <col min="9730" max="9730" width="37.33203125" style="93" bestFit="1" customWidth="1"/>
    <col min="9731" max="9731" width="15.33203125" style="93" customWidth="1"/>
    <col min="9732" max="9732" width="3.33203125" style="93" customWidth="1"/>
    <col min="9733" max="9735" width="15.33203125" style="93" customWidth="1"/>
    <col min="9736" max="9736" width="14" style="93" customWidth="1"/>
    <col min="9737" max="9737" width="14.33203125" style="93" customWidth="1"/>
    <col min="9738" max="9738" width="11.88671875" style="93" customWidth="1"/>
    <col min="9739" max="9739" width="14.44140625" style="93" customWidth="1"/>
    <col min="9740" max="9740" width="12.5546875" style="93" customWidth="1"/>
    <col min="9741" max="9743" width="15.33203125" style="93" customWidth="1"/>
    <col min="9744" max="9744" width="12.44140625" style="93" customWidth="1"/>
    <col min="9745" max="9745" width="15.33203125" style="93" customWidth="1"/>
    <col min="9746" max="9984" width="8.88671875" style="93"/>
    <col min="9985" max="9985" width="5.33203125" style="93" customWidth="1"/>
    <col min="9986" max="9986" width="37.33203125" style="93" bestFit="1" customWidth="1"/>
    <col min="9987" max="9987" width="15.33203125" style="93" customWidth="1"/>
    <col min="9988" max="9988" width="3.33203125" style="93" customWidth="1"/>
    <col min="9989" max="9991" width="15.33203125" style="93" customWidth="1"/>
    <col min="9992" max="9992" width="14" style="93" customWidth="1"/>
    <col min="9993" max="9993" width="14.33203125" style="93" customWidth="1"/>
    <col min="9994" max="9994" width="11.88671875" style="93" customWidth="1"/>
    <col min="9995" max="9995" width="14.44140625" style="93" customWidth="1"/>
    <col min="9996" max="9996" width="12.5546875" style="93" customWidth="1"/>
    <col min="9997" max="9999" width="15.33203125" style="93" customWidth="1"/>
    <col min="10000" max="10000" width="12.44140625" style="93" customWidth="1"/>
    <col min="10001" max="10001" width="15.33203125" style="93" customWidth="1"/>
    <col min="10002" max="10240" width="8.88671875" style="93"/>
    <col min="10241" max="10241" width="5.33203125" style="93" customWidth="1"/>
    <col min="10242" max="10242" width="37.33203125" style="93" bestFit="1" customWidth="1"/>
    <col min="10243" max="10243" width="15.33203125" style="93" customWidth="1"/>
    <col min="10244" max="10244" width="3.33203125" style="93" customWidth="1"/>
    <col min="10245" max="10247" width="15.33203125" style="93" customWidth="1"/>
    <col min="10248" max="10248" width="14" style="93" customWidth="1"/>
    <col min="10249" max="10249" width="14.33203125" style="93" customWidth="1"/>
    <col min="10250" max="10250" width="11.88671875" style="93" customWidth="1"/>
    <col min="10251" max="10251" width="14.44140625" style="93" customWidth="1"/>
    <col min="10252" max="10252" width="12.5546875" style="93" customWidth="1"/>
    <col min="10253" max="10255" width="15.33203125" style="93" customWidth="1"/>
    <col min="10256" max="10256" width="12.44140625" style="93" customWidth="1"/>
    <col min="10257" max="10257" width="15.33203125" style="93" customWidth="1"/>
    <col min="10258" max="10496" width="8.88671875" style="93"/>
    <col min="10497" max="10497" width="5.33203125" style="93" customWidth="1"/>
    <col min="10498" max="10498" width="37.33203125" style="93" bestFit="1" customWidth="1"/>
    <col min="10499" max="10499" width="15.33203125" style="93" customWidth="1"/>
    <col min="10500" max="10500" width="3.33203125" style="93" customWidth="1"/>
    <col min="10501" max="10503" width="15.33203125" style="93" customWidth="1"/>
    <col min="10504" max="10504" width="14" style="93" customWidth="1"/>
    <col min="10505" max="10505" width="14.33203125" style="93" customWidth="1"/>
    <col min="10506" max="10506" width="11.88671875" style="93" customWidth="1"/>
    <col min="10507" max="10507" width="14.44140625" style="93" customWidth="1"/>
    <col min="10508" max="10508" width="12.5546875" style="93" customWidth="1"/>
    <col min="10509" max="10511" width="15.33203125" style="93" customWidth="1"/>
    <col min="10512" max="10512" width="12.44140625" style="93" customWidth="1"/>
    <col min="10513" max="10513" width="15.33203125" style="93" customWidth="1"/>
    <col min="10514" max="10752" width="8.88671875" style="93"/>
    <col min="10753" max="10753" width="5.33203125" style="93" customWidth="1"/>
    <col min="10754" max="10754" width="37.33203125" style="93" bestFit="1" customWidth="1"/>
    <col min="10755" max="10755" width="15.33203125" style="93" customWidth="1"/>
    <col min="10756" max="10756" width="3.33203125" style="93" customWidth="1"/>
    <col min="10757" max="10759" width="15.33203125" style="93" customWidth="1"/>
    <col min="10760" max="10760" width="14" style="93" customWidth="1"/>
    <col min="10761" max="10761" width="14.33203125" style="93" customWidth="1"/>
    <col min="10762" max="10762" width="11.88671875" style="93" customWidth="1"/>
    <col min="10763" max="10763" width="14.44140625" style="93" customWidth="1"/>
    <col min="10764" max="10764" width="12.5546875" style="93" customWidth="1"/>
    <col min="10765" max="10767" width="15.33203125" style="93" customWidth="1"/>
    <col min="10768" max="10768" width="12.44140625" style="93" customWidth="1"/>
    <col min="10769" max="10769" width="15.33203125" style="93" customWidth="1"/>
    <col min="10770" max="11008" width="8.88671875" style="93"/>
    <col min="11009" max="11009" width="5.33203125" style="93" customWidth="1"/>
    <col min="11010" max="11010" width="37.33203125" style="93" bestFit="1" customWidth="1"/>
    <col min="11011" max="11011" width="15.33203125" style="93" customWidth="1"/>
    <col min="11012" max="11012" width="3.33203125" style="93" customWidth="1"/>
    <col min="11013" max="11015" width="15.33203125" style="93" customWidth="1"/>
    <col min="11016" max="11016" width="14" style="93" customWidth="1"/>
    <col min="11017" max="11017" width="14.33203125" style="93" customWidth="1"/>
    <col min="11018" max="11018" width="11.88671875" style="93" customWidth="1"/>
    <col min="11019" max="11019" width="14.44140625" style="93" customWidth="1"/>
    <col min="11020" max="11020" width="12.5546875" style="93" customWidth="1"/>
    <col min="11021" max="11023" width="15.33203125" style="93" customWidth="1"/>
    <col min="11024" max="11024" width="12.44140625" style="93" customWidth="1"/>
    <col min="11025" max="11025" width="15.33203125" style="93" customWidth="1"/>
    <col min="11026" max="11264" width="8.88671875" style="93"/>
    <col min="11265" max="11265" width="5.33203125" style="93" customWidth="1"/>
    <col min="11266" max="11266" width="37.33203125" style="93" bestFit="1" customWidth="1"/>
    <col min="11267" max="11267" width="15.33203125" style="93" customWidth="1"/>
    <col min="11268" max="11268" width="3.33203125" style="93" customWidth="1"/>
    <col min="11269" max="11271" width="15.33203125" style="93" customWidth="1"/>
    <col min="11272" max="11272" width="14" style="93" customWidth="1"/>
    <col min="11273" max="11273" width="14.33203125" style="93" customWidth="1"/>
    <col min="11274" max="11274" width="11.88671875" style="93" customWidth="1"/>
    <col min="11275" max="11275" width="14.44140625" style="93" customWidth="1"/>
    <col min="11276" max="11276" width="12.5546875" style="93" customWidth="1"/>
    <col min="11277" max="11279" width="15.33203125" style="93" customWidth="1"/>
    <col min="11280" max="11280" width="12.44140625" style="93" customWidth="1"/>
    <col min="11281" max="11281" width="15.33203125" style="93" customWidth="1"/>
    <col min="11282" max="11520" width="8.88671875" style="93"/>
    <col min="11521" max="11521" width="5.33203125" style="93" customWidth="1"/>
    <col min="11522" max="11522" width="37.33203125" style="93" bestFit="1" customWidth="1"/>
    <col min="11523" max="11523" width="15.33203125" style="93" customWidth="1"/>
    <col min="11524" max="11524" width="3.33203125" style="93" customWidth="1"/>
    <col min="11525" max="11527" width="15.33203125" style="93" customWidth="1"/>
    <col min="11528" max="11528" width="14" style="93" customWidth="1"/>
    <col min="11529" max="11529" width="14.33203125" style="93" customWidth="1"/>
    <col min="11530" max="11530" width="11.88671875" style="93" customWidth="1"/>
    <col min="11531" max="11531" width="14.44140625" style="93" customWidth="1"/>
    <col min="11532" max="11532" width="12.5546875" style="93" customWidth="1"/>
    <col min="11533" max="11535" width="15.33203125" style="93" customWidth="1"/>
    <col min="11536" max="11536" width="12.44140625" style="93" customWidth="1"/>
    <col min="11537" max="11537" width="15.33203125" style="93" customWidth="1"/>
    <col min="11538" max="11776" width="8.88671875" style="93"/>
    <col min="11777" max="11777" width="5.33203125" style="93" customWidth="1"/>
    <col min="11778" max="11778" width="37.33203125" style="93" bestFit="1" customWidth="1"/>
    <col min="11779" max="11779" width="15.33203125" style="93" customWidth="1"/>
    <col min="11780" max="11780" width="3.33203125" style="93" customWidth="1"/>
    <col min="11781" max="11783" width="15.33203125" style="93" customWidth="1"/>
    <col min="11784" max="11784" width="14" style="93" customWidth="1"/>
    <col min="11785" max="11785" width="14.33203125" style="93" customWidth="1"/>
    <col min="11786" max="11786" width="11.88671875" style="93" customWidth="1"/>
    <col min="11787" max="11787" width="14.44140625" style="93" customWidth="1"/>
    <col min="11788" max="11788" width="12.5546875" style="93" customWidth="1"/>
    <col min="11789" max="11791" width="15.33203125" style="93" customWidth="1"/>
    <col min="11792" max="11792" width="12.44140625" style="93" customWidth="1"/>
    <col min="11793" max="11793" width="15.33203125" style="93" customWidth="1"/>
    <col min="11794" max="12032" width="8.88671875" style="93"/>
    <col min="12033" max="12033" width="5.33203125" style="93" customWidth="1"/>
    <col min="12034" max="12034" width="37.33203125" style="93" bestFit="1" customWidth="1"/>
    <col min="12035" max="12035" width="15.33203125" style="93" customWidth="1"/>
    <col min="12036" max="12036" width="3.33203125" style="93" customWidth="1"/>
    <col min="12037" max="12039" width="15.33203125" style="93" customWidth="1"/>
    <col min="12040" max="12040" width="14" style="93" customWidth="1"/>
    <col min="12041" max="12041" width="14.33203125" style="93" customWidth="1"/>
    <col min="12042" max="12042" width="11.88671875" style="93" customWidth="1"/>
    <col min="12043" max="12043" width="14.44140625" style="93" customWidth="1"/>
    <col min="12044" max="12044" width="12.5546875" style="93" customWidth="1"/>
    <col min="12045" max="12047" width="15.33203125" style="93" customWidth="1"/>
    <col min="12048" max="12048" width="12.44140625" style="93" customWidth="1"/>
    <col min="12049" max="12049" width="15.33203125" style="93" customWidth="1"/>
    <col min="12050" max="12288" width="8.88671875" style="93"/>
    <col min="12289" max="12289" width="5.33203125" style="93" customWidth="1"/>
    <col min="12290" max="12290" width="37.33203125" style="93" bestFit="1" customWidth="1"/>
    <col min="12291" max="12291" width="15.33203125" style="93" customWidth="1"/>
    <col min="12292" max="12292" width="3.33203125" style="93" customWidth="1"/>
    <col min="12293" max="12295" width="15.33203125" style="93" customWidth="1"/>
    <col min="12296" max="12296" width="14" style="93" customWidth="1"/>
    <col min="12297" max="12297" width="14.33203125" style="93" customWidth="1"/>
    <col min="12298" max="12298" width="11.88671875" style="93" customWidth="1"/>
    <col min="12299" max="12299" width="14.44140625" style="93" customWidth="1"/>
    <col min="12300" max="12300" width="12.5546875" style="93" customWidth="1"/>
    <col min="12301" max="12303" width="15.33203125" style="93" customWidth="1"/>
    <col min="12304" max="12304" width="12.44140625" style="93" customWidth="1"/>
    <col min="12305" max="12305" width="15.33203125" style="93" customWidth="1"/>
    <col min="12306" max="12544" width="8.88671875" style="93"/>
    <col min="12545" max="12545" width="5.33203125" style="93" customWidth="1"/>
    <col min="12546" max="12546" width="37.33203125" style="93" bestFit="1" customWidth="1"/>
    <col min="12547" max="12547" width="15.33203125" style="93" customWidth="1"/>
    <col min="12548" max="12548" width="3.33203125" style="93" customWidth="1"/>
    <col min="12549" max="12551" width="15.33203125" style="93" customWidth="1"/>
    <col min="12552" max="12552" width="14" style="93" customWidth="1"/>
    <col min="12553" max="12553" width="14.33203125" style="93" customWidth="1"/>
    <col min="12554" max="12554" width="11.88671875" style="93" customWidth="1"/>
    <col min="12555" max="12555" width="14.44140625" style="93" customWidth="1"/>
    <col min="12556" max="12556" width="12.5546875" style="93" customWidth="1"/>
    <col min="12557" max="12559" width="15.33203125" style="93" customWidth="1"/>
    <col min="12560" max="12560" width="12.44140625" style="93" customWidth="1"/>
    <col min="12561" max="12561" width="15.33203125" style="93" customWidth="1"/>
    <col min="12562" max="12800" width="8.88671875" style="93"/>
    <col min="12801" max="12801" width="5.33203125" style="93" customWidth="1"/>
    <col min="12802" max="12802" width="37.33203125" style="93" bestFit="1" customWidth="1"/>
    <col min="12803" max="12803" width="15.33203125" style="93" customWidth="1"/>
    <col min="12804" max="12804" width="3.33203125" style="93" customWidth="1"/>
    <col min="12805" max="12807" width="15.33203125" style="93" customWidth="1"/>
    <col min="12808" max="12808" width="14" style="93" customWidth="1"/>
    <col min="12809" max="12809" width="14.33203125" style="93" customWidth="1"/>
    <col min="12810" max="12810" width="11.88671875" style="93" customWidth="1"/>
    <col min="12811" max="12811" width="14.44140625" style="93" customWidth="1"/>
    <col min="12812" max="12812" width="12.5546875" style="93" customWidth="1"/>
    <col min="12813" max="12815" width="15.33203125" style="93" customWidth="1"/>
    <col min="12816" max="12816" width="12.44140625" style="93" customWidth="1"/>
    <col min="12817" max="12817" width="15.33203125" style="93" customWidth="1"/>
    <col min="12818" max="13056" width="8.88671875" style="93"/>
    <col min="13057" max="13057" width="5.33203125" style="93" customWidth="1"/>
    <col min="13058" max="13058" width="37.33203125" style="93" bestFit="1" customWidth="1"/>
    <col min="13059" max="13059" width="15.33203125" style="93" customWidth="1"/>
    <col min="13060" max="13060" width="3.33203125" style="93" customWidth="1"/>
    <col min="13061" max="13063" width="15.33203125" style="93" customWidth="1"/>
    <col min="13064" max="13064" width="14" style="93" customWidth="1"/>
    <col min="13065" max="13065" width="14.33203125" style="93" customWidth="1"/>
    <col min="13066" max="13066" width="11.88671875" style="93" customWidth="1"/>
    <col min="13067" max="13067" width="14.44140625" style="93" customWidth="1"/>
    <col min="13068" max="13068" width="12.5546875" style="93" customWidth="1"/>
    <col min="13069" max="13071" width="15.33203125" style="93" customWidth="1"/>
    <col min="13072" max="13072" width="12.44140625" style="93" customWidth="1"/>
    <col min="13073" max="13073" width="15.33203125" style="93" customWidth="1"/>
    <col min="13074" max="13312" width="8.88671875" style="93"/>
    <col min="13313" max="13313" width="5.33203125" style="93" customWidth="1"/>
    <col min="13314" max="13314" width="37.33203125" style="93" bestFit="1" customWidth="1"/>
    <col min="13315" max="13315" width="15.33203125" style="93" customWidth="1"/>
    <col min="13316" max="13316" width="3.33203125" style="93" customWidth="1"/>
    <col min="13317" max="13319" width="15.33203125" style="93" customWidth="1"/>
    <col min="13320" max="13320" width="14" style="93" customWidth="1"/>
    <col min="13321" max="13321" width="14.33203125" style="93" customWidth="1"/>
    <col min="13322" max="13322" width="11.88671875" style="93" customWidth="1"/>
    <col min="13323" max="13323" width="14.44140625" style="93" customWidth="1"/>
    <col min="13324" max="13324" width="12.5546875" style="93" customWidth="1"/>
    <col min="13325" max="13327" width="15.33203125" style="93" customWidth="1"/>
    <col min="13328" max="13328" width="12.44140625" style="93" customWidth="1"/>
    <col min="13329" max="13329" width="15.33203125" style="93" customWidth="1"/>
    <col min="13330" max="13568" width="8.88671875" style="93"/>
    <col min="13569" max="13569" width="5.33203125" style="93" customWidth="1"/>
    <col min="13570" max="13570" width="37.33203125" style="93" bestFit="1" customWidth="1"/>
    <col min="13571" max="13571" width="15.33203125" style="93" customWidth="1"/>
    <col min="13572" max="13572" width="3.33203125" style="93" customWidth="1"/>
    <col min="13573" max="13575" width="15.33203125" style="93" customWidth="1"/>
    <col min="13576" max="13576" width="14" style="93" customWidth="1"/>
    <col min="13577" max="13577" width="14.33203125" style="93" customWidth="1"/>
    <col min="13578" max="13578" width="11.88671875" style="93" customWidth="1"/>
    <col min="13579" max="13579" width="14.44140625" style="93" customWidth="1"/>
    <col min="13580" max="13580" width="12.5546875" style="93" customWidth="1"/>
    <col min="13581" max="13583" width="15.33203125" style="93" customWidth="1"/>
    <col min="13584" max="13584" width="12.44140625" style="93" customWidth="1"/>
    <col min="13585" max="13585" width="15.33203125" style="93" customWidth="1"/>
    <col min="13586" max="13824" width="8.88671875" style="93"/>
    <col min="13825" max="13825" width="5.33203125" style="93" customWidth="1"/>
    <col min="13826" max="13826" width="37.33203125" style="93" bestFit="1" customWidth="1"/>
    <col min="13827" max="13827" width="15.33203125" style="93" customWidth="1"/>
    <col min="13828" max="13828" width="3.33203125" style="93" customWidth="1"/>
    <col min="13829" max="13831" width="15.33203125" style="93" customWidth="1"/>
    <col min="13832" max="13832" width="14" style="93" customWidth="1"/>
    <col min="13833" max="13833" width="14.33203125" style="93" customWidth="1"/>
    <col min="13834" max="13834" width="11.88671875" style="93" customWidth="1"/>
    <col min="13835" max="13835" width="14.44140625" style="93" customWidth="1"/>
    <col min="13836" max="13836" width="12.5546875" style="93" customWidth="1"/>
    <col min="13837" max="13839" width="15.33203125" style="93" customWidth="1"/>
    <col min="13840" max="13840" width="12.44140625" style="93" customWidth="1"/>
    <col min="13841" max="13841" width="15.33203125" style="93" customWidth="1"/>
    <col min="13842" max="14080" width="8.88671875" style="93"/>
    <col min="14081" max="14081" width="5.33203125" style="93" customWidth="1"/>
    <col min="14082" max="14082" width="37.33203125" style="93" bestFit="1" customWidth="1"/>
    <col min="14083" max="14083" width="15.33203125" style="93" customWidth="1"/>
    <col min="14084" max="14084" width="3.33203125" style="93" customWidth="1"/>
    <col min="14085" max="14087" width="15.33203125" style="93" customWidth="1"/>
    <col min="14088" max="14088" width="14" style="93" customWidth="1"/>
    <col min="14089" max="14089" width="14.33203125" style="93" customWidth="1"/>
    <col min="14090" max="14090" width="11.88671875" style="93" customWidth="1"/>
    <col min="14091" max="14091" width="14.44140625" style="93" customWidth="1"/>
    <col min="14092" max="14092" width="12.5546875" style="93" customWidth="1"/>
    <col min="14093" max="14095" width="15.33203125" style="93" customWidth="1"/>
    <col min="14096" max="14096" width="12.44140625" style="93" customWidth="1"/>
    <col min="14097" max="14097" width="15.33203125" style="93" customWidth="1"/>
    <col min="14098" max="14336" width="8.88671875" style="93"/>
    <col min="14337" max="14337" width="5.33203125" style="93" customWidth="1"/>
    <col min="14338" max="14338" width="37.33203125" style="93" bestFit="1" customWidth="1"/>
    <col min="14339" max="14339" width="15.33203125" style="93" customWidth="1"/>
    <col min="14340" max="14340" width="3.33203125" style="93" customWidth="1"/>
    <col min="14341" max="14343" width="15.33203125" style="93" customWidth="1"/>
    <col min="14344" max="14344" width="14" style="93" customWidth="1"/>
    <col min="14345" max="14345" width="14.33203125" style="93" customWidth="1"/>
    <col min="14346" max="14346" width="11.88671875" style="93" customWidth="1"/>
    <col min="14347" max="14347" width="14.44140625" style="93" customWidth="1"/>
    <col min="14348" max="14348" width="12.5546875" style="93" customWidth="1"/>
    <col min="14349" max="14351" width="15.33203125" style="93" customWidth="1"/>
    <col min="14352" max="14352" width="12.44140625" style="93" customWidth="1"/>
    <col min="14353" max="14353" width="15.33203125" style="93" customWidth="1"/>
    <col min="14354" max="14592" width="8.88671875" style="93"/>
    <col min="14593" max="14593" width="5.33203125" style="93" customWidth="1"/>
    <col min="14594" max="14594" width="37.33203125" style="93" bestFit="1" customWidth="1"/>
    <col min="14595" max="14595" width="15.33203125" style="93" customWidth="1"/>
    <col min="14596" max="14596" width="3.33203125" style="93" customWidth="1"/>
    <col min="14597" max="14599" width="15.33203125" style="93" customWidth="1"/>
    <col min="14600" max="14600" width="14" style="93" customWidth="1"/>
    <col min="14601" max="14601" width="14.33203125" style="93" customWidth="1"/>
    <col min="14602" max="14602" width="11.88671875" style="93" customWidth="1"/>
    <col min="14603" max="14603" width="14.44140625" style="93" customWidth="1"/>
    <col min="14604" max="14604" width="12.5546875" style="93" customWidth="1"/>
    <col min="14605" max="14607" width="15.33203125" style="93" customWidth="1"/>
    <col min="14608" max="14608" width="12.44140625" style="93" customWidth="1"/>
    <col min="14609" max="14609" width="15.33203125" style="93" customWidth="1"/>
    <col min="14610" max="14848" width="8.88671875" style="93"/>
    <col min="14849" max="14849" width="5.33203125" style="93" customWidth="1"/>
    <col min="14850" max="14850" width="37.33203125" style="93" bestFit="1" customWidth="1"/>
    <col min="14851" max="14851" width="15.33203125" style="93" customWidth="1"/>
    <col min="14852" max="14852" width="3.33203125" style="93" customWidth="1"/>
    <col min="14853" max="14855" width="15.33203125" style="93" customWidth="1"/>
    <col min="14856" max="14856" width="14" style="93" customWidth="1"/>
    <col min="14857" max="14857" width="14.33203125" style="93" customWidth="1"/>
    <col min="14858" max="14858" width="11.88671875" style="93" customWidth="1"/>
    <col min="14859" max="14859" width="14.44140625" style="93" customWidth="1"/>
    <col min="14860" max="14860" width="12.5546875" style="93" customWidth="1"/>
    <col min="14861" max="14863" width="15.33203125" style="93" customWidth="1"/>
    <col min="14864" max="14864" width="12.44140625" style="93" customWidth="1"/>
    <col min="14865" max="14865" width="15.33203125" style="93" customWidth="1"/>
    <col min="14866" max="15104" width="8.88671875" style="93"/>
    <col min="15105" max="15105" width="5.33203125" style="93" customWidth="1"/>
    <col min="15106" max="15106" width="37.33203125" style="93" bestFit="1" customWidth="1"/>
    <col min="15107" max="15107" width="15.33203125" style="93" customWidth="1"/>
    <col min="15108" max="15108" width="3.33203125" style="93" customWidth="1"/>
    <col min="15109" max="15111" width="15.33203125" style="93" customWidth="1"/>
    <col min="15112" max="15112" width="14" style="93" customWidth="1"/>
    <col min="15113" max="15113" width="14.33203125" style="93" customWidth="1"/>
    <col min="15114" max="15114" width="11.88671875" style="93" customWidth="1"/>
    <col min="15115" max="15115" width="14.44140625" style="93" customWidth="1"/>
    <col min="15116" max="15116" width="12.5546875" style="93" customWidth="1"/>
    <col min="15117" max="15119" width="15.33203125" style="93" customWidth="1"/>
    <col min="15120" max="15120" width="12.44140625" style="93" customWidth="1"/>
    <col min="15121" max="15121" width="15.33203125" style="93" customWidth="1"/>
    <col min="15122" max="15360" width="8.88671875" style="93"/>
    <col min="15361" max="15361" width="5.33203125" style="93" customWidth="1"/>
    <col min="15362" max="15362" width="37.33203125" style="93" bestFit="1" customWidth="1"/>
    <col min="15363" max="15363" width="15.33203125" style="93" customWidth="1"/>
    <col min="15364" max="15364" width="3.33203125" style="93" customWidth="1"/>
    <col min="15365" max="15367" width="15.33203125" style="93" customWidth="1"/>
    <col min="15368" max="15368" width="14" style="93" customWidth="1"/>
    <col min="15369" max="15369" width="14.33203125" style="93" customWidth="1"/>
    <col min="15370" max="15370" width="11.88671875" style="93" customWidth="1"/>
    <col min="15371" max="15371" width="14.44140625" style="93" customWidth="1"/>
    <col min="15372" max="15372" width="12.5546875" style="93" customWidth="1"/>
    <col min="15373" max="15375" width="15.33203125" style="93" customWidth="1"/>
    <col min="15376" max="15376" width="12.44140625" style="93" customWidth="1"/>
    <col min="15377" max="15377" width="15.33203125" style="93" customWidth="1"/>
    <col min="15378" max="15616" width="8.88671875" style="93"/>
    <col min="15617" max="15617" width="5.33203125" style="93" customWidth="1"/>
    <col min="15618" max="15618" width="37.33203125" style="93" bestFit="1" customWidth="1"/>
    <col min="15619" max="15619" width="15.33203125" style="93" customWidth="1"/>
    <col min="15620" max="15620" width="3.33203125" style="93" customWidth="1"/>
    <col min="15621" max="15623" width="15.33203125" style="93" customWidth="1"/>
    <col min="15624" max="15624" width="14" style="93" customWidth="1"/>
    <col min="15625" max="15625" width="14.33203125" style="93" customWidth="1"/>
    <col min="15626" max="15626" width="11.88671875" style="93" customWidth="1"/>
    <col min="15627" max="15627" width="14.44140625" style="93" customWidth="1"/>
    <col min="15628" max="15628" width="12.5546875" style="93" customWidth="1"/>
    <col min="15629" max="15631" width="15.33203125" style="93" customWidth="1"/>
    <col min="15632" max="15632" width="12.44140625" style="93" customWidth="1"/>
    <col min="15633" max="15633" width="15.33203125" style="93" customWidth="1"/>
    <col min="15634" max="15872" width="8.88671875" style="93"/>
    <col min="15873" max="15873" width="5.33203125" style="93" customWidth="1"/>
    <col min="15874" max="15874" width="37.33203125" style="93" bestFit="1" customWidth="1"/>
    <col min="15875" max="15875" width="15.33203125" style="93" customWidth="1"/>
    <col min="15876" max="15876" width="3.33203125" style="93" customWidth="1"/>
    <col min="15877" max="15879" width="15.33203125" style="93" customWidth="1"/>
    <col min="15880" max="15880" width="14" style="93" customWidth="1"/>
    <col min="15881" max="15881" width="14.33203125" style="93" customWidth="1"/>
    <col min="15882" max="15882" width="11.88671875" style="93" customWidth="1"/>
    <col min="15883" max="15883" width="14.44140625" style="93" customWidth="1"/>
    <col min="15884" max="15884" width="12.5546875" style="93" customWidth="1"/>
    <col min="15885" max="15887" width="15.33203125" style="93" customWidth="1"/>
    <col min="15888" max="15888" width="12.44140625" style="93" customWidth="1"/>
    <col min="15889" max="15889" width="15.33203125" style="93" customWidth="1"/>
    <col min="15890" max="16128" width="8.88671875" style="93"/>
    <col min="16129" max="16129" width="5.33203125" style="93" customWidth="1"/>
    <col min="16130" max="16130" width="37.33203125" style="93" bestFit="1" customWidth="1"/>
    <col min="16131" max="16131" width="15.33203125" style="93" customWidth="1"/>
    <col min="16132" max="16132" width="3.33203125" style="93" customWidth="1"/>
    <col min="16133" max="16135" width="15.33203125" style="93" customWidth="1"/>
    <col min="16136" max="16136" width="14" style="93" customWidth="1"/>
    <col min="16137" max="16137" width="14.33203125" style="93" customWidth="1"/>
    <col min="16138" max="16138" width="11.88671875" style="93" customWidth="1"/>
    <col min="16139" max="16139" width="14.44140625" style="93" customWidth="1"/>
    <col min="16140" max="16140" width="12.5546875" style="93" customWidth="1"/>
    <col min="16141" max="16143" width="15.33203125" style="93" customWidth="1"/>
    <col min="16144" max="16144" width="12.44140625" style="93" customWidth="1"/>
    <col min="16145" max="16145" width="15.33203125" style="93" customWidth="1"/>
    <col min="16146" max="16384" width="8.88671875" style="93"/>
  </cols>
  <sheetData>
    <row r="1" spans="1:18" x14ac:dyDescent="0.2">
      <c r="A1" s="273" t="s">
        <v>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18" x14ac:dyDescent="0.2">
      <c r="A2" s="273" t="s">
        <v>44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8" x14ac:dyDescent="0.2">
      <c r="A3" s="273" t="s">
        <v>255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18" x14ac:dyDescent="0.2">
      <c r="A4" s="273" t="s">
        <v>256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</row>
    <row r="6" spans="1:18" ht="20.399999999999999" x14ac:dyDescent="0.2">
      <c r="A6" s="94" t="s">
        <v>15</v>
      </c>
      <c r="B6" s="94" t="s">
        <v>17</v>
      </c>
      <c r="C6" s="94" t="s">
        <v>45</v>
      </c>
      <c r="D6" s="94"/>
      <c r="E6" s="94" t="s">
        <v>46</v>
      </c>
      <c r="F6" s="94" t="s">
        <v>47</v>
      </c>
      <c r="G6" s="94" t="s">
        <v>48</v>
      </c>
      <c r="H6" s="94" t="s">
        <v>49</v>
      </c>
      <c r="I6" s="94" t="s">
        <v>50</v>
      </c>
      <c r="J6" s="94" t="s">
        <v>51</v>
      </c>
      <c r="K6" s="94" t="s">
        <v>52</v>
      </c>
      <c r="L6" s="94" t="s">
        <v>53</v>
      </c>
      <c r="M6" s="94" t="s">
        <v>54</v>
      </c>
      <c r="N6" s="94" t="s">
        <v>55</v>
      </c>
      <c r="O6" s="94" t="s">
        <v>56</v>
      </c>
      <c r="P6" s="94" t="s">
        <v>57</v>
      </c>
      <c r="Q6" s="94" t="s">
        <v>58</v>
      </c>
    </row>
    <row r="7" spans="1:18" x14ac:dyDescent="0.2">
      <c r="A7" s="95"/>
      <c r="B7" s="96" t="s">
        <v>13</v>
      </c>
      <c r="C7" s="96" t="s">
        <v>12</v>
      </c>
      <c r="D7" s="96"/>
      <c r="E7" s="96" t="s">
        <v>11</v>
      </c>
      <c r="F7" s="96" t="s">
        <v>10</v>
      </c>
      <c r="G7" s="96" t="s">
        <v>9</v>
      </c>
      <c r="H7" s="96" t="s">
        <v>7</v>
      </c>
      <c r="I7" s="96" t="s">
        <v>6</v>
      </c>
      <c r="J7" s="96" t="s">
        <v>5</v>
      </c>
      <c r="K7" s="96" t="s">
        <v>4</v>
      </c>
      <c r="L7" s="96" t="s">
        <v>3</v>
      </c>
      <c r="M7" s="96" t="s">
        <v>2</v>
      </c>
      <c r="N7" s="96" t="s">
        <v>1</v>
      </c>
      <c r="O7" s="96" t="s">
        <v>0</v>
      </c>
      <c r="P7" s="96" t="s">
        <v>18</v>
      </c>
      <c r="Q7" s="96" t="s">
        <v>59</v>
      </c>
    </row>
    <row r="8" spans="1:18" x14ac:dyDescent="0.2">
      <c r="C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</row>
    <row r="9" spans="1:18" x14ac:dyDescent="0.2">
      <c r="A9" s="177">
        <v>1</v>
      </c>
      <c r="B9" s="97" t="s">
        <v>102</v>
      </c>
      <c r="C9" s="227">
        <v>22311829039.999996</v>
      </c>
      <c r="D9" s="227"/>
      <c r="E9" s="227">
        <v>11362694034.5944</v>
      </c>
      <c r="F9" s="227">
        <v>2983833723.3713889</v>
      </c>
      <c r="G9" s="227">
        <v>3080584885.4856691</v>
      </c>
      <c r="H9" s="227">
        <v>2051022389.543107</v>
      </c>
      <c r="I9" s="227">
        <v>1342870567.1184549</v>
      </c>
      <c r="J9" s="227">
        <v>4594563.3633324662</v>
      </c>
      <c r="K9" s="227">
        <v>124979540.86316925</v>
      </c>
      <c r="L9" s="227">
        <v>639599439.09802258</v>
      </c>
      <c r="M9" s="227">
        <v>632887813.72208166</v>
      </c>
      <c r="N9" s="227">
        <v>0</v>
      </c>
      <c r="O9" s="227">
        <v>0</v>
      </c>
      <c r="P9" s="227">
        <v>81534389.017231286</v>
      </c>
      <c r="Q9" s="227">
        <v>7227693.8231415441</v>
      </c>
      <c r="R9" s="98"/>
    </row>
    <row r="10" spans="1:18" x14ac:dyDescent="0.2">
      <c r="A10" s="177">
        <f>+A9+1</f>
        <v>2</v>
      </c>
      <c r="B10" s="97" t="s">
        <v>103</v>
      </c>
      <c r="C10" s="227">
        <v>3941657.8585261339</v>
      </c>
      <c r="D10" s="227"/>
      <c r="E10" s="227">
        <v>2401760.8159533199</v>
      </c>
      <c r="F10" s="227">
        <v>483797.35950569448</v>
      </c>
      <c r="G10" s="227">
        <v>452472.55815379717</v>
      </c>
      <c r="H10" s="227">
        <v>261562.891393383</v>
      </c>
      <c r="I10" s="227">
        <v>179157.07260351363</v>
      </c>
      <c r="J10" s="227">
        <v>4.0419526549894496</v>
      </c>
      <c r="K10" s="227">
        <v>0</v>
      </c>
      <c r="L10" s="227">
        <v>80420.565981487191</v>
      </c>
      <c r="M10" s="227">
        <v>67179.705291231017</v>
      </c>
      <c r="N10" s="227">
        <v>0</v>
      </c>
      <c r="O10" s="227">
        <v>0</v>
      </c>
      <c r="P10" s="227">
        <v>13772.381425311305</v>
      </c>
      <c r="Q10" s="227">
        <v>1530.4662657410647</v>
      </c>
    </row>
    <row r="11" spans="1:18" x14ac:dyDescent="0.2">
      <c r="A11" s="177">
        <f t="shared" ref="A11:A30" si="0">+A10+1</f>
        <v>3</v>
      </c>
      <c r="B11" s="99" t="s">
        <v>60</v>
      </c>
      <c r="C11" s="228">
        <f>SUM(E11:Q11)</f>
        <v>1.0000000000000002</v>
      </c>
      <c r="D11" s="229"/>
      <c r="E11" s="228">
        <f t="shared" ref="E11:Q11" si="1">(E9/$C$9*$C$12+E10/$C$10*$C$13)</f>
        <v>0.53428267414961672</v>
      </c>
      <c r="F11" s="228">
        <f t="shared" si="1"/>
        <v>0.13098483852655646</v>
      </c>
      <c r="G11" s="228">
        <f t="shared" si="1"/>
        <v>0.13225029791791532</v>
      </c>
      <c r="H11" s="228">
        <f t="shared" si="1"/>
        <v>8.5533651911442882E-2</v>
      </c>
      <c r="I11" s="228">
        <f t="shared" si="1"/>
        <v>5.6502917113085652E-2</v>
      </c>
      <c r="J11" s="228">
        <f t="shared" si="1"/>
        <v>1.5470011013980859E-4</v>
      </c>
      <c r="K11" s="228">
        <f t="shared" si="1"/>
        <v>4.2011193022020825E-3</v>
      </c>
      <c r="L11" s="228">
        <f t="shared" si="1"/>
        <v>2.6600468875824963E-2</v>
      </c>
      <c r="M11" s="228">
        <f t="shared" si="1"/>
        <v>2.5535058472508355E-2</v>
      </c>
      <c r="N11" s="228">
        <f t="shared" si="1"/>
        <v>0</v>
      </c>
      <c r="O11" s="228">
        <f t="shared" si="1"/>
        <v>0</v>
      </c>
      <c r="P11" s="228">
        <f t="shared" si="1"/>
        <v>3.614248664337222E-3</v>
      </c>
      <c r="Q11" s="228">
        <f t="shared" si="1"/>
        <v>3.4002495637072092E-4</v>
      </c>
    </row>
    <row r="12" spans="1:18" x14ac:dyDescent="0.2">
      <c r="A12" s="177">
        <f t="shared" si="0"/>
        <v>4</v>
      </c>
      <c r="B12" s="100" t="s">
        <v>61</v>
      </c>
      <c r="C12" s="230">
        <v>0.75</v>
      </c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</row>
    <row r="13" spans="1:18" x14ac:dyDescent="0.2">
      <c r="A13" s="177">
        <f t="shared" si="0"/>
        <v>5</v>
      </c>
      <c r="B13" s="100" t="s">
        <v>62</v>
      </c>
      <c r="C13" s="230">
        <v>0.25</v>
      </c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</row>
    <row r="14" spans="1:18" x14ac:dyDescent="0.2">
      <c r="A14" s="177">
        <f t="shared" si="0"/>
        <v>6</v>
      </c>
      <c r="C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</row>
    <row r="15" spans="1:18" x14ac:dyDescent="0.2">
      <c r="A15" s="177">
        <f t="shared" si="0"/>
        <v>7</v>
      </c>
      <c r="B15" s="99" t="s">
        <v>104</v>
      </c>
      <c r="C15" s="231">
        <f>SUM(E15:Q15)</f>
        <v>2108200587.7086906</v>
      </c>
      <c r="E15" s="231">
        <v>1199530845.961303</v>
      </c>
      <c r="F15" s="231">
        <v>267214405.57393074</v>
      </c>
      <c r="G15" s="231">
        <v>251912322.65464625</v>
      </c>
      <c r="H15" s="231">
        <v>153008096.02665669</v>
      </c>
      <c r="I15" s="231">
        <v>104103146.19852759</v>
      </c>
      <c r="J15" s="231">
        <v>429180.35752772924</v>
      </c>
      <c r="K15" s="231">
        <v>10935459.949142268</v>
      </c>
      <c r="L15" s="231">
        <v>46953616.608873129</v>
      </c>
      <c r="M15" s="231">
        <v>42557366.967938654</v>
      </c>
      <c r="N15" s="231">
        <v>1121279.5765295029</v>
      </c>
      <c r="O15" s="231">
        <v>11216018.725058943</v>
      </c>
      <c r="P15" s="231">
        <v>18495472.952828079</v>
      </c>
      <c r="Q15" s="231">
        <v>723376.15572802676</v>
      </c>
    </row>
    <row r="16" spans="1:18" ht="10.199999999999999" customHeight="1" x14ac:dyDescent="0.2">
      <c r="A16" s="177">
        <f t="shared" si="0"/>
        <v>8</v>
      </c>
      <c r="B16" s="97"/>
    </row>
    <row r="17" spans="1:17" ht="10.95" customHeight="1" x14ac:dyDescent="0.2">
      <c r="A17" s="177">
        <f t="shared" si="0"/>
        <v>9</v>
      </c>
      <c r="B17" s="97" t="s">
        <v>257</v>
      </c>
      <c r="C17" s="231">
        <f>SUM(E17:Q17)</f>
        <v>111225825.98513673</v>
      </c>
      <c r="E17" s="231">
        <v>60792526.492355719</v>
      </c>
      <c r="F17" s="231">
        <v>16929189.203066148</v>
      </c>
      <c r="G17" s="231">
        <v>11900165.035182636</v>
      </c>
      <c r="H17" s="231">
        <v>7202400.4051362295</v>
      </c>
      <c r="I17" s="231">
        <v>5549720.1749180267</v>
      </c>
      <c r="J17" s="231">
        <v>22319.875382678936</v>
      </c>
      <c r="K17" s="231">
        <v>479441.21714901226</v>
      </c>
      <c r="L17" s="231">
        <v>2170923.4248753381</v>
      </c>
      <c r="M17" s="231">
        <v>4835975.8716102857</v>
      </c>
      <c r="N17" s="231">
        <v>2850.6248341625537</v>
      </c>
      <c r="O17" s="231">
        <v>875638.69411477575</v>
      </c>
      <c r="P17" s="231">
        <v>425733.74896333064</v>
      </c>
      <c r="Q17" s="231">
        <v>38941.217548381959</v>
      </c>
    </row>
    <row r="18" spans="1:17" x14ac:dyDescent="0.2">
      <c r="A18" s="177">
        <f t="shared" si="0"/>
        <v>10</v>
      </c>
      <c r="C18" s="231"/>
    </row>
    <row r="19" spans="1:17" x14ac:dyDescent="0.2">
      <c r="A19" s="177">
        <f t="shared" si="0"/>
        <v>11</v>
      </c>
      <c r="B19" s="97" t="s">
        <v>258</v>
      </c>
      <c r="C19" s="232">
        <v>556740939.36561978</v>
      </c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</row>
    <row r="20" spans="1:17" x14ac:dyDescent="0.2">
      <c r="A20" s="177">
        <f t="shared" si="0"/>
        <v>12</v>
      </c>
      <c r="B20" s="97"/>
      <c r="C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</row>
    <row r="21" spans="1:17" x14ac:dyDescent="0.2">
      <c r="A21" s="177">
        <f t="shared" si="0"/>
        <v>13</v>
      </c>
      <c r="B21" s="97" t="s">
        <v>259</v>
      </c>
      <c r="C21" s="232">
        <v>724517480.87919581</v>
      </c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</row>
    <row r="22" spans="1:17" x14ac:dyDescent="0.2">
      <c r="A22" s="177">
        <f t="shared" si="0"/>
        <v>14</v>
      </c>
      <c r="B22" s="97"/>
      <c r="C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</row>
    <row r="23" spans="1:17" x14ac:dyDescent="0.2">
      <c r="A23" s="177">
        <f t="shared" si="0"/>
        <v>15</v>
      </c>
      <c r="B23" s="99" t="s">
        <v>77</v>
      </c>
      <c r="C23" s="231">
        <f>SUM(E23:Q23)</f>
        <v>556740939.3656199</v>
      </c>
      <c r="E23" s="231">
        <f>+$C$19*E$11</f>
        <v>297457037.89283293</v>
      </c>
      <c r="F23" s="231">
        <f t="shared" ref="F23:Q23" si="2">+$C$19*F$11</f>
        <v>72924622.04392907</v>
      </c>
      <c r="G23" s="231">
        <f t="shared" si="2"/>
        <v>73629155.094203249</v>
      </c>
      <c r="H23" s="231">
        <f t="shared" si="2"/>
        <v>47620085.712548651</v>
      </c>
      <c r="I23" s="231">
        <f t="shared" si="2"/>
        <v>31457487.150437061</v>
      </c>
      <c r="J23" s="231">
        <f t="shared" si="2"/>
        <v>86127.884639201875</v>
      </c>
      <c r="K23" s="231">
        <f t="shared" si="2"/>
        <v>2338935.1066950243</v>
      </c>
      <c r="L23" s="231">
        <f t="shared" si="2"/>
        <v>14809570.029492723</v>
      </c>
      <c r="M23" s="231">
        <f t="shared" si="2"/>
        <v>14216412.44074033</v>
      </c>
      <c r="N23" s="231">
        <f>+$C$19*N$11</f>
        <v>0</v>
      </c>
      <c r="O23" s="231">
        <f t="shared" si="2"/>
        <v>0</v>
      </c>
      <c r="P23" s="231">
        <f t="shared" si="2"/>
        <v>2012200.1964840416</v>
      </c>
      <c r="Q23" s="231">
        <f t="shared" si="2"/>
        <v>189305.81361758904</v>
      </c>
    </row>
    <row r="24" spans="1:17" x14ac:dyDescent="0.2">
      <c r="A24" s="177">
        <f t="shared" si="0"/>
        <v>16</v>
      </c>
      <c r="B24" s="99" t="s">
        <v>78</v>
      </c>
      <c r="C24" s="231">
        <f>SUM(E24:Q24)</f>
        <v>724517480.87919605</v>
      </c>
      <c r="E24" s="231">
        <f t="shared" ref="E24:Q24" si="3">+$C$21*E$11</f>
        <v>387097137.15228051</v>
      </c>
      <c r="F24" s="231">
        <f t="shared" si="3"/>
        <v>94900805.242628917</v>
      </c>
      <c r="G24" s="231">
        <f t="shared" si="3"/>
        <v>95817652.693011165</v>
      </c>
      <c r="H24" s="231">
        <f t="shared" si="3"/>
        <v>61970626.013276607</v>
      </c>
      <c r="I24" s="231">
        <f t="shared" si="3"/>
        <v>40937351.169098817</v>
      </c>
      <c r="J24" s="231">
        <f t="shared" si="3"/>
        <v>112082.93409022826</v>
      </c>
      <c r="K24" s="231">
        <f t="shared" si="3"/>
        <v>3043784.3737044176</v>
      </c>
      <c r="L24" s="231">
        <f t="shared" si="3"/>
        <v>19272504.700118154</v>
      </c>
      <c r="M24" s="231">
        <f t="shared" si="3"/>
        <v>18500596.238604721</v>
      </c>
      <c r="N24" s="231">
        <f t="shared" si="3"/>
        <v>0</v>
      </c>
      <c r="O24" s="231">
        <f t="shared" si="3"/>
        <v>0</v>
      </c>
      <c r="P24" s="231">
        <f t="shared" si="3"/>
        <v>2618586.3375566024</v>
      </c>
      <c r="Q24" s="231">
        <f t="shared" si="3"/>
        <v>246354.02482577317</v>
      </c>
    </row>
    <row r="25" spans="1:17" x14ac:dyDescent="0.2">
      <c r="A25" s="177">
        <f t="shared" si="0"/>
        <v>17</v>
      </c>
      <c r="B25" s="100" t="s">
        <v>87</v>
      </c>
      <c r="C25" s="231">
        <f>SUM(E25:Q25)</f>
        <v>1281258420.2448158</v>
      </c>
      <c r="E25" s="231">
        <f>SUM(E23:E24)</f>
        <v>684554175.04511344</v>
      </c>
      <c r="F25" s="231">
        <f t="shared" ref="F25:Q25" si="4">SUM(F23:F24)</f>
        <v>167825427.28655797</v>
      </c>
      <c r="G25" s="231">
        <f t="shared" si="4"/>
        <v>169446807.7872144</v>
      </c>
      <c r="H25" s="231">
        <f t="shared" si="4"/>
        <v>109590711.72582525</v>
      </c>
      <c r="I25" s="231">
        <f t="shared" si="4"/>
        <v>72394838.319535881</v>
      </c>
      <c r="J25" s="231">
        <f t="shared" si="4"/>
        <v>198210.81872943015</v>
      </c>
      <c r="K25" s="231">
        <f t="shared" si="4"/>
        <v>5382719.4803994419</v>
      </c>
      <c r="L25" s="231">
        <f t="shared" si="4"/>
        <v>34082074.729610875</v>
      </c>
      <c r="M25" s="231">
        <f t="shared" si="4"/>
        <v>32717008.679345049</v>
      </c>
      <c r="N25" s="231">
        <f t="shared" si="4"/>
        <v>0</v>
      </c>
      <c r="O25" s="231">
        <f t="shared" si="4"/>
        <v>0</v>
      </c>
      <c r="P25" s="231">
        <f t="shared" si="4"/>
        <v>4630786.5340406438</v>
      </c>
      <c r="Q25" s="231">
        <f t="shared" si="4"/>
        <v>435659.83844336221</v>
      </c>
    </row>
    <row r="26" spans="1:17" x14ac:dyDescent="0.2">
      <c r="A26" s="177">
        <f t="shared" si="0"/>
        <v>18</v>
      </c>
      <c r="B26" s="97"/>
      <c r="C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</row>
    <row r="27" spans="1:17" s="101" customFormat="1" x14ac:dyDescent="0.2">
      <c r="A27" s="177">
        <f t="shared" si="0"/>
        <v>19</v>
      </c>
      <c r="B27" s="104" t="s">
        <v>73</v>
      </c>
    </row>
    <row r="28" spans="1:17" s="101" customFormat="1" x14ac:dyDescent="0.2">
      <c r="A28" s="177">
        <f t="shared" si="0"/>
        <v>20</v>
      </c>
      <c r="B28" s="104" t="s">
        <v>74</v>
      </c>
      <c r="C28" s="233">
        <f>SUM(E28:Q28)</f>
        <v>0.74999999999999989</v>
      </c>
      <c r="D28" s="233"/>
      <c r="E28" s="233">
        <f t="shared" ref="E28:Q28" si="5">ROUND(+$C$12*E9/$C$9,6)</f>
        <v>0.38195099999999998</v>
      </c>
      <c r="F28" s="233">
        <f t="shared" si="5"/>
        <v>0.1003</v>
      </c>
      <c r="G28" s="233">
        <f t="shared" si="5"/>
        <v>0.10355200000000001</v>
      </c>
      <c r="H28" s="233">
        <f t="shared" si="5"/>
        <v>6.8944000000000005E-2</v>
      </c>
      <c r="I28" s="233">
        <f t="shared" si="5"/>
        <v>4.514E-2</v>
      </c>
      <c r="J28" s="233">
        <f t="shared" si="5"/>
        <v>1.54E-4</v>
      </c>
      <c r="K28" s="233">
        <f t="shared" si="5"/>
        <v>4.2009999999999999E-3</v>
      </c>
      <c r="L28" s="233">
        <f t="shared" si="5"/>
        <v>2.1499999999999998E-2</v>
      </c>
      <c r="M28" s="233">
        <f t="shared" si="5"/>
        <v>2.1274000000000001E-2</v>
      </c>
      <c r="N28" s="233">
        <f t="shared" si="5"/>
        <v>0</v>
      </c>
      <c r="O28" s="233">
        <f t="shared" si="5"/>
        <v>0</v>
      </c>
      <c r="P28" s="233">
        <f t="shared" si="5"/>
        <v>2.7409999999999999E-3</v>
      </c>
      <c r="Q28" s="233">
        <f t="shared" si="5"/>
        <v>2.43E-4</v>
      </c>
    </row>
    <row r="29" spans="1:17" s="101" customFormat="1" x14ac:dyDescent="0.2">
      <c r="A29" s="177">
        <f t="shared" si="0"/>
        <v>21</v>
      </c>
      <c r="B29" s="104" t="s">
        <v>75</v>
      </c>
      <c r="C29" s="233">
        <f>SUM(E29:Q29)</f>
        <v>0.25</v>
      </c>
      <c r="D29" s="233"/>
      <c r="E29" s="233">
        <f>ROUND(+$C$13*E10/$C$10,6)-0.000001</f>
        <v>0.15233099999999999</v>
      </c>
      <c r="F29" s="233">
        <f t="shared" ref="F29:Q29" si="6">ROUND(+$C$13*F10/$C$10,6)</f>
        <v>3.0685E-2</v>
      </c>
      <c r="G29" s="233">
        <f t="shared" si="6"/>
        <v>2.8698000000000001E-2</v>
      </c>
      <c r="H29" s="233">
        <f t="shared" si="6"/>
        <v>1.6590000000000001E-2</v>
      </c>
      <c r="I29" s="233">
        <f t="shared" si="6"/>
        <v>1.1363E-2</v>
      </c>
      <c r="J29" s="233">
        <f t="shared" si="6"/>
        <v>0</v>
      </c>
      <c r="K29" s="233">
        <f t="shared" si="6"/>
        <v>0</v>
      </c>
      <c r="L29" s="233">
        <f t="shared" si="6"/>
        <v>5.1009999999999996E-3</v>
      </c>
      <c r="M29" s="233">
        <f t="shared" si="6"/>
        <v>4.261E-3</v>
      </c>
      <c r="N29" s="233">
        <f t="shared" si="6"/>
        <v>0</v>
      </c>
      <c r="O29" s="233">
        <f t="shared" si="6"/>
        <v>0</v>
      </c>
      <c r="P29" s="233">
        <f t="shared" si="6"/>
        <v>8.7399999999999999E-4</v>
      </c>
      <c r="Q29" s="233">
        <f t="shared" si="6"/>
        <v>9.7E-5</v>
      </c>
    </row>
    <row r="30" spans="1:17" s="101" customFormat="1" x14ac:dyDescent="0.2">
      <c r="A30" s="177">
        <f t="shared" si="0"/>
        <v>22</v>
      </c>
      <c r="B30" s="104" t="s">
        <v>76</v>
      </c>
      <c r="C30" s="233">
        <f>SUM(E30:Q30)</f>
        <v>0.99999999999999989</v>
      </c>
      <c r="E30" s="233">
        <f>SUM(E28:E29)</f>
        <v>0.53428199999999992</v>
      </c>
      <c r="F30" s="233">
        <f t="shared" ref="F30:Q30" si="7">SUM(F28:F29)</f>
        <v>0.13098499999999999</v>
      </c>
      <c r="G30" s="233">
        <f t="shared" si="7"/>
        <v>0.13225000000000001</v>
      </c>
      <c r="H30" s="233">
        <f t="shared" si="7"/>
        <v>8.5533999999999999E-2</v>
      </c>
      <c r="I30" s="233">
        <f t="shared" si="7"/>
        <v>5.6502999999999998E-2</v>
      </c>
      <c r="J30" s="233">
        <f t="shared" si="7"/>
        <v>1.54E-4</v>
      </c>
      <c r="K30" s="233">
        <f t="shared" si="7"/>
        <v>4.2009999999999999E-3</v>
      </c>
      <c r="L30" s="233">
        <f t="shared" si="7"/>
        <v>2.6601E-2</v>
      </c>
      <c r="M30" s="233">
        <f t="shared" si="7"/>
        <v>2.5535000000000002E-2</v>
      </c>
      <c r="N30" s="233">
        <f t="shared" si="7"/>
        <v>0</v>
      </c>
      <c r="O30" s="233">
        <f t="shared" si="7"/>
        <v>0</v>
      </c>
      <c r="P30" s="233">
        <f t="shared" si="7"/>
        <v>3.6150000000000002E-3</v>
      </c>
      <c r="Q30" s="233">
        <f t="shared" si="7"/>
        <v>3.4000000000000002E-4</v>
      </c>
    </row>
    <row r="31" spans="1:17" s="101" customFormat="1" x14ac:dyDescent="0.2">
      <c r="A31" s="177"/>
    </row>
    <row r="32" spans="1:17" x14ac:dyDescent="0.2">
      <c r="A32" s="105"/>
    </row>
    <row r="33" spans="1:1" x14ac:dyDescent="0.2">
      <c r="A33" s="105"/>
    </row>
    <row r="34" spans="1:1" x14ac:dyDescent="0.2">
      <c r="A34" s="105"/>
    </row>
    <row r="35" spans="1:1" x14ac:dyDescent="0.2">
      <c r="A35" s="105"/>
    </row>
    <row r="36" spans="1:1" x14ac:dyDescent="0.2">
      <c r="A36" s="105"/>
    </row>
    <row r="37" spans="1:1" x14ac:dyDescent="0.2">
      <c r="A37" s="105"/>
    </row>
    <row r="38" spans="1:1" x14ac:dyDescent="0.2">
      <c r="A38" s="105"/>
    </row>
    <row r="39" spans="1:1" x14ac:dyDescent="0.2">
      <c r="A39" s="105"/>
    </row>
    <row r="40" spans="1:1" x14ac:dyDescent="0.2">
      <c r="A40" s="105"/>
    </row>
    <row r="41" spans="1:1" x14ac:dyDescent="0.2">
      <c r="A41" s="105"/>
    </row>
    <row r="42" spans="1:1" x14ac:dyDescent="0.2">
      <c r="A42" s="105"/>
    </row>
    <row r="43" spans="1:1" x14ac:dyDescent="0.2">
      <c r="A43" s="105"/>
    </row>
    <row r="44" spans="1:1" x14ac:dyDescent="0.2">
      <c r="A44" s="105"/>
    </row>
    <row r="45" spans="1:1" x14ac:dyDescent="0.2">
      <c r="A45" s="105"/>
    </row>
    <row r="46" spans="1:1" x14ac:dyDescent="0.2">
      <c r="A46" s="105"/>
    </row>
    <row r="47" spans="1:1" x14ac:dyDescent="0.2">
      <c r="A47" s="105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&amp;R&amp;F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Normal="100" workbookViewId="0">
      <selection activeCell="B39" sqref="B39"/>
    </sheetView>
  </sheetViews>
  <sheetFormatPr defaultColWidth="9.109375" defaultRowHeight="10.199999999999999" x14ac:dyDescent="0.2"/>
  <cols>
    <col min="1" max="1" width="4.33203125" style="219" bestFit="1" customWidth="1"/>
    <col min="2" max="2" width="37.33203125" style="219" bestFit="1" customWidth="1"/>
    <col min="3" max="3" width="10.44140625" style="219" bestFit="1" customWidth="1"/>
    <col min="4" max="4" width="11.5546875" style="219" bestFit="1" customWidth="1"/>
    <col min="5" max="5" width="10.77734375" style="219" bestFit="1" customWidth="1"/>
    <col min="6" max="6" width="15.88671875" style="219" bestFit="1" customWidth="1"/>
    <col min="7" max="7" width="9.5546875" style="219" bestFit="1" customWidth="1"/>
    <col min="8" max="9" width="10.77734375" style="219" bestFit="1" customWidth="1"/>
    <col min="10" max="10" width="14.5546875" style="219" bestFit="1" customWidth="1"/>
    <col min="11" max="16384" width="9.109375" style="219"/>
  </cols>
  <sheetData>
    <row r="1" spans="1:17" ht="15" customHeight="1" x14ac:dyDescent="0.2">
      <c r="A1" s="265" t="s">
        <v>16</v>
      </c>
      <c r="B1" s="265"/>
      <c r="C1" s="265"/>
      <c r="D1" s="265"/>
      <c r="E1" s="265"/>
      <c r="F1" s="265"/>
      <c r="G1" s="265"/>
      <c r="H1" s="265"/>
      <c r="I1" s="265"/>
      <c r="J1" s="169"/>
      <c r="K1" s="169"/>
      <c r="L1" s="169"/>
      <c r="M1" s="169"/>
      <c r="N1" s="169"/>
      <c r="O1" s="169"/>
      <c r="P1" s="169"/>
      <c r="Q1" s="169"/>
    </row>
    <row r="2" spans="1:17" ht="15" customHeight="1" x14ac:dyDescent="0.2">
      <c r="A2" s="265" t="s">
        <v>254</v>
      </c>
      <c r="B2" s="265"/>
      <c r="C2" s="265"/>
      <c r="D2" s="265"/>
      <c r="E2" s="265"/>
      <c r="F2" s="265"/>
      <c r="G2" s="265"/>
      <c r="H2" s="265"/>
      <c r="I2" s="265"/>
      <c r="J2" s="169"/>
      <c r="K2" s="169"/>
      <c r="L2" s="169"/>
      <c r="M2" s="169"/>
      <c r="N2" s="169"/>
      <c r="O2" s="169"/>
      <c r="P2" s="169"/>
      <c r="Q2" s="169"/>
    </row>
    <row r="3" spans="1:17" ht="15" customHeight="1" x14ac:dyDescent="0.2">
      <c r="A3" s="265" t="s">
        <v>100</v>
      </c>
      <c r="B3" s="265"/>
      <c r="C3" s="265"/>
      <c r="D3" s="265"/>
      <c r="E3" s="265"/>
      <c r="F3" s="265"/>
      <c r="G3" s="265"/>
      <c r="H3" s="265"/>
      <c r="I3" s="265"/>
      <c r="J3" s="169"/>
      <c r="K3" s="169"/>
      <c r="L3" s="169"/>
      <c r="M3" s="169"/>
      <c r="N3" s="169"/>
      <c r="O3" s="169"/>
      <c r="P3" s="169"/>
      <c r="Q3" s="169"/>
    </row>
    <row r="4" spans="1:17" ht="15" customHeight="1" x14ac:dyDescent="0.2">
      <c r="A4" s="265" t="s">
        <v>89</v>
      </c>
      <c r="B4" s="265"/>
      <c r="C4" s="265"/>
      <c r="D4" s="265"/>
      <c r="E4" s="265"/>
      <c r="F4" s="265"/>
      <c r="G4" s="265"/>
      <c r="H4" s="265"/>
      <c r="I4" s="265"/>
      <c r="J4" s="169"/>
      <c r="K4" s="169"/>
      <c r="L4" s="169"/>
      <c r="M4" s="169"/>
      <c r="N4" s="169"/>
      <c r="O4" s="169"/>
      <c r="P4" s="169"/>
      <c r="Q4" s="169"/>
    </row>
    <row r="5" spans="1:17" ht="15" customHeight="1" x14ac:dyDescent="0.2">
      <c r="A5" s="170"/>
      <c r="B5" s="170"/>
      <c r="C5" s="170"/>
      <c r="D5" s="170"/>
      <c r="E5" s="170"/>
      <c r="F5" s="176"/>
      <c r="G5" s="176"/>
      <c r="H5" s="176"/>
      <c r="I5" s="169"/>
      <c r="J5" s="169"/>
      <c r="K5" s="169"/>
      <c r="L5" s="169"/>
      <c r="M5" s="169"/>
      <c r="N5" s="169"/>
      <c r="O5" s="169"/>
      <c r="P5" s="169"/>
      <c r="Q5" s="169"/>
    </row>
    <row r="6" spans="1:17" ht="15" customHeight="1" x14ac:dyDescent="0.2">
      <c r="A6" s="220"/>
      <c r="B6" s="220"/>
      <c r="C6" s="220"/>
      <c r="D6" s="220"/>
      <c r="E6" s="220"/>
      <c r="F6" s="220"/>
      <c r="G6" s="220"/>
      <c r="H6" s="220"/>
    </row>
    <row r="7" spans="1:17" ht="15" customHeight="1" x14ac:dyDescent="0.2">
      <c r="A7" s="206" t="s">
        <v>65</v>
      </c>
      <c r="B7" s="220"/>
      <c r="C7" s="220"/>
      <c r="D7" s="176" t="s">
        <v>67</v>
      </c>
      <c r="E7" s="176" t="s">
        <v>68</v>
      </c>
      <c r="F7" s="176" t="s">
        <v>68</v>
      </c>
      <c r="G7" s="176" t="s">
        <v>32</v>
      </c>
      <c r="H7" s="176" t="s">
        <v>68</v>
      </c>
      <c r="I7" s="176" t="s">
        <v>68</v>
      </c>
    </row>
    <row r="8" spans="1:17" ht="15" customHeight="1" x14ac:dyDescent="0.2">
      <c r="A8" s="207" t="s">
        <v>66</v>
      </c>
      <c r="B8" s="221"/>
      <c r="C8" s="208" t="s">
        <v>14</v>
      </c>
      <c r="D8" s="209">
        <v>7</v>
      </c>
      <c r="E8" s="209" t="s">
        <v>39</v>
      </c>
      <c r="F8" s="209" t="s">
        <v>69</v>
      </c>
      <c r="G8" s="209">
        <v>40</v>
      </c>
      <c r="H8" s="209" t="s">
        <v>40</v>
      </c>
      <c r="I8" s="209" t="s">
        <v>41</v>
      </c>
    </row>
    <row r="9" spans="1:17" ht="15" customHeight="1" x14ac:dyDescent="0.2">
      <c r="A9" s="178"/>
      <c r="B9" s="179" t="s">
        <v>13</v>
      </c>
      <c r="C9" s="179" t="s">
        <v>12</v>
      </c>
      <c r="D9" s="179" t="s">
        <v>11</v>
      </c>
      <c r="E9" s="179" t="s">
        <v>10</v>
      </c>
      <c r="F9" s="179" t="s">
        <v>9</v>
      </c>
      <c r="G9" s="179" t="s">
        <v>8</v>
      </c>
      <c r="H9" s="179" t="s">
        <v>7</v>
      </c>
      <c r="I9" s="179" t="s">
        <v>6</v>
      </c>
    </row>
    <row r="10" spans="1:17" ht="15" customHeight="1" x14ac:dyDescent="0.2">
      <c r="A10" s="179"/>
      <c r="B10" s="184"/>
      <c r="C10" s="179"/>
      <c r="D10" s="179"/>
      <c r="E10" s="179"/>
      <c r="F10" s="179"/>
      <c r="G10" s="179"/>
    </row>
    <row r="11" spans="1:17" ht="15" customHeight="1" x14ac:dyDescent="0.2">
      <c r="A11" s="179">
        <v>1</v>
      </c>
      <c r="B11" s="178" t="s">
        <v>88</v>
      </c>
      <c r="C11" s="191" t="s">
        <v>96</v>
      </c>
      <c r="D11" s="222">
        <f>'JAP-10 Page 1'!$D$15</f>
        <v>297457037.89283293</v>
      </c>
      <c r="E11" s="222">
        <f>'JAP-10 Page 1'!$E$15</f>
        <v>72924622.043929055</v>
      </c>
      <c r="F11" s="222">
        <f>'JAP-10 Page 1'!$F$15</f>
        <v>76054218.085537449</v>
      </c>
      <c r="G11" s="222">
        <f>'JAP-10 Page 1'!$G$15</f>
        <v>14809570.029492721</v>
      </c>
      <c r="H11" s="222">
        <f>'JAP-10 Page 1'!$H$15</f>
        <v>47620085.712548643</v>
      </c>
      <c r="I11" s="222">
        <f>'JAP-10 Page 1'!$I$15</f>
        <v>31457487.150437064</v>
      </c>
    </row>
    <row r="12" spans="1:17" ht="15" customHeight="1" x14ac:dyDescent="0.2">
      <c r="A12" s="179">
        <f t="shared" ref="A12:A15" si="0">A11+1</f>
        <v>2</v>
      </c>
      <c r="B12" s="178"/>
      <c r="C12" s="178"/>
      <c r="D12" s="223"/>
      <c r="E12" s="223"/>
      <c r="F12" s="223"/>
      <c r="G12" s="223"/>
      <c r="H12" s="223"/>
      <c r="I12" s="223"/>
    </row>
    <row r="13" spans="1:17" ht="15" customHeight="1" x14ac:dyDescent="0.2">
      <c r="A13" s="179">
        <f t="shared" si="0"/>
        <v>3</v>
      </c>
      <c r="B13" s="178" t="s">
        <v>64</v>
      </c>
      <c r="C13" s="179" t="s">
        <v>244</v>
      </c>
      <c r="D13" s="187">
        <f>'Summary Normal Monthly kWh'!D12</f>
        <v>10657340059.648607</v>
      </c>
      <c r="E13" s="187">
        <f>'Summary Normal Monthly kWh'!D14</f>
        <v>2769974283.3973689</v>
      </c>
      <c r="F13" s="187">
        <f>'Summary Normal Monthly kWh'!D13+'Summary Normal Monthly kWh'!D15+'Summary Normal Monthly kWh'!D17+'Summary Normal Monthly kWh'!D20+'Summary Normal Monthly kWh'!D19</f>
        <v>3107743561.5533671</v>
      </c>
      <c r="G13" s="187">
        <f>'Summary Normal Monthly kWh'!D21</f>
        <v>534767436.60406774</v>
      </c>
      <c r="H13" s="187">
        <f>'Summary Normal Monthly kWh'!D16</f>
        <v>1872505862.9326141</v>
      </c>
      <c r="I13" s="187">
        <f>'Summary Normal Monthly kWh'!D18</f>
        <v>1321181417.5556166</v>
      </c>
    </row>
    <row r="14" spans="1:17" ht="15" customHeight="1" x14ac:dyDescent="0.2">
      <c r="A14" s="179">
        <f t="shared" si="0"/>
        <v>4</v>
      </c>
      <c r="B14" s="178"/>
      <c r="C14" s="178"/>
      <c r="D14" s="223"/>
      <c r="E14" s="223"/>
      <c r="F14" s="223"/>
      <c r="G14" s="223"/>
      <c r="H14" s="223"/>
      <c r="I14" s="223"/>
    </row>
    <row r="15" spans="1:17" ht="15" customHeight="1" x14ac:dyDescent="0.2">
      <c r="A15" s="179">
        <f t="shared" si="0"/>
        <v>5</v>
      </c>
      <c r="B15" s="178" t="s">
        <v>79</v>
      </c>
      <c r="C15" s="179" t="str">
        <f>"("&amp;A11&amp;") / ("&amp;A13&amp;")"</f>
        <v>(1) / (3)</v>
      </c>
      <c r="D15" s="224">
        <f>ROUND(D11/D13,6)</f>
        <v>2.7910999999999998E-2</v>
      </c>
      <c r="E15" s="224">
        <f>ROUND(E11/E13,6)</f>
        <v>2.6327E-2</v>
      </c>
      <c r="F15" s="224">
        <f t="shared" ref="F15:I15" si="1">ROUND(F11/F13,6)</f>
        <v>2.4472000000000001E-2</v>
      </c>
      <c r="G15" s="224">
        <f t="shared" si="1"/>
        <v>2.7692999999999999E-2</v>
      </c>
      <c r="H15" s="224">
        <f t="shared" si="1"/>
        <v>2.5430999999999999E-2</v>
      </c>
      <c r="I15" s="224">
        <f t="shared" si="1"/>
        <v>2.3810000000000001E-2</v>
      </c>
    </row>
    <row r="16" spans="1:17" x14ac:dyDescent="0.2">
      <c r="A16" s="220"/>
      <c r="B16" s="220"/>
      <c r="C16" s="220"/>
      <c r="D16" s="220"/>
      <c r="E16" s="220"/>
      <c r="F16" s="220"/>
      <c r="G16" s="220"/>
      <c r="H16" s="220"/>
      <c r="I16" s="220"/>
    </row>
    <row r="18" spans="4:9" x14ac:dyDescent="0.2">
      <c r="D18" s="225"/>
      <c r="E18" s="225"/>
      <c r="F18" s="225"/>
      <c r="G18" s="225"/>
      <c r="H18" s="225"/>
      <c r="I18" s="225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zoomScaleNormal="100" workbookViewId="0">
      <pane xSplit="3" ySplit="7" topLeftCell="D28" activePane="bottomRight" state="frozen"/>
      <selection activeCell="F13" sqref="F13"/>
      <selection pane="topRight" activeCell="F13" sqref="F13"/>
      <selection pane="bottomLeft" activeCell="F13" sqref="F13"/>
      <selection pane="bottomRight" activeCell="F41" sqref="F41"/>
    </sheetView>
  </sheetViews>
  <sheetFormatPr defaultColWidth="8.88671875" defaultRowHeight="10.199999999999999" x14ac:dyDescent="0.2"/>
  <cols>
    <col min="1" max="1" width="6.109375" style="116" bestFit="1" customWidth="1"/>
    <col min="2" max="2" width="9.33203125" style="116" bestFit="1" customWidth="1"/>
    <col min="3" max="3" width="8.88671875" style="116"/>
    <col min="4" max="4" width="12.88671875" style="116" bestFit="1" customWidth="1"/>
    <col min="5" max="16" width="12" style="116" bestFit="1" customWidth="1"/>
    <col min="17" max="16384" width="8.88671875" style="116"/>
  </cols>
  <sheetData>
    <row r="1" spans="1:16" x14ac:dyDescent="0.2">
      <c r="A1" s="280" t="s">
        <v>16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x14ac:dyDescent="0.2">
      <c r="A2" s="280" t="s">
        <v>186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x14ac:dyDescent="0.2">
      <c r="A3" s="280" t="s">
        <v>242</v>
      </c>
      <c r="B3" s="281"/>
      <c r="C3" s="281"/>
      <c r="D3" s="281"/>
      <c r="E3" s="281"/>
      <c r="F3" s="281"/>
      <c r="G3" s="281"/>
      <c r="H3" s="281"/>
      <c r="I3" s="281" t="s">
        <v>241</v>
      </c>
      <c r="J3" s="281"/>
      <c r="K3" s="281"/>
      <c r="L3" s="281"/>
      <c r="M3" s="281"/>
      <c r="N3" s="281"/>
      <c r="O3" s="281"/>
      <c r="P3" s="281"/>
    </row>
    <row r="4" spans="1:16" x14ac:dyDescent="0.2">
      <c r="A4" s="280" t="s">
        <v>187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</row>
    <row r="5" spans="1:16" x14ac:dyDescent="0.2">
      <c r="A5" s="280" t="s">
        <v>188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</row>
    <row r="6" spans="1:16" x14ac:dyDescent="0.2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0.95" thickBot="1" x14ac:dyDescent="0.25">
      <c r="A7" s="118" t="s">
        <v>15</v>
      </c>
      <c r="B7" s="118" t="s">
        <v>189</v>
      </c>
      <c r="C7" s="118"/>
      <c r="D7" s="119" t="s">
        <v>173</v>
      </c>
      <c r="E7" s="119">
        <v>43101</v>
      </c>
      <c r="F7" s="119">
        <v>43132</v>
      </c>
      <c r="G7" s="119">
        <v>43160</v>
      </c>
      <c r="H7" s="119">
        <v>43191</v>
      </c>
      <c r="I7" s="119">
        <v>43221</v>
      </c>
      <c r="J7" s="119">
        <v>43252</v>
      </c>
      <c r="K7" s="119">
        <v>42917</v>
      </c>
      <c r="L7" s="119">
        <v>42948</v>
      </c>
      <c r="M7" s="119">
        <v>42979</v>
      </c>
      <c r="N7" s="119">
        <v>43009</v>
      </c>
      <c r="O7" s="119">
        <v>43040</v>
      </c>
      <c r="P7" s="119">
        <v>43070</v>
      </c>
    </row>
    <row r="8" spans="1:16" ht="10.95" thickBot="1" x14ac:dyDescent="0.25">
      <c r="A8" s="120"/>
      <c r="B8" s="120"/>
      <c r="C8" s="120"/>
      <c r="D8" s="282" t="s">
        <v>190</v>
      </c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</row>
    <row r="9" spans="1:16" x14ac:dyDescent="0.2">
      <c r="A9" s="121">
        <v>1</v>
      </c>
      <c r="B9" s="121"/>
      <c r="C9" s="121"/>
      <c r="D9" s="122">
        <f>SUM(E9:P9)</f>
        <v>20976300301.566383</v>
      </c>
      <c r="E9" s="122">
        <f>+E27-E25</f>
        <v>2127307100.9272141</v>
      </c>
      <c r="F9" s="122">
        <f t="shared" ref="F9:P9" si="0">+F27-F25</f>
        <v>1936292192.0595965</v>
      </c>
      <c r="G9" s="122">
        <f t="shared" si="0"/>
        <v>1876242962.1028156</v>
      </c>
      <c r="H9" s="122">
        <f t="shared" si="0"/>
        <v>1664425379.2827728</v>
      </c>
      <c r="I9" s="122">
        <f t="shared" si="0"/>
        <v>1521520654.6451561</v>
      </c>
      <c r="J9" s="122">
        <f t="shared" si="0"/>
        <v>1466324974.235981</v>
      </c>
      <c r="K9" s="122">
        <f t="shared" si="0"/>
        <v>1546417568.9699984</v>
      </c>
      <c r="L9" s="122">
        <f t="shared" si="0"/>
        <v>1595828465.6938763</v>
      </c>
      <c r="M9" s="122">
        <f t="shared" si="0"/>
        <v>1470708241.4249635</v>
      </c>
      <c r="N9" s="122">
        <f t="shared" si="0"/>
        <v>1685650087.544313</v>
      </c>
      <c r="O9" s="122">
        <f t="shared" si="0"/>
        <v>1887727793.6927943</v>
      </c>
      <c r="P9" s="122">
        <f t="shared" si="0"/>
        <v>2197854880.9869041</v>
      </c>
    </row>
    <row r="10" spans="1:16" ht="10.8" thickBot="1" x14ac:dyDescent="0.25">
      <c r="A10" s="123">
        <f>+A9+1</f>
        <v>2</v>
      </c>
      <c r="B10" s="123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1:16" ht="10.8" thickBot="1" x14ac:dyDescent="0.25">
      <c r="A11" s="123">
        <f t="shared" ref="A11:A74" si="1">+A10+1</f>
        <v>3</v>
      </c>
      <c r="B11" s="125"/>
      <c r="C11" s="125"/>
      <c r="D11" s="277" t="s">
        <v>191</v>
      </c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9"/>
    </row>
    <row r="12" spans="1:16" x14ac:dyDescent="0.2">
      <c r="A12" s="123">
        <f t="shared" si="1"/>
        <v>4</v>
      </c>
      <c r="B12" s="123">
        <v>7</v>
      </c>
      <c r="C12" s="123"/>
      <c r="D12" s="124">
        <f>SUM(E12:P12)</f>
        <v>10657340059.648607</v>
      </c>
      <c r="E12" s="124">
        <f>SUM(E30,E48,E66)</f>
        <v>1217809396.3717051</v>
      </c>
      <c r="F12" s="124">
        <f t="shared" ref="F12:P12" si="2">SUM(F30,F48,F66)</f>
        <v>1029221052.455801</v>
      </c>
      <c r="G12" s="124">
        <f t="shared" si="2"/>
        <v>1042285607.8058866</v>
      </c>
      <c r="H12" s="124">
        <f t="shared" si="2"/>
        <v>848382820.3486625</v>
      </c>
      <c r="I12" s="124">
        <f t="shared" si="2"/>
        <v>682087265.04118538</v>
      </c>
      <c r="J12" s="124">
        <f t="shared" si="2"/>
        <v>662181951.97669625</v>
      </c>
      <c r="K12" s="124">
        <f t="shared" si="2"/>
        <v>683028854.42198575</v>
      </c>
      <c r="L12" s="124">
        <f t="shared" si="2"/>
        <v>689494898.41436493</v>
      </c>
      <c r="M12" s="124">
        <f t="shared" si="2"/>
        <v>658439734.18934715</v>
      </c>
      <c r="N12" s="124">
        <f t="shared" si="2"/>
        <v>840421026.72084284</v>
      </c>
      <c r="O12" s="124">
        <f t="shared" si="2"/>
        <v>1034613281.7917739</v>
      </c>
      <c r="P12" s="124">
        <f t="shared" si="2"/>
        <v>1269374170.1103554</v>
      </c>
    </row>
    <row r="13" spans="1:16" x14ac:dyDescent="0.2">
      <c r="A13" s="123">
        <f t="shared" si="1"/>
        <v>5</v>
      </c>
      <c r="B13" s="123" t="s">
        <v>192</v>
      </c>
      <c r="C13" s="123"/>
      <c r="D13" s="124">
        <f t="shared" ref="D13:D26" si="3">SUM(E13:P13)</f>
        <v>2461200</v>
      </c>
      <c r="E13" s="124">
        <f t="shared" ref="E13:P26" si="4">SUM(E31,E49,E67)</f>
        <v>236183</v>
      </c>
      <c r="F13" s="124">
        <f t="shared" si="4"/>
        <v>219300</v>
      </c>
      <c r="G13" s="124">
        <f t="shared" si="4"/>
        <v>201900</v>
      </c>
      <c r="H13" s="124">
        <f t="shared" si="4"/>
        <v>175200</v>
      </c>
      <c r="I13" s="124">
        <f t="shared" si="4"/>
        <v>169200</v>
      </c>
      <c r="J13" s="124">
        <f t="shared" si="4"/>
        <v>178500</v>
      </c>
      <c r="K13" s="124">
        <f t="shared" si="4"/>
        <v>211800</v>
      </c>
      <c r="L13" s="124">
        <f t="shared" si="4"/>
        <v>226800</v>
      </c>
      <c r="M13" s="124">
        <f t="shared" si="4"/>
        <v>185700</v>
      </c>
      <c r="N13" s="124">
        <f t="shared" si="4"/>
        <v>182700</v>
      </c>
      <c r="O13" s="124">
        <f t="shared" si="4"/>
        <v>215100</v>
      </c>
      <c r="P13" s="124">
        <f t="shared" si="4"/>
        <v>258817</v>
      </c>
    </row>
    <row r="14" spans="1:16" x14ac:dyDescent="0.2">
      <c r="A14" s="123">
        <f t="shared" si="1"/>
        <v>6</v>
      </c>
      <c r="B14" s="126" t="s">
        <v>193</v>
      </c>
      <c r="C14" s="126"/>
      <c r="D14" s="124">
        <f t="shared" si="3"/>
        <v>2769974283.3973689</v>
      </c>
      <c r="E14" s="124">
        <f t="shared" si="4"/>
        <v>268307038.57199278</v>
      </c>
      <c r="F14" s="124">
        <f t="shared" si="4"/>
        <v>227207898.53795847</v>
      </c>
      <c r="G14" s="124">
        <f t="shared" si="4"/>
        <v>244652400.50093108</v>
      </c>
      <c r="H14" s="124">
        <f t="shared" si="4"/>
        <v>211402682.75275233</v>
      </c>
      <c r="I14" s="124">
        <f t="shared" si="4"/>
        <v>207943010.22681922</v>
      </c>
      <c r="J14" s="124">
        <f t="shared" si="4"/>
        <v>200088798.37976211</v>
      </c>
      <c r="K14" s="124">
        <f t="shared" si="4"/>
        <v>224981849.41511604</v>
      </c>
      <c r="L14" s="124">
        <f t="shared" si="4"/>
        <v>236629518.22228226</v>
      </c>
      <c r="M14" s="124">
        <f t="shared" si="4"/>
        <v>211269345.82597348</v>
      </c>
      <c r="N14" s="124">
        <f t="shared" si="4"/>
        <v>222924321.4157142</v>
      </c>
      <c r="O14" s="124">
        <f t="shared" si="4"/>
        <v>241969138.58819419</v>
      </c>
      <c r="P14" s="124">
        <f t="shared" si="4"/>
        <v>272598280.9598729</v>
      </c>
    </row>
    <row r="15" spans="1:16" x14ac:dyDescent="0.2">
      <c r="A15" s="123">
        <f t="shared" si="1"/>
        <v>7</v>
      </c>
      <c r="B15" s="126" t="s">
        <v>194</v>
      </c>
      <c r="C15" s="126"/>
      <c r="D15" s="124">
        <f t="shared" si="3"/>
        <v>2960203591.2199502</v>
      </c>
      <c r="E15" s="124">
        <f t="shared" si="4"/>
        <v>269580256.97422779</v>
      </c>
      <c r="F15" s="124">
        <f t="shared" si="4"/>
        <v>246747447.11701408</v>
      </c>
      <c r="G15" s="124">
        <f t="shared" si="4"/>
        <v>263287103.34267157</v>
      </c>
      <c r="H15" s="124">
        <f t="shared" si="4"/>
        <v>240157077.73810959</v>
      </c>
      <c r="I15" s="124">
        <f t="shared" si="4"/>
        <v>244834294.67130384</v>
      </c>
      <c r="J15" s="124">
        <f t="shared" si="4"/>
        <v>229064874.43729019</v>
      </c>
      <c r="K15" s="124">
        <f t="shared" si="4"/>
        <v>239829030.91989458</v>
      </c>
      <c r="L15" s="124">
        <f t="shared" si="4"/>
        <v>253838364.91584474</v>
      </c>
      <c r="M15" s="124">
        <f t="shared" si="4"/>
        <v>229076138.13312709</v>
      </c>
      <c r="N15" s="124">
        <f t="shared" si="4"/>
        <v>235734176.93902749</v>
      </c>
      <c r="O15" s="124">
        <f t="shared" si="4"/>
        <v>243822385.81058389</v>
      </c>
      <c r="P15" s="124">
        <f t="shared" si="4"/>
        <v>264232440.22085553</v>
      </c>
    </row>
    <row r="16" spans="1:16" x14ac:dyDescent="0.2">
      <c r="A16" s="123">
        <f t="shared" si="1"/>
        <v>8</v>
      </c>
      <c r="B16" s="126" t="s">
        <v>195</v>
      </c>
      <c r="C16" s="126"/>
      <c r="D16" s="124">
        <f t="shared" si="3"/>
        <v>1872505862.9326141</v>
      </c>
      <c r="E16" s="124">
        <f t="shared" si="4"/>
        <v>139346518.61467844</v>
      </c>
      <c r="F16" s="124">
        <f t="shared" si="4"/>
        <v>169196589.8632482</v>
      </c>
      <c r="G16" s="124">
        <f t="shared" si="4"/>
        <v>150010041.24672765</v>
      </c>
      <c r="H16" s="124">
        <f t="shared" si="4"/>
        <v>147880845.09164891</v>
      </c>
      <c r="I16" s="124">
        <f t="shared" si="4"/>
        <v>157388825.39053777</v>
      </c>
      <c r="J16" s="124">
        <f t="shared" si="4"/>
        <v>158782240.87865049</v>
      </c>
      <c r="K16" s="124">
        <f t="shared" si="4"/>
        <v>161963003.24104062</v>
      </c>
      <c r="L16" s="124">
        <f t="shared" si="4"/>
        <v>172512622.08313176</v>
      </c>
      <c r="M16" s="124">
        <f t="shared" si="4"/>
        <v>151286265.25392488</v>
      </c>
      <c r="N16" s="124">
        <f t="shared" si="4"/>
        <v>155619020.68197143</v>
      </c>
      <c r="O16" s="124">
        <f t="shared" si="4"/>
        <v>149475216.60872561</v>
      </c>
      <c r="P16" s="124">
        <f t="shared" si="4"/>
        <v>159044673.9783285</v>
      </c>
    </row>
    <row r="17" spans="1:16" x14ac:dyDescent="0.2">
      <c r="A17" s="123">
        <f t="shared" si="1"/>
        <v>9</v>
      </c>
      <c r="B17" s="123">
        <v>29</v>
      </c>
      <c r="C17" s="123"/>
      <c r="D17" s="124">
        <f t="shared" si="3"/>
        <v>18243126.113172628</v>
      </c>
      <c r="E17" s="124">
        <f t="shared" si="4"/>
        <v>104890.48912473867</v>
      </c>
      <c r="F17" s="124">
        <f t="shared" si="4"/>
        <v>237835.78571428574</v>
      </c>
      <c r="G17" s="124">
        <f t="shared" si="4"/>
        <v>1166730.22</v>
      </c>
      <c r="H17" s="124">
        <f t="shared" si="4"/>
        <v>-274887.41428571427</v>
      </c>
      <c r="I17" s="124">
        <f t="shared" si="4"/>
        <v>3173667.7041396182</v>
      </c>
      <c r="J17" s="124">
        <f t="shared" si="4"/>
        <v>2871905.0985184493</v>
      </c>
      <c r="K17" s="124">
        <f t="shared" si="4"/>
        <v>4284696.9402786531</v>
      </c>
      <c r="L17" s="124">
        <f t="shared" si="4"/>
        <v>3869908.2541589448</v>
      </c>
      <c r="M17" s="124">
        <f t="shared" si="4"/>
        <v>1791787.8150540767</v>
      </c>
      <c r="N17" s="124">
        <f t="shared" si="4"/>
        <v>331230.4601369265</v>
      </c>
      <c r="O17" s="124">
        <f t="shared" si="4"/>
        <v>935767.25303025974</v>
      </c>
      <c r="P17" s="124">
        <f t="shared" si="4"/>
        <v>-250406.49269761029</v>
      </c>
    </row>
    <row r="18" spans="1:16" x14ac:dyDescent="0.2">
      <c r="A18" s="123">
        <f t="shared" si="1"/>
        <v>10</v>
      </c>
      <c r="B18" s="126" t="s">
        <v>196</v>
      </c>
      <c r="C18" s="126"/>
      <c r="D18" s="124">
        <f t="shared" si="3"/>
        <v>1321181417.5556166</v>
      </c>
      <c r="E18" s="124">
        <f t="shared" si="4"/>
        <v>116357804.31682949</v>
      </c>
      <c r="F18" s="124">
        <f t="shared" si="4"/>
        <v>106799823.63999447</v>
      </c>
      <c r="G18" s="124">
        <f t="shared" si="4"/>
        <v>108370141.19940454</v>
      </c>
      <c r="H18" s="124">
        <f t="shared" si="4"/>
        <v>108232520.85807905</v>
      </c>
      <c r="I18" s="124">
        <f t="shared" si="4"/>
        <v>107369808.52671531</v>
      </c>
      <c r="J18" s="124">
        <f t="shared" si="4"/>
        <v>110261534.35019031</v>
      </c>
      <c r="K18" s="124">
        <f t="shared" si="4"/>
        <v>108136883.26298967</v>
      </c>
      <c r="L18" s="124">
        <f t="shared" si="4"/>
        <v>122980590.99953152</v>
      </c>
      <c r="M18" s="124">
        <f t="shared" si="4"/>
        <v>103000251.73436414</v>
      </c>
      <c r="N18" s="124">
        <f t="shared" si="4"/>
        <v>111145932.18776457</v>
      </c>
      <c r="O18" s="124">
        <f t="shared" si="4"/>
        <v>107430707.51726645</v>
      </c>
      <c r="P18" s="124">
        <f t="shared" si="4"/>
        <v>111095418.96248728</v>
      </c>
    </row>
    <row r="19" spans="1:16" x14ac:dyDescent="0.2">
      <c r="A19" s="123">
        <f t="shared" si="1"/>
        <v>11</v>
      </c>
      <c r="B19" s="123">
        <v>35</v>
      </c>
      <c r="C19" s="123"/>
      <c r="D19" s="124">
        <f t="shared" si="3"/>
        <v>3789480</v>
      </c>
      <c r="E19" s="124">
        <f t="shared" si="4"/>
        <v>6000</v>
      </c>
      <c r="F19" s="124">
        <f t="shared" si="4"/>
        <v>4800</v>
      </c>
      <c r="G19" s="124">
        <f t="shared" si="4"/>
        <v>0</v>
      </c>
      <c r="H19" s="124">
        <f t="shared" si="4"/>
        <v>2497</v>
      </c>
      <c r="I19" s="124">
        <f t="shared" si="4"/>
        <v>357863</v>
      </c>
      <c r="J19" s="124">
        <f t="shared" si="4"/>
        <v>628320</v>
      </c>
      <c r="K19" s="124">
        <f t="shared" si="4"/>
        <v>991200</v>
      </c>
      <c r="L19" s="124">
        <f t="shared" si="4"/>
        <v>849000</v>
      </c>
      <c r="M19" s="124">
        <f t="shared" si="4"/>
        <v>651000</v>
      </c>
      <c r="N19" s="124">
        <f t="shared" si="4"/>
        <v>289800</v>
      </c>
      <c r="O19" s="124">
        <f t="shared" si="4"/>
        <v>3000</v>
      </c>
      <c r="P19" s="124">
        <f t="shared" si="4"/>
        <v>6000</v>
      </c>
    </row>
    <row r="20" spans="1:16" x14ac:dyDescent="0.2">
      <c r="A20" s="123">
        <f t="shared" si="1"/>
        <v>12</v>
      </c>
      <c r="B20" s="123">
        <v>43</v>
      </c>
      <c r="C20" s="123"/>
      <c r="D20" s="124">
        <f t="shared" si="3"/>
        <v>123046164.22024453</v>
      </c>
      <c r="E20" s="124">
        <f t="shared" si="4"/>
        <v>13934884.729803579</v>
      </c>
      <c r="F20" s="124">
        <f t="shared" si="4"/>
        <v>14814738.022137294</v>
      </c>
      <c r="G20" s="124">
        <f t="shared" si="4"/>
        <v>13089930.003024999</v>
      </c>
      <c r="H20" s="124">
        <f t="shared" si="4"/>
        <v>10162465.160215735</v>
      </c>
      <c r="I20" s="124">
        <f t="shared" si="4"/>
        <v>8518106.0387213267</v>
      </c>
      <c r="J20" s="124">
        <f t="shared" si="4"/>
        <v>6932709.5429803655</v>
      </c>
      <c r="K20" s="124">
        <f t="shared" si="4"/>
        <v>5427589.7477672324</v>
      </c>
      <c r="L20" s="124">
        <f t="shared" si="4"/>
        <v>6912106.6465661293</v>
      </c>
      <c r="M20" s="124">
        <f t="shared" si="4"/>
        <v>6993267.0587057704</v>
      </c>
      <c r="N20" s="124">
        <f t="shared" si="4"/>
        <v>10171159.926674768</v>
      </c>
      <c r="O20" s="124">
        <f t="shared" si="4"/>
        <v>12244505.219712134</v>
      </c>
      <c r="P20" s="124">
        <f t="shared" si="4"/>
        <v>13844702.123935174</v>
      </c>
    </row>
    <row r="21" spans="1:16" x14ac:dyDescent="0.2">
      <c r="A21" s="123">
        <f t="shared" si="1"/>
        <v>13</v>
      </c>
      <c r="B21" s="123">
        <v>40</v>
      </c>
      <c r="C21" s="123"/>
      <c r="D21" s="127">
        <f t="shared" si="3"/>
        <v>534767436.60406774</v>
      </c>
      <c r="E21" s="127">
        <f t="shared" si="4"/>
        <v>43421693.337666631</v>
      </c>
      <c r="F21" s="127">
        <f t="shared" si="4"/>
        <v>39770860.813243046</v>
      </c>
      <c r="G21" s="127">
        <f t="shared" si="4"/>
        <v>40691019.266715772</v>
      </c>
      <c r="H21" s="127">
        <f t="shared" si="4"/>
        <v>44812754.65020173</v>
      </c>
      <c r="I21" s="127">
        <f t="shared" si="4"/>
        <v>41305701.634680897</v>
      </c>
      <c r="J21" s="127">
        <f t="shared" si="4"/>
        <v>38069361.050450101</v>
      </c>
      <c r="K21" s="127">
        <f t="shared" si="4"/>
        <v>50913265.541981056</v>
      </c>
      <c r="L21" s="127">
        <f t="shared" si="4"/>
        <v>50212645.794358425</v>
      </c>
      <c r="M21" s="127">
        <f t="shared" si="4"/>
        <v>48165570.860954307</v>
      </c>
      <c r="N21" s="127">
        <f t="shared" si="4"/>
        <v>46776939.313044958</v>
      </c>
      <c r="O21" s="127">
        <f t="shared" si="4"/>
        <v>43352576.854941517</v>
      </c>
      <c r="P21" s="127">
        <f t="shared" si="4"/>
        <v>47275047.485829301</v>
      </c>
    </row>
    <row r="22" spans="1:16" x14ac:dyDescent="0.2">
      <c r="A22" s="123">
        <f t="shared" si="1"/>
        <v>14</v>
      </c>
      <c r="B22" s="123">
        <v>46</v>
      </c>
      <c r="C22" s="123"/>
      <c r="D22" s="124">
        <f t="shared" si="3"/>
        <v>81153842</v>
      </c>
      <c r="E22" s="124">
        <f t="shared" si="4"/>
        <v>4784860</v>
      </c>
      <c r="F22" s="124">
        <f t="shared" si="4"/>
        <v>14800835</v>
      </c>
      <c r="G22" s="124">
        <f t="shared" si="4"/>
        <v>1147061</v>
      </c>
      <c r="H22" s="124">
        <f t="shared" si="4"/>
        <v>3234129</v>
      </c>
      <c r="I22" s="124">
        <f t="shared" si="4"/>
        <v>10300507</v>
      </c>
      <c r="J22" s="124">
        <f t="shared" si="4"/>
        <v>6583905</v>
      </c>
      <c r="K22" s="124">
        <f t="shared" si="4"/>
        <v>10921611</v>
      </c>
      <c r="L22" s="124">
        <f t="shared" si="4"/>
        <v>5513261</v>
      </c>
      <c r="M22" s="124">
        <f t="shared" si="4"/>
        <v>6094755</v>
      </c>
      <c r="N22" s="124">
        <f t="shared" si="4"/>
        <v>6162412</v>
      </c>
      <c r="O22" s="124">
        <f t="shared" si="4"/>
        <v>4503662</v>
      </c>
      <c r="P22" s="124">
        <f t="shared" si="4"/>
        <v>7106844</v>
      </c>
    </row>
    <row r="23" spans="1:16" x14ac:dyDescent="0.2">
      <c r="A23" s="123">
        <f t="shared" si="1"/>
        <v>15</v>
      </c>
      <c r="B23" s="123">
        <v>49</v>
      </c>
      <c r="C23" s="123"/>
      <c r="D23" s="124">
        <f t="shared" si="3"/>
        <v>553489296</v>
      </c>
      <c r="E23" s="124">
        <f t="shared" si="4"/>
        <v>46840011</v>
      </c>
      <c r="F23" s="124">
        <f t="shared" si="4"/>
        <v>80320434.731999993</v>
      </c>
      <c r="G23" s="124">
        <f t="shared" si="4"/>
        <v>4860106.2679999992</v>
      </c>
      <c r="H23" s="124">
        <f t="shared" si="4"/>
        <v>43592851</v>
      </c>
      <c r="I23" s="124">
        <f t="shared" si="4"/>
        <v>51577097</v>
      </c>
      <c r="J23" s="124">
        <f t="shared" si="4"/>
        <v>44530899</v>
      </c>
      <c r="K23" s="124">
        <f t="shared" si="4"/>
        <v>49835734</v>
      </c>
      <c r="L23" s="124">
        <f t="shared" si="4"/>
        <v>46199562</v>
      </c>
      <c r="M23" s="124">
        <f t="shared" si="4"/>
        <v>47846204</v>
      </c>
      <c r="N23" s="124">
        <f t="shared" si="4"/>
        <v>49102253</v>
      </c>
      <c r="O23" s="124">
        <f t="shared" si="4"/>
        <v>42902847</v>
      </c>
      <c r="P23" s="124">
        <f t="shared" si="4"/>
        <v>45881297</v>
      </c>
    </row>
    <row r="24" spans="1:16" x14ac:dyDescent="0.2">
      <c r="A24" s="123">
        <f t="shared" si="1"/>
        <v>16</v>
      </c>
      <c r="B24" s="126" t="s">
        <v>179</v>
      </c>
      <c r="C24" s="126"/>
      <c r="D24" s="124">
        <f t="shared" si="3"/>
        <v>70906886.296499997</v>
      </c>
      <c r="E24" s="124">
        <f t="shared" si="4"/>
        <v>5821892.9455000004</v>
      </c>
      <c r="F24" s="124">
        <f t="shared" si="4"/>
        <v>5871311.6935000001</v>
      </c>
      <c r="G24" s="124">
        <f t="shared" si="4"/>
        <v>5639490.3700000001</v>
      </c>
      <c r="H24" s="124">
        <f t="shared" si="4"/>
        <v>5996477.2320000008</v>
      </c>
      <c r="I24" s="124">
        <f t="shared" si="4"/>
        <v>6077671.0554999998</v>
      </c>
      <c r="J24" s="124">
        <f t="shared" si="4"/>
        <v>5823947.0099999998</v>
      </c>
      <c r="K24" s="124">
        <f t="shared" si="4"/>
        <v>5599997.988499999</v>
      </c>
      <c r="L24" s="124">
        <f t="shared" si="4"/>
        <v>6281784.4235000014</v>
      </c>
      <c r="M24" s="124">
        <f t="shared" si="4"/>
        <v>5593118.4809999987</v>
      </c>
      <c r="N24" s="124">
        <f t="shared" si="4"/>
        <v>6300030.7755000014</v>
      </c>
      <c r="O24" s="124">
        <f t="shared" si="4"/>
        <v>5489782.6499999994</v>
      </c>
      <c r="P24" s="124">
        <f t="shared" si="4"/>
        <v>6411381.6715000011</v>
      </c>
    </row>
    <row r="25" spans="1:16" x14ac:dyDescent="0.2">
      <c r="A25" s="123">
        <f t="shared" si="1"/>
        <v>17</v>
      </c>
      <c r="B25" s="123" t="s">
        <v>197</v>
      </c>
      <c r="C25" s="123"/>
      <c r="D25" s="124">
        <f t="shared" si="3"/>
        <v>1993600694.3239999</v>
      </c>
      <c r="E25" s="124">
        <f t="shared" si="4"/>
        <v>205232832.22499999</v>
      </c>
      <c r="F25" s="124">
        <f t="shared" si="4"/>
        <v>161208733.05099997</v>
      </c>
      <c r="G25" s="124">
        <f t="shared" si="4"/>
        <v>175604529.35699999</v>
      </c>
      <c r="H25" s="124">
        <f t="shared" si="4"/>
        <v>59188829.805000022</v>
      </c>
      <c r="I25" s="124">
        <f t="shared" si="4"/>
        <v>196052288.73400003</v>
      </c>
      <c r="J25" s="124">
        <f t="shared" si="4"/>
        <v>201127340.435</v>
      </c>
      <c r="K25" s="124">
        <f t="shared" si="4"/>
        <v>165671041.336</v>
      </c>
      <c r="L25" s="124">
        <f t="shared" si="4"/>
        <v>151206479.10600001</v>
      </c>
      <c r="M25" s="124">
        <f t="shared" si="4"/>
        <v>188663649.72900003</v>
      </c>
      <c r="N25" s="124">
        <f t="shared" si="4"/>
        <v>195470179.52599999</v>
      </c>
      <c r="O25" s="124">
        <f t="shared" si="4"/>
        <v>119906238.41599998</v>
      </c>
      <c r="P25" s="124">
        <f t="shared" si="4"/>
        <v>174268552.60400003</v>
      </c>
    </row>
    <row r="26" spans="1:16" x14ac:dyDescent="0.2">
      <c r="A26" s="123">
        <f t="shared" si="1"/>
        <v>18</v>
      </c>
      <c r="B26" s="123" t="s">
        <v>180</v>
      </c>
      <c r="C26" s="123"/>
      <c r="D26" s="124">
        <f t="shared" si="3"/>
        <v>7237655.5782418987</v>
      </c>
      <c r="E26" s="124">
        <f t="shared" si="4"/>
        <v>755670.57568557153</v>
      </c>
      <c r="F26" s="124">
        <f t="shared" si="4"/>
        <v>1079264.3989853305</v>
      </c>
      <c r="G26" s="124">
        <f t="shared" si="4"/>
        <v>841430.87945338455</v>
      </c>
      <c r="H26" s="124">
        <f t="shared" si="4"/>
        <v>667945.86538892204</v>
      </c>
      <c r="I26" s="124">
        <f t="shared" si="4"/>
        <v>417637.35555260349</v>
      </c>
      <c r="J26" s="124">
        <f t="shared" si="4"/>
        <v>326027.51144258055</v>
      </c>
      <c r="K26" s="124">
        <f t="shared" si="4"/>
        <v>292052.49044475897</v>
      </c>
      <c r="L26" s="124">
        <f t="shared" si="4"/>
        <v>307402.94013726938</v>
      </c>
      <c r="M26" s="124">
        <f t="shared" si="4"/>
        <v>315103.07251259673</v>
      </c>
      <c r="N26" s="124">
        <f t="shared" si="4"/>
        <v>489084.12363547145</v>
      </c>
      <c r="O26" s="124">
        <f t="shared" si="4"/>
        <v>769822.39856614114</v>
      </c>
      <c r="P26" s="124">
        <f t="shared" si="4"/>
        <v>976213.96643726935</v>
      </c>
    </row>
    <row r="27" spans="1:16" x14ac:dyDescent="0.2">
      <c r="A27" s="123">
        <f t="shared" si="1"/>
        <v>19</v>
      </c>
      <c r="B27" s="123" t="s">
        <v>173</v>
      </c>
      <c r="C27" s="123"/>
      <c r="D27" s="124">
        <f t="shared" ref="D27" si="5">SUM(D12:D26)</f>
        <v>22969900995.890392</v>
      </c>
      <c r="E27" s="124">
        <f>SUM(E12:E26)</f>
        <v>2332539933.1522141</v>
      </c>
      <c r="F27" s="124">
        <f t="shared" ref="F27:P27" si="6">SUM(F12:F26)</f>
        <v>2097500925.1105964</v>
      </c>
      <c r="G27" s="124">
        <f t="shared" si="6"/>
        <v>2051847491.4598157</v>
      </c>
      <c r="H27" s="124">
        <f t="shared" si="6"/>
        <v>1723614209.0877728</v>
      </c>
      <c r="I27" s="124">
        <f t="shared" si="6"/>
        <v>1717572943.3791561</v>
      </c>
      <c r="J27" s="124">
        <f t="shared" si="6"/>
        <v>1667452314.6709809</v>
      </c>
      <c r="K27" s="124">
        <f t="shared" si="6"/>
        <v>1712088610.3059983</v>
      </c>
      <c r="L27" s="124">
        <f t="shared" si="6"/>
        <v>1747034944.7998762</v>
      </c>
      <c r="M27" s="124">
        <f t="shared" si="6"/>
        <v>1659371891.1539636</v>
      </c>
      <c r="N27" s="124">
        <f t="shared" si="6"/>
        <v>1881120267.070313</v>
      </c>
      <c r="O27" s="124">
        <f t="shared" si="6"/>
        <v>2007634032.1087942</v>
      </c>
      <c r="P27" s="124">
        <f t="shared" si="6"/>
        <v>2372123433.5909042</v>
      </c>
    </row>
    <row r="28" spans="1:16" ht="10.95" thickBot="1" x14ac:dyDescent="0.25">
      <c r="A28" s="123">
        <f t="shared" si="1"/>
        <v>20</v>
      </c>
      <c r="B28" s="123" t="s">
        <v>198</v>
      </c>
      <c r="C28" s="117"/>
      <c r="D28" s="124">
        <f>D27-D25</f>
        <v>20976300301.566391</v>
      </c>
      <c r="E28" s="124">
        <f>+E27-E25</f>
        <v>2127307100.9272141</v>
      </c>
      <c r="F28" s="124">
        <f t="shared" ref="F28:P28" si="7">+F27-F25</f>
        <v>1936292192.0595965</v>
      </c>
      <c r="G28" s="124">
        <f t="shared" si="7"/>
        <v>1876242962.1028156</v>
      </c>
      <c r="H28" s="124">
        <f t="shared" si="7"/>
        <v>1664425379.2827728</v>
      </c>
      <c r="I28" s="124">
        <f t="shared" si="7"/>
        <v>1521520654.6451561</v>
      </c>
      <c r="J28" s="124">
        <f t="shared" si="7"/>
        <v>1466324974.235981</v>
      </c>
      <c r="K28" s="124">
        <f t="shared" si="7"/>
        <v>1546417568.9699984</v>
      </c>
      <c r="L28" s="124">
        <f t="shared" si="7"/>
        <v>1595828465.6938763</v>
      </c>
      <c r="M28" s="124">
        <f t="shared" si="7"/>
        <v>1470708241.4249635</v>
      </c>
      <c r="N28" s="124">
        <f t="shared" si="7"/>
        <v>1685650087.544313</v>
      </c>
      <c r="O28" s="124">
        <f t="shared" si="7"/>
        <v>1887727793.6927943</v>
      </c>
      <c r="P28" s="124">
        <f t="shared" si="7"/>
        <v>2197854880.9869041</v>
      </c>
    </row>
    <row r="29" spans="1:16" ht="10.95" thickBot="1" x14ac:dyDescent="0.25">
      <c r="A29" s="123">
        <f t="shared" si="1"/>
        <v>21</v>
      </c>
      <c r="B29" s="117"/>
      <c r="C29" s="117"/>
      <c r="D29" s="277" t="s">
        <v>199</v>
      </c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9"/>
    </row>
    <row r="30" spans="1:16" x14ac:dyDescent="0.2">
      <c r="A30" s="123">
        <f t="shared" si="1"/>
        <v>22</v>
      </c>
      <c r="B30" s="123">
        <f>+B12</f>
        <v>7</v>
      </c>
      <c r="C30" s="117"/>
      <c r="D30" s="124">
        <f t="shared" ref="D30:D44" si="8">SUM(E30:P30)</f>
        <v>10613133316</v>
      </c>
      <c r="E30" s="124">
        <v>1245600497</v>
      </c>
      <c r="F30" s="124">
        <v>1123202830</v>
      </c>
      <c r="G30" s="124">
        <v>1119823627</v>
      </c>
      <c r="H30" s="124">
        <v>924598025</v>
      </c>
      <c r="I30" s="124">
        <v>741369503</v>
      </c>
      <c r="J30" s="124">
        <v>663353185</v>
      </c>
      <c r="K30" s="124">
        <v>664888039</v>
      </c>
      <c r="L30" s="124">
        <v>690580774</v>
      </c>
      <c r="M30" s="124">
        <v>690326368</v>
      </c>
      <c r="N30" s="124">
        <v>721568629</v>
      </c>
      <c r="O30" s="124">
        <v>914087283</v>
      </c>
      <c r="P30" s="124">
        <v>1113734556</v>
      </c>
    </row>
    <row r="31" spans="1:16" x14ac:dyDescent="0.2">
      <c r="A31" s="123">
        <f t="shared" si="1"/>
        <v>23</v>
      </c>
      <c r="B31" s="123" t="str">
        <f t="shared" ref="B31:B45" si="9">+B13</f>
        <v>7A</v>
      </c>
      <c r="C31" s="117"/>
      <c r="D31" s="124">
        <f t="shared" si="8"/>
        <v>2459700</v>
      </c>
      <c r="E31" s="124">
        <v>261277</v>
      </c>
      <c r="F31" s="124">
        <v>226800</v>
      </c>
      <c r="G31" s="124">
        <v>204300</v>
      </c>
      <c r="H31" s="124">
        <v>180600</v>
      </c>
      <c r="I31" s="124">
        <v>167100</v>
      </c>
      <c r="J31" s="124">
        <v>171600</v>
      </c>
      <c r="K31" s="124">
        <v>204900</v>
      </c>
      <c r="L31" s="124">
        <v>223500</v>
      </c>
      <c r="M31" s="124">
        <v>199500</v>
      </c>
      <c r="N31" s="124">
        <v>173400</v>
      </c>
      <c r="O31" s="124">
        <v>211800</v>
      </c>
      <c r="P31" s="124">
        <v>234923</v>
      </c>
    </row>
    <row r="32" spans="1:16" x14ac:dyDescent="0.2">
      <c r="A32" s="123">
        <f t="shared" si="1"/>
        <v>24</v>
      </c>
      <c r="B32" s="123" t="str">
        <f t="shared" si="9"/>
        <v>8/24</v>
      </c>
      <c r="C32" s="117"/>
      <c r="D32" s="124">
        <f t="shared" si="8"/>
        <v>2767558922</v>
      </c>
      <c r="E32" s="124">
        <v>270052260</v>
      </c>
      <c r="F32" s="124">
        <v>250610402</v>
      </c>
      <c r="G32" s="124">
        <v>249794732</v>
      </c>
      <c r="H32" s="124">
        <v>222392891</v>
      </c>
      <c r="I32" s="124">
        <v>203704353</v>
      </c>
      <c r="J32" s="124">
        <v>201826316</v>
      </c>
      <c r="K32" s="124">
        <v>215765657</v>
      </c>
      <c r="L32" s="124">
        <v>228940402</v>
      </c>
      <c r="M32" s="124">
        <v>225770073</v>
      </c>
      <c r="N32" s="124">
        <v>216448917</v>
      </c>
      <c r="O32" s="124">
        <v>230376046</v>
      </c>
      <c r="P32" s="124">
        <v>251876873</v>
      </c>
    </row>
    <row r="33" spans="1:16" x14ac:dyDescent="0.2">
      <c r="A33" s="123">
        <f t="shared" si="1"/>
        <v>25</v>
      </c>
      <c r="B33" s="123" t="str">
        <f t="shared" si="9"/>
        <v>11/25</v>
      </c>
      <c r="C33" s="117"/>
      <c r="D33" s="124">
        <f t="shared" si="8"/>
        <v>2946149154</v>
      </c>
      <c r="E33" s="124">
        <v>267891628</v>
      </c>
      <c r="F33" s="124">
        <v>260488037</v>
      </c>
      <c r="G33" s="124">
        <v>261770591</v>
      </c>
      <c r="H33" s="124">
        <v>243127156</v>
      </c>
      <c r="I33" s="124">
        <v>237788827</v>
      </c>
      <c r="J33" s="124">
        <v>232615261</v>
      </c>
      <c r="K33" s="124">
        <v>233295137</v>
      </c>
      <c r="L33" s="124">
        <v>242350424</v>
      </c>
      <c r="M33" s="124">
        <v>241675401</v>
      </c>
      <c r="N33" s="124">
        <v>234767986</v>
      </c>
      <c r="O33" s="124">
        <v>237570419</v>
      </c>
      <c r="P33" s="124">
        <v>252808287</v>
      </c>
    </row>
    <row r="34" spans="1:16" x14ac:dyDescent="0.2">
      <c r="A34" s="123">
        <f t="shared" si="1"/>
        <v>26</v>
      </c>
      <c r="B34" s="123" t="str">
        <f t="shared" si="9"/>
        <v>12/26/26P</v>
      </c>
      <c r="C34" s="117"/>
      <c r="D34" s="124">
        <f t="shared" si="8"/>
        <v>1860953159</v>
      </c>
      <c r="E34" s="124">
        <v>158122619</v>
      </c>
      <c r="F34" s="124">
        <v>159054357</v>
      </c>
      <c r="G34" s="124">
        <v>148013020</v>
      </c>
      <c r="H34" s="124">
        <v>144668350</v>
      </c>
      <c r="I34" s="124">
        <v>150175393</v>
      </c>
      <c r="J34" s="124">
        <v>156368309</v>
      </c>
      <c r="K34" s="124">
        <v>155945750</v>
      </c>
      <c r="L34" s="124">
        <v>164973719</v>
      </c>
      <c r="M34" s="124">
        <v>162315627</v>
      </c>
      <c r="N34" s="124">
        <v>155301605</v>
      </c>
      <c r="O34" s="124">
        <v>151722261</v>
      </c>
      <c r="P34" s="124">
        <v>154292149</v>
      </c>
    </row>
    <row r="35" spans="1:16" x14ac:dyDescent="0.2">
      <c r="A35" s="123">
        <f t="shared" si="1"/>
        <v>27</v>
      </c>
      <c r="B35" s="123">
        <f t="shared" si="9"/>
        <v>29</v>
      </c>
      <c r="C35" s="117"/>
      <c r="D35" s="124">
        <f t="shared" si="8"/>
        <v>15952162</v>
      </c>
      <c r="E35" s="124">
        <v>269389</v>
      </c>
      <c r="F35" s="124">
        <v>276137</v>
      </c>
      <c r="G35" s="124">
        <v>280808</v>
      </c>
      <c r="H35" s="124">
        <v>266695</v>
      </c>
      <c r="I35" s="124">
        <v>708710</v>
      </c>
      <c r="J35" s="124">
        <v>1878608</v>
      </c>
      <c r="K35" s="124">
        <v>2371036</v>
      </c>
      <c r="L35" s="124">
        <v>4217321</v>
      </c>
      <c r="M35" s="124">
        <v>3588004</v>
      </c>
      <c r="N35" s="124">
        <v>1543510</v>
      </c>
      <c r="O35" s="124">
        <v>346375</v>
      </c>
      <c r="P35" s="124">
        <v>205569</v>
      </c>
    </row>
    <row r="36" spans="1:16" x14ac:dyDescent="0.2">
      <c r="A36" s="123">
        <f t="shared" si="1"/>
        <v>28</v>
      </c>
      <c r="B36" s="123" t="str">
        <f t="shared" si="9"/>
        <v>10/31</v>
      </c>
      <c r="C36" s="117"/>
      <c r="D36" s="124">
        <f t="shared" si="8"/>
        <v>1298511716</v>
      </c>
      <c r="E36" s="124">
        <v>114391469</v>
      </c>
      <c r="F36" s="124">
        <v>115062350</v>
      </c>
      <c r="G36" s="124">
        <v>103806900</v>
      </c>
      <c r="H36" s="124">
        <v>108701481</v>
      </c>
      <c r="I36" s="124">
        <v>105469564</v>
      </c>
      <c r="J36" s="124">
        <v>103412238</v>
      </c>
      <c r="K36" s="124">
        <v>101865170</v>
      </c>
      <c r="L36" s="124">
        <v>112749368</v>
      </c>
      <c r="M36" s="124">
        <v>109457379</v>
      </c>
      <c r="N36" s="124">
        <v>111769956</v>
      </c>
      <c r="O36" s="124">
        <v>103701457</v>
      </c>
      <c r="P36" s="124">
        <v>108124384</v>
      </c>
    </row>
    <row r="37" spans="1:16" x14ac:dyDescent="0.2">
      <c r="A37" s="123">
        <f t="shared" si="1"/>
        <v>29</v>
      </c>
      <c r="B37" s="123">
        <f t="shared" si="9"/>
        <v>35</v>
      </c>
      <c r="C37" s="117"/>
      <c r="D37" s="124">
        <f t="shared" si="8"/>
        <v>4343160</v>
      </c>
      <c r="E37" s="124">
        <v>6000</v>
      </c>
      <c r="F37" s="124">
        <v>5400</v>
      </c>
      <c r="G37" s="124">
        <v>5400</v>
      </c>
      <c r="H37" s="124">
        <v>2497</v>
      </c>
      <c r="I37" s="124">
        <v>357143</v>
      </c>
      <c r="J37" s="124">
        <v>628320</v>
      </c>
      <c r="K37" s="124">
        <v>526200</v>
      </c>
      <c r="L37" s="124">
        <v>1019400</v>
      </c>
      <c r="M37" s="124">
        <v>791400</v>
      </c>
      <c r="N37" s="124">
        <v>672600</v>
      </c>
      <c r="O37" s="124">
        <v>325800</v>
      </c>
      <c r="P37" s="124">
        <v>3000</v>
      </c>
    </row>
    <row r="38" spans="1:16" x14ac:dyDescent="0.2">
      <c r="A38" s="123">
        <f t="shared" si="1"/>
        <v>30</v>
      </c>
      <c r="B38" s="123">
        <f t="shared" si="9"/>
        <v>43</v>
      </c>
      <c r="C38" s="117"/>
      <c r="D38" s="124">
        <f t="shared" si="8"/>
        <v>120661575</v>
      </c>
      <c r="E38" s="124">
        <v>14705562</v>
      </c>
      <c r="F38" s="124">
        <v>13348270</v>
      </c>
      <c r="G38" s="124">
        <v>14774100</v>
      </c>
      <c r="H38" s="124">
        <v>12167919</v>
      </c>
      <c r="I38" s="124">
        <v>9528386</v>
      </c>
      <c r="J38" s="124">
        <v>8207965</v>
      </c>
      <c r="K38" s="124">
        <v>6527328</v>
      </c>
      <c r="L38" s="124">
        <v>5180693</v>
      </c>
      <c r="M38" s="124">
        <v>5734386</v>
      </c>
      <c r="N38" s="124">
        <v>7985766</v>
      </c>
      <c r="O38" s="124">
        <v>9911188</v>
      </c>
      <c r="P38" s="124">
        <v>12590012</v>
      </c>
    </row>
    <row r="39" spans="1:16" x14ac:dyDescent="0.2">
      <c r="A39" s="123">
        <f t="shared" si="1"/>
        <v>31</v>
      </c>
      <c r="B39" s="123">
        <f t="shared" si="9"/>
        <v>40</v>
      </c>
      <c r="C39" s="117"/>
      <c r="D39" s="128">
        <f t="shared" si="8"/>
        <v>544605919</v>
      </c>
      <c r="E39" s="128">
        <v>45745730</v>
      </c>
      <c r="F39" s="128">
        <v>43929831</v>
      </c>
      <c r="G39" s="128">
        <v>44503266</v>
      </c>
      <c r="H39" s="128">
        <v>42551050</v>
      </c>
      <c r="I39" s="128">
        <v>42098019</v>
      </c>
      <c r="J39" s="128">
        <v>36454394</v>
      </c>
      <c r="K39" s="128">
        <v>50077660</v>
      </c>
      <c r="L39" s="128">
        <v>50107930</v>
      </c>
      <c r="M39" s="128">
        <v>50179828</v>
      </c>
      <c r="N39" s="128">
        <v>48569951</v>
      </c>
      <c r="O39" s="128">
        <v>42255208</v>
      </c>
      <c r="P39" s="128">
        <v>48133052</v>
      </c>
    </row>
    <row r="40" spans="1:16" x14ac:dyDescent="0.2">
      <c r="A40" s="123">
        <f t="shared" si="1"/>
        <v>32</v>
      </c>
      <c r="B40" s="123">
        <f t="shared" si="9"/>
        <v>46</v>
      </c>
      <c r="C40" s="117"/>
      <c r="D40" s="124">
        <f t="shared" si="8"/>
        <v>77255842</v>
      </c>
      <c r="E40" s="124">
        <v>5774940</v>
      </c>
      <c r="F40" s="124">
        <v>9484435</v>
      </c>
      <c r="G40" s="124">
        <v>2312181</v>
      </c>
      <c r="H40" s="124">
        <v>7626329</v>
      </c>
      <c r="I40" s="124">
        <v>5683107</v>
      </c>
      <c r="J40" s="124">
        <v>6889705</v>
      </c>
      <c r="K40" s="124">
        <v>5581611</v>
      </c>
      <c r="L40" s="124">
        <v>7702261</v>
      </c>
      <c r="M40" s="124">
        <v>7118155</v>
      </c>
      <c r="N40" s="124">
        <v>6890212</v>
      </c>
      <c r="O40" s="124">
        <v>7517742</v>
      </c>
      <c r="P40" s="124">
        <v>4675164</v>
      </c>
    </row>
    <row r="41" spans="1:16" x14ac:dyDescent="0.2">
      <c r="A41" s="123">
        <f t="shared" si="1"/>
        <v>33</v>
      </c>
      <c r="B41" s="123">
        <f t="shared" si="9"/>
        <v>49</v>
      </c>
      <c r="C41" s="117"/>
      <c r="D41" s="124">
        <f t="shared" si="8"/>
        <v>551853873</v>
      </c>
      <c r="E41" s="124">
        <v>46148821</v>
      </c>
      <c r="F41" s="124">
        <v>74360394</v>
      </c>
      <c r="G41" s="124">
        <v>14238137</v>
      </c>
      <c r="H41" s="124">
        <v>44972451</v>
      </c>
      <c r="I41" s="124">
        <v>45342697</v>
      </c>
      <c r="J41" s="124">
        <v>46967476</v>
      </c>
      <c r="K41" s="124">
        <v>45400534</v>
      </c>
      <c r="L41" s="124">
        <v>47874762</v>
      </c>
      <c r="M41" s="124">
        <v>48102204</v>
      </c>
      <c r="N41" s="124">
        <v>46267971</v>
      </c>
      <c r="O41" s="124">
        <v>47669929</v>
      </c>
      <c r="P41" s="124">
        <v>44508497</v>
      </c>
    </row>
    <row r="42" spans="1:16" x14ac:dyDescent="0.2">
      <c r="A42" s="123">
        <f t="shared" si="1"/>
        <v>34</v>
      </c>
      <c r="B42" s="123" t="str">
        <f t="shared" si="9"/>
        <v>50-59</v>
      </c>
      <c r="C42" s="117"/>
      <c r="D42" s="124">
        <f t="shared" si="8"/>
        <v>70861128.048000008</v>
      </c>
      <c r="E42" s="124">
        <v>5833297.7620000001</v>
      </c>
      <c r="F42" s="124">
        <v>5903361.0930000003</v>
      </c>
      <c r="G42" s="124">
        <v>5627651.4330000002</v>
      </c>
      <c r="H42" s="124">
        <v>6038794.7130000005</v>
      </c>
      <c r="I42" s="124">
        <v>6061283.9859999996</v>
      </c>
      <c r="J42" s="124">
        <v>5842414.602</v>
      </c>
      <c r="K42" s="124">
        <v>5603974.7159999991</v>
      </c>
      <c r="L42" s="124">
        <v>6166496.4990000017</v>
      </c>
      <c r="M42" s="124">
        <v>5741176.2849999992</v>
      </c>
      <c r="N42" s="124">
        <v>6157825.6360000009</v>
      </c>
      <c r="O42" s="124">
        <v>5712703.4899999993</v>
      </c>
      <c r="P42" s="124">
        <v>6172147.8330000006</v>
      </c>
    </row>
    <row r="43" spans="1:16" x14ac:dyDescent="0.2">
      <c r="A43" s="123">
        <f t="shared" si="1"/>
        <v>35</v>
      </c>
      <c r="B43" s="123" t="str">
        <f t="shared" si="9"/>
        <v>449/459</v>
      </c>
      <c r="C43" s="117"/>
      <c r="D43" s="124">
        <f t="shared" si="8"/>
        <v>1993136106</v>
      </c>
      <c r="E43" s="124">
        <v>172363310</v>
      </c>
      <c r="F43" s="124">
        <v>177463395</v>
      </c>
      <c r="G43" s="124">
        <v>159944766</v>
      </c>
      <c r="H43" s="124">
        <v>175604530</v>
      </c>
      <c r="I43" s="124">
        <v>145690855</v>
      </c>
      <c r="J43" s="124">
        <v>137304971</v>
      </c>
      <c r="K43" s="124">
        <v>172908044</v>
      </c>
      <c r="L43" s="124">
        <v>179502440</v>
      </c>
      <c r="M43" s="124">
        <v>180803440</v>
      </c>
      <c r="N43" s="124">
        <v>170352735</v>
      </c>
      <c r="O43" s="124">
        <v>164165682</v>
      </c>
      <c r="P43" s="124">
        <v>157031938</v>
      </c>
    </row>
    <row r="44" spans="1:16" x14ac:dyDescent="0.2">
      <c r="A44" s="123">
        <f t="shared" si="1"/>
        <v>36</v>
      </c>
      <c r="B44" s="123" t="str">
        <f t="shared" si="9"/>
        <v>Firm Resale</v>
      </c>
      <c r="C44" s="117"/>
      <c r="D44" s="124">
        <f t="shared" si="8"/>
        <v>7166880</v>
      </c>
      <c r="E44" s="124">
        <v>997460</v>
      </c>
      <c r="F44" s="124">
        <v>897140</v>
      </c>
      <c r="G44" s="124">
        <v>943660</v>
      </c>
      <c r="H44" s="124">
        <v>776620</v>
      </c>
      <c r="I44" s="124">
        <v>591080</v>
      </c>
      <c r="J44" s="124">
        <v>387720</v>
      </c>
      <c r="K44" s="124">
        <v>320400</v>
      </c>
      <c r="L44" s="124">
        <v>278300</v>
      </c>
      <c r="M44" s="124">
        <v>265720</v>
      </c>
      <c r="N44" s="124">
        <v>355240</v>
      </c>
      <c r="O44" s="124">
        <v>559720</v>
      </c>
      <c r="P44" s="124">
        <v>793820</v>
      </c>
    </row>
    <row r="45" spans="1:16" x14ac:dyDescent="0.2">
      <c r="A45" s="123">
        <f t="shared" si="1"/>
        <v>37</v>
      </c>
      <c r="B45" s="123" t="str">
        <f t="shared" si="9"/>
        <v>Total</v>
      </c>
      <c r="C45" s="117"/>
      <c r="D45" s="124">
        <f t="shared" ref="D45" si="10">SUM(D30:D44)</f>
        <v>22874602612.048</v>
      </c>
      <c r="E45" s="124">
        <f>SUM(E30:E44)</f>
        <v>2348164259.7620001</v>
      </c>
      <c r="F45" s="124">
        <f t="shared" ref="F45:P45" si="11">SUM(F30:F44)</f>
        <v>2234313139.0929999</v>
      </c>
      <c r="G45" s="124">
        <f t="shared" si="11"/>
        <v>2126043139.4330001</v>
      </c>
      <c r="H45" s="124">
        <f t="shared" si="11"/>
        <v>1933675388.7130001</v>
      </c>
      <c r="I45" s="124">
        <f t="shared" si="11"/>
        <v>1694736020.9860001</v>
      </c>
      <c r="J45" s="124">
        <f t="shared" si="11"/>
        <v>1602308482.602</v>
      </c>
      <c r="K45" s="124">
        <f t="shared" si="11"/>
        <v>1661281440.7160001</v>
      </c>
      <c r="L45" s="124">
        <f t="shared" si="11"/>
        <v>1741867790.4990001</v>
      </c>
      <c r="M45" s="124">
        <f t="shared" si="11"/>
        <v>1732068661.2850001</v>
      </c>
      <c r="N45" s="124">
        <f t="shared" si="11"/>
        <v>1728826303.6359999</v>
      </c>
      <c r="O45" s="124">
        <f t="shared" si="11"/>
        <v>1916133613.49</v>
      </c>
      <c r="P45" s="124">
        <f t="shared" si="11"/>
        <v>2155184371.8330002</v>
      </c>
    </row>
    <row r="46" spans="1:16" ht="10.8" thickBot="1" x14ac:dyDescent="0.25">
      <c r="A46" s="123">
        <f t="shared" si="1"/>
        <v>38</v>
      </c>
      <c r="B46" s="123" t="s">
        <v>198</v>
      </c>
      <c r="C46" s="117"/>
      <c r="D46" s="124">
        <f>D45-D43</f>
        <v>20881466506.048</v>
      </c>
      <c r="E46" s="124">
        <f>+E45-E43</f>
        <v>2175800949.7620001</v>
      </c>
      <c r="F46" s="124">
        <f t="shared" ref="F46:P46" si="12">+F45-F43</f>
        <v>2056849744.0929999</v>
      </c>
      <c r="G46" s="124">
        <f t="shared" si="12"/>
        <v>1966098373.4330001</v>
      </c>
      <c r="H46" s="124">
        <f t="shared" si="12"/>
        <v>1758070858.7130001</v>
      </c>
      <c r="I46" s="124">
        <f t="shared" si="12"/>
        <v>1549045165.9860001</v>
      </c>
      <c r="J46" s="124">
        <f t="shared" si="12"/>
        <v>1465003511.602</v>
      </c>
      <c r="K46" s="124">
        <f t="shared" si="12"/>
        <v>1488373396.7160001</v>
      </c>
      <c r="L46" s="124">
        <f t="shared" si="12"/>
        <v>1562365350.4990001</v>
      </c>
      <c r="M46" s="124">
        <f t="shared" si="12"/>
        <v>1551265221.2850001</v>
      </c>
      <c r="N46" s="124">
        <f t="shared" si="12"/>
        <v>1558473568.6359999</v>
      </c>
      <c r="O46" s="124">
        <f t="shared" si="12"/>
        <v>1751967931.49</v>
      </c>
      <c r="P46" s="124">
        <f t="shared" si="12"/>
        <v>1998152433.8330002</v>
      </c>
    </row>
    <row r="47" spans="1:16" ht="10.8" thickBot="1" x14ac:dyDescent="0.25">
      <c r="A47" s="123">
        <f t="shared" si="1"/>
        <v>39</v>
      </c>
      <c r="B47" s="117"/>
      <c r="C47" s="117"/>
      <c r="D47" s="277" t="s">
        <v>200</v>
      </c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9"/>
    </row>
    <row r="48" spans="1:16" x14ac:dyDescent="0.2">
      <c r="A48" s="123">
        <f t="shared" si="1"/>
        <v>40</v>
      </c>
      <c r="B48" s="123">
        <f>+B30</f>
        <v>7</v>
      </c>
      <c r="C48" s="117"/>
      <c r="D48" s="124">
        <f>SUM(E48:P48)</f>
        <v>44207598.940063655</v>
      </c>
      <c r="E48" s="124">
        <v>-94669086.343958259</v>
      </c>
      <c r="F48" s="124">
        <v>-51966586.363356709</v>
      </c>
      <c r="G48" s="124">
        <v>-81826059.712178588</v>
      </c>
      <c r="H48" s="124">
        <v>-85280584.426322222</v>
      </c>
      <c r="I48" s="124">
        <v>-75594778.496378005</v>
      </c>
      <c r="J48" s="124">
        <v>2419976.1434504986</v>
      </c>
      <c r="K48" s="124">
        <v>24134812.356263518</v>
      </c>
      <c r="L48" s="124">
        <v>32834313.004648268</v>
      </c>
      <c r="M48" s="124">
        <v>-22165580.995573699</v>
      </c>
      <c r="N48" s="124">
        <v>116996029.15087616</v>
      </c>
      <c r="O48" s="124">
        <v>104364480.79683304</v>
      </c>
      <c r="P48" s="124">
        <v>174960663.82575965</v>
      </c>
    </row>
    <row r="49" spans="1:16" x14ac:dyDescent="0.2">
      <c r="A49" s="123">
        <f t="shared" si="1"/>
        <v>41</v>
      </c>
      <c r="B49" s="123" t="str">
        <f t="shared" ref="B49:B63" si="13">+B31</f>
        <v>7A</v>
      </c>
      <c r="C49" s="117"/>
      <c r="D49" s="124">
        <f t="shared" ref="D49:D62" si="14">SUM(E49:P49)</f>
        <v>1500</v>
      </c>
      <c r="E49" s="124">
        <v>-25094.000000000015</v>
      </c>
      <c r="F49" s="124">
        <v>-7500</v>
      </c>
      <c r="G49" s="124">
        <v>-2400</v>
      </c>
      <c r="H49" s="124">
        <v>-5400</v>
      </c>
      <c r="I49" s="124">
        <v>2100</v>
      </c>
      <c r="J49" s="124">
        <v>6900</v>
      </c>
      <c r="K49" s="124">
        <v>6900</v>
      </c>
      <c r="L49" s="124">
        <v>3300</v>
      </c>
      <c r="M49" s="124">
        <v>-13800</v>
      </c>
      <c r="N49" s="124">
        <v>9300</v>
      </c>
      <c r="O49" s="124">
        <v>3300</v>
      </c>
      <c r="P49" s="124">
        <v>23894.000000000015</v>
      </c>
    </row>
    <row r="50" spans="1:16" x14ac:dyDescent="0.2">
      <c r="A50" s="123">
        <f t="shared" si="1"/>
        <v>42</v>
      </c>
      <c r="B50" s="123" t="str">
        <f t="shared" si="13"/>
        <v>8/24</v>
      </c>
      <c r="C50" s="117"/>
      <c r="D50" s="124">
        <f t="shared" si="14"/>
        <v>7865209.3577168956</v>
      </c>
      <c r="E50" s="124">
        <v>-10372131.655922886</v>
      </c>
      <c r="F50" s="124">
        <v>-17920569.771282472</v>
      </c>
      <c r="G50" s="124">
        <v>-5887840.5636913283</v>
      </c>
      <c r="H50" s="124">
        <v>-11803213.13577188</v>
      </c>
      <c r="I50" s="124">
        <v>3375756.6088349852</v>
      </c>
      <c r="J50" s="124">
        <v>-1041401.9138488683</v>
      </c>
      <c r="K50" s="124">
        <v>10374812.834312852</v>
      </c>
      <c r="L50" s="124">
        <v>14261750.599785123</v>
      </c>
      <c r="M50" s="124">
        <v>-12619048.271776378</v>
      </c>
      <c r="N50" s="124">
        <v>7162142.9612731766</v>
      </c>
      <c r="O50" s="124">
        <v>9431824.640584033</v>
      </c>
      <c r="P50" s="124">
        <v>22903127.025220539</v>
      </c>
    </row>
    <row r="51" spans="1:16" x14ac:dyDescent="0.2">
      <c r="A51" s="123">
        <f t="shared" si="1"/>
        <v>43</v>
      </c>
      <c r="B51" s="123" t="str">
        <f t="shared" si="13"/>
        <v>11/25</v>
      </c>
      <c r="C51" s="117"/>
      <c r="D51" s="124">
        <f t="shared" si="14"/>
        <v>21216518.786511723</v>
      </c>
      <c r="E51" s="124">
        <v>-3855773.9803565368</v>
      </c>
      <c r="F51" s="124">
        <v>-10144751.337533154</v>
      </c>
      <c r="G51" s="124">
        <v>920284.76718343981</v>
      </c>
      <c r="H51" s="124">
        <v>-3315975.1392391082</v>
      </c>
      <c r="I51" s="124">
        <v>7197638.310445345</v>
      </c>
      <c r="J51" s="124">
        <v>-2905973.6876776293</v>
      </c>
      <c r="K51" s="124">
        <v>7562708.4897068702</v>
      </c>
      <c r="L51" s="124">
        <v>17311472.887409344</v>
      </c>
      <c r="M51" s="124">
        <v>-10931160.583471179</v>
      </c>
      <c r="N51" s="124">
        <v>1888617.8357065357</v>
      </c>
      <c r="O51" s="124">
        <v>4838250.640987115</v>
      </c>
      <c r="P51" s="124">
        <v>12651180.583350679</v>
      </c>
    </row>
    <row r="52" spans="1:16" x14ac:dyDescent="0.2">
      <c r="A52" s="123">
        <f t="shared" si="1"/>
        <v>44</v>
      </c>
      <c r="B52" s="123" t="str">
        <f t="shared" si="13"/>
        <v>12/26/26P</v>
      </c>
      <c r="C52" s="117"/>
      <c r="D52" s="124">
        <f t="shared" si="14"/>
        <v>17122253.752577797</v>
      </c>
      <c r="E52" s="124">
        <v>-19383429.237329669</v>
      </c>
      <c r="F52" s="124">
        <v>10515536.517984547</v>
      </c>
      <c r="G52" s="124">
        <v>2017055.078952387</v>
      </c>
      <c r="H52" s="124">
        <v>3145579.9399999827</v>
      </c>
      <c r="I52" s="124">
        <v>7325629.6133333445</v>
      </c>
      <c r="J52" s="124">
        <v>2783768.8676923066</v>
      </c>
      <c r="K52" s="124">
        <v>6593250.8722681999</v>
      </c>
      <c r="L52" s="124">
        <v>10811686.814465776</v>
      </c>
      <c r="M52" s="124">
        <v>-10095080.192488849</v>
      </c>
      <c r="N52" s="124">
        <v>814505.64194087498</v>
      </c>
      <c r="O52" s="124">
        <v>-2361954.9565079194</v>
      </c>
      <c r="P52" s="124">
        <v>4955704.7922668178</v>
      </c>
    </row>
    <row r="53" spans="1:16" x14ac:dyDescent="0.2">
      <c r="A53" s="123">
        <f t="shared" si="1"/>
        <v>45</v>
      </c>
      <c r="B53" s="123">
        <f t="shared" si="13"/>
        <v>29</v>
      </c>
      <c r="C53" s="117"/>
      <c r="D53" s="124">
        <f t="shared" si="14"/>
        <v>2694802.0279999999</v>
      </c>
      <c r="E53" s="124">
        <v>-164498.51087526133</v>
      </c>
      <c r="F53" s="124">
        <v>-38301.214285714261</v>
      </c>
      <c r="G53" s="124">
        <v>885922.22</v>
      </c>
      <c r="H53" s="124">
        <v>-541582.41428571427</v>
      </c>
      <c r="I53" s="124">
        <v>2481535.3142857142</v>
      </c>
      <c r="J53" s="124">
        <v>1018540.128</v>
      </c>
      <c r="K53" s="124">
        <v>1956438.9898845437</v>
      </c>
      <c r="L53" s="124">
        <v>-99045.925556898583</v>
      </c>
      <c r="M53" s="124">
        <v>-1725343.7796362455</v>
      </c>
      <c r="N53" s="124">
        <v>-1212279.5398630735</v>
      </c>
      <c r="O53" s="124">
        <v>589392.25303025974</v>
      </c>
      <c r="P53" s="124">
        <v>-455975.49269761029</v>
      </c>
    </row>
    <row r="54" spans="1:16" x14ac:dyDescent="0.2">
      <c r="A54" s="123">
        <f t="shared" si="1"/>
        <v>46</v>
      </c>
      <c r="B54" s="123" t="str">
        <f t="shared" si="13"/>
        <v>10/31</v>
      </c>
      <c r="C54" s="117"/>
      <c r="D54" s="124">
        <f t="shared" si="14"/>
        <v>24759565.119047612</v>
      </c>
      <c r="E54" s="124">
        <v>1351425.6938283024</v>
      </c>
      <c r="F54" s="124">
        <v>-7883392.1527980454</v>
      </c>
      <c r="G54" s="124">
        <v>4579757.5015384629</v>
      </c>
      <c r="H54" s="124">
        <v>-537273.24615384638</v>
      </c>
      <c r="I54" s="124">
        <v>1852290.0112820491</v>
      </c>
      <c r="J54" s="124">
        <v>6974038.0923809484</v>
      </c>
      <c r="K54" s="124">
        <v>6481216.5546525717</v>
      </c>
      <c r="L54" s="124">
        <v>11420358.327097815</v>
      </c>
      <c r="M54" s="124">
        <v>-6117486.8817503862</v>
      </c>
      <c r="N54" s="124">
        <v>-147191.6462540701</v>
      </c>
      <c r="O54" s="124">
        <v>3610889.0916838748</v>
      </c>
      <c r="P54" s="124">
        <v>3174933.7735399362</v>
      </c>
    </row>
    <row r="55" spans="1:16" x14ac:dyDescent="0.2">
      <c r="A55" s="123">
        <f t="shared" si="1"/>
        <v>47</v>
      </c>
      <c r="B55" s="123">
        <f t="shared" si="13"/>
        <v>35</v>
      </c>
      <c r="C55" s="117"/>
      <c r="D55" s="124">
        <f t="shared" si="14"/>
        <v>-553680</v>
      </c>
      <c r="E55" s="124">
        <v>0</v>
      </c>
      <c r="F55" s="124">
        <v>-600</v>
      </c>
      <c r="G55" s="124">
        <v>-5400</v>
      </c>
      <c r="H55" s="124">
        <v>0</v>
      </c>
      <c r="I55" s="124">
        <v>720</v>
      </c>
      <c r="J55" s="124">
        <v>0</v>
      </c>
      <c r="K55" s="124">
        <v>465000</v>
      </c>
      <c r="L55" s="124">
        <v>-170400</v>
      </c>
      <c r="M55" s="124">
        <v>-140400</v>
      </c>
      <c r="N55" s="124">
        <v>-382800</v>
      </c>
      <c r="O55" s="124">
        <v>-322800</v>
      </c>
      <c r="P55" s="124">
        <v>3000</v>
      </c>
    </row>
    <row r="56" spans="1:16" x14ac:dyDescent="0.2">
      <c r="A56" s="123">
        <f t="shared" si="1"/>
        <v>48</v>
      </c>
      <c r="B56" s="123">
        <f t="shared" si="13"/>
        <v>43</v>
      </c>
      <c r="C56" s="117"/>
      <c r="D56" s="124">
        <f t="shared" si="14"/>
        <v>1923489.08</v>
      </c>
      <c r="E56" s="124">
        <v>-2049624.2857142854</v>
      </c>
      <c r="F56" s="124">
        <v>2271829</v>
      </c>
      <c r="G56" s="124">
        <v>-1791142</v>
      </c>
      <c r="H56" s="124">
        <v>-2128789</v>
      </c>
      <c r="I56" s="124">
        <v>-1205121.0499999998</v>
      </c>
      <c r="J56" s="124">
        <v>-1252942.8700000001</v>
      </c>
      <c r="K56" s="124">
        <v>-1061310</v>
      </c>
      <c r="L56" s="124">
        <v>1948663</v>
      </c>
      <c r="M56" s="124">
        <v>1320662</v>
      </c>
      <c r="N56" s="124">
        <v>2275199</v>
      </c>
      <c r="O56" s="124">
        <v>2013899</v>
      </c>
      <c r="P56" s="124">
        <v>1582166.2857142854</v>
      </c>
    </row>
    <row r="57" spans="1:16" x14ac:dyDescent="0.2">
      <c r="A57" s="123">
        <f t="shared" si="1"/>
        <v>49</v>
      </c>
      <c r="B57" s="123">
        <f t="shared" si="13"/>
        <v>40</v>
      </c>
      <c r="C57" s="117"/>
      <c r="D57" s="128">
        <f t="shared" si="14"/>
        <v>-8104795.3387096785</v>
      </c>
      <c r="E57" s="128">
        <v>-2647329.3317060322</v>
      </c>
      <c r="F57" s="128">
        <v>-3963059.3000909127</v>
      </c>
      <c r="G57" s="128">
        <v>-3795085.7180909067</v>
      </c>
      <c r="H57" s="128">
        <v>2226916.5209999997</v>
      </c>
      <c r="I57" s="128">
        <v>-792999.13918181881</v>
      </c>
      <c r="J57" s="128">
        <v>1713397.8181818184</v>
      </c>
      <c r="K57" s="128">
        <v>1005808.6612903215</v>
      </c>
      <c r="L57" s="128">
        <v>1066938</v>
      </c>
      <c r="M57" s="128">
        <v>-1738879.3948800005</v>
      </c>
      <c r="N57" s="128">
        <v>-1474512.3874192126</v>
      </c>
      <c r="O57" s="128">
        <v>1039512.2845849283</v>
      </c>
      <c r="P57" s="128">
        <v>-745503.35239786282</v>
      </c>
    </row>
    <row r="58" spans="1:16" x14ac:dyDescent="0.2">
      <c r="A58" s="123">
        <f t="shared" si="1"/>
        <v>50</v>
      </c>
      <c r="B58" s="123">
        <f t="shared" si="13"/>
        <v>46</v>
      </c>
      <c r="C58" s="117"/>
      <c r="D58" s="124">
        <f t="shared" si="14"/>
        <v>3898000</v>
      </c>
      <c r="E58" s="124">
        <v>-990080</v>
      </c>
      <c r="F58" s="124">
        <v>5316400</v>
      </c>
      <c r="G58" s="124">
        <v>-1165120</v>
      </c>
      <c r="H58" s="124">
        <v>-4392200</v>
      </c>
      <c r="I58" s="124">
        <v>4617400</v>
      </c>
      <c r="J58" s="124">
        <v>-305800</v>
      </c>
      <c r="K58" s="124">
        <v>5340000</v>
      </c>
      <c r="L58" s="124">
        <v>-2189000</v>
      </c>
      <c r="M58" s="124">
        <v>-1023400</v>
      </c>
      <c r="N58" s="124">
        <v>-727800</v>
      </c>
      <c r="O58" s="124">
        <v>-3014080</v>
      </c>
      <c r="P58" s="124">
        <v>2431680</v>
      </c>
    </row>
    <row r="59" spans="1:16" x14ac:dyDescent="0.2">
      <c r="A59" s="123">
        <f t="shared" si="1"/>
        <v>51</v>
      </c>
      <c r="B59" s="123">
        <f t="shared" si="13"/>
        <v>49</v>
      </c>
      <c r="C59" s="117"/>
      <c r="D59" s="124">
        <f t="shared" si="14"/>
        <v>1635423</v>
      </c>
      <c r="E59" s="124">
        <v>691190</v>
      </c>
      <c r="F59" s="124">
        <v>5960040.7320000008</v>
      </c>
      <c r="G59" s="124">
        <v>-9378030.7320000008</v>
      </c>
      <c r="H59" s="124">
        <v>-1379600</v>
      </c>
      <c r="I59" s="124">
        <v>6234400</v>
      </c>
      <c r="J59" s="124">
        <v>-2436577</v>
      </c>
      <c r="K59" s="124">
        <v>4435200</v>
      </c>
      <c r="L59" s="124">
        <v>-1675200</v>
      </c>
      <c r="M59" s="124">
        <v>-256000</v>
      </c>
      <c r="N59" s="124">
        <v>2834282</v>
      </c>
      <c r="O59" s="124">
        <v>-4767082</v>
      </c>
      <c r="P59" s="124">
        <v>1372800</v>
      </c>
    </row>
    <row r="60" spans="1:16" x14ac:dyDescent="0.2">
      <c r="A60" s="123">
        <f t="shared" si="1"/>
        <v>52</v>
      </c>
      <c r="B60" s="123" t="str">
        <f t="shared" si="13"/>
        <v>50-59</v>
      </c>
      <c r="C60" s="117"/>
      <c r="D60" s="124">
        <f t="shared" si="14"/>
        <v>45758.248499999929</v>
      </c>
      <c r="E60" s="124">
        <v>-11404.816500000146</v>
      </c>
      <c r="F60" s="124">
        <v>-32049.399499999912</v>
      </c>
      <c r="G60" s="124">
        <v>11838.937000000002</v>
      </c>
      <c r="H60" s="124">
        <v>-42317.481000000043</v>
      </c>
      <c r="I60" s="124">
        <v>16387.069500000045</v>
      </c>
      <c r="J60" s="124">
        <v>-18467.592000000077</v>
      </c>
      <c r="K60" s="124">
        <v>-3976.7275000000955</v>
      </c>
      <c r="L60" s="124">
        <v>115287.9245000001</v>
      </c>
      <c r="M60" s="124">
        <v>-148057.80400000012</v>
      </c>
      <c r="N60" s="124">
        <v>142205.13950000005</v>
      </c>
      <c r="O60" s="124">
        <v>-222920.84</v>
      </c>
      <c r="P60" s="124">
        <v>239233.83850000013</v>
      </c>
    </row>
    <row r="61" spans="1:16" x14ac:dyDescent="0.2">
      <c r="A61" s="123">
        <f t="shared" si="1"/>
        <v>53</v>
      </c>
      <c r="B61" s="123" t="str">
        <f t="shared" si="13"/>
        <v>449/459</v>
      </c>
      <c r="C61" s="117"/>
      <c r="D61" s="124">
        <f t="shared" si="14"/>
        <v>464588.32400003076</v>
      </c>
      <c r="E61" s="124">
        <v>32869522.224999998</v>
      </c>
      <c r="F61" s="124">
        <v>-16254661.949000031</v>
      </c>
      <c r="G61" s="124">
        <v>15659763.357000006</v>
      </c>
      <c r="H61" s="124">
        <v>-116415700.19499998</v>
      </c>
      <c r="I61" s="124">
        <v>50361433.73400002</v>
      </c>
      <c r="J61" s="124">
        <v>63822369.434999987</v>
      </c>
      <c r="K61" s="124">
        <v>-7237002.6639999934</v>
      </c>
      <c r="L61" s="124">
        <v>-28295960.893999994</v>
      </c>
      <c r="M61" s="124">
        <v>7860209.7290000208</v>
      </c>
      <c r="N61" s="124">
        <v>25117444.525999993</v>
      </c>
      <c r="O61" s="124">
        <v>-44259443.584000021</v>
      </c>
      <c r="P61" s="124">
        <v>17236614.604000024</v>
      </c>
    </row>
    <row r="62" spans="1:16" x14ac:dyDescent="0.2">
      <c r="A62" s="123">
        <f t="shared" si="1"/>
        <v>54</v>
      </c>
      <c r="B62" s="123" t="str">
        <f t="shared" si="13"/>
        <v>Firm Resale</v>
      </c>
      <c r="C62" s="117"/>
      <c r="D62" s="124">
        <f t="shared" si="14"/>
        <v>49002</v>
      </c>
      <c r="E62" s="124">
        <v>-273340</v>
      </c>
      <c r="F62" s="124">
        <v>201840</v>
      </c>
      <c r="G62" s="124">
        <v>-103980</v>
      </c>
      <c r="H62" s="124">
        <v>-113440</v>
      </c>
      <c r="I62" s="124">
        <v>-183480</v>
      </c>
      <c r="J62" s="124">
        <v>-61240</v>
      </c>
      <c r="K62" s="124">
        <v>-27583</v>
      </c>
      <c r="L62" s="124">
        <v>33425</v>
      </c>
      <c r="M62" s="124">
        <v>50620</v>
      </c>
      <c r="N62" s="124">
        <v>131660</v>
      </c>
      <c r="O62" s="124">
        <v>202560</v>
      </c>
      <c r="P62" s="124">
        <v>191960</v>
      </c>
    </row>
    <row r="63" spans="1:16" x14ac:dyDescent="0.2">
      <c r="A63" s="123">
        <f t="shared" si="1"/>
        <v>55</v>
      </c>
      <c r="B63" s="123" t="str">
        <f t="shared" si="13"/>
        <v>Total</v>
      </c>
      <c r="C63" s="117"/>
      <c r="D63" s="124">
        <f t="shared" ref="D63" si="15">SUM(D48:D62)</f>
        <v>117225233.29770803</v>
      </c>
      <c r="E63" s="124">
        <f>SUM(E48:E62)</f>
        <v>-99529654.243534625</v>
      </c>
      <c r="F63" s="124">
        <f t="shared" ref="F63:P63" si="16">SUM(F48:F62)</f>
        <v>-83945825.237862483</v>
      </c>
      <c r="G63" s="124">
        <f t="shared" si="16"/>
        <v>-79880436.864286527</v>
      </c>
      <c r="H63" s="124">
        <f t="shared" si="16"/>
        <v>-220583578.57677278</v>
      </c>
      <c r="I63" s="124">
        <f t="shared" si="16"/>
        <v>5688911.9761216417</v>
      </c>
      <c r="J63" s="124">
        <f t="shared" si="16"/>
        <v>70716587.421179056</v>
      </c>
      <c r="K63" s="124">
        <f t="shared" si="16"/>
        <v>60026276.366878882</v>
      </c>
      <c r="L63" s="124">
        <f t="shared" si="16"/>
        <v>57377588.738349438</v>
      </c>
      <c r="M63" s="124">
        <f t="shared" si="16"/>
        <v>-57742746.174576715</v>
      </c>
      <c r="N63" s="124">
        <f t="shared" si="16"/>
        <v>153426802.6817604</v>
      </c>
      <c r="O63" s="124">
        <f t="shared" si="16"/>
        <v>71145827.327195302</v>
      </c>
      <c r="P63" s="124">
        <f t="shared" si="16"/>
        <v>240525479.88325649</v>
      </c>
    </row>
    <row r="64" spans="1:16" ht="10.8" thickBot="1" x14ac:dyDescent="0.25">
      <c r="A64" s="123">
        <f t="shared" si="1"/>
        <v>56</v>
      </c>
      <c r="B64" s="123" t="s">
        <v>198</v>
      </c>
      <c r="C64" s="117"/>
      <c r="D64" s="124">
        <f>D63-D61</f>
        <v>116760644.973708</v>
      </c>
      <c r="E64" s="124">
        <f>+E63-E61</f>
        <v>-132399176.46853462</v>
      </c>
      <c r="F64" s="124">
        <f t="shared" ref="F64:P64" si="17">+F63-F61</f>
        <v>-67691163.288862452</v>
      </c>
      <c r="G64" s="124">
        <f t="shared" si="17"/>
        <v>-95540200.221286535</v>
      </c>
      <c r="H64" s="124">
        <f t="shared" si="17"/>
        <v>-104167878.3817728</v>
      </c>
      <c r="I64" s="124">
        <f t="shared" si="17"/>
        <v>-44672521.757878378</v>
      </c>
      <c r="J64" s="124">
        <f t="shared" si="17"/>
        <v>6894217.9861790687</v>
      </c>
      <c r="K64" s="124">
        <f t="shared" si="17"/>
        <v>67263279.030878872</v>
      </c>
      <c r="L64" s="124">
        <f t="shared" si="17"/>
        <v>85673549.632349432</v>
      </c>
      <c r="M64" s="124">
        <f t="shared" si="17"/>
        <v>-65602955.903576732</v>
      </c>
      <c r="N64" s="124">
        <f t="shared" si="17"/>
        <v>128309358.15576041</v>
      </c>
      <c r="O64" s="124">
        <f t="shared" si="17"/>
        <v>115405270.91119532</v>
      </c>
      <c r="P64" s="124">
        <f t="shared" si="17"/>
        <v>223288865.27925646</v>
      </c>
    </row>
    <row r="65" spans="1:16" ht="10.8" thickBot="1" x14ac:dyDescent="0.25">
      <c r="A65" s="123">
        <f t="shared" si="1"/>
        <v>57</v>
      </c>
      <c r="B65" s="117"/>
      <c r="C65" s="117"/>
      <c r="D65" s="277" t="s">
        <v>201</v>
      </c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9"/>
    </row>
    <row r="66" spans="1:16" x14ac:dyDescent="0.2">
      <c r="A66" s="123">
        <f t="shared" si="1"/>
        <v>58</v>
      </c>
      <c r="B66" s="123">
        <f>+B48</f>
        <v>7</v>
      </c>
      <c r="C66" s="117"/>
      <c r="D66" s="124">
        <f>SUM(E66:P66)</f>
        <v>-855.29145687073469</v>
      </c>
      <c r="E66" s="124">
        <v>66877985.715663314</v>
      </c>
      <c r="F66" s="124">
        <v>-42015191.180842318</v>
      </c>
      <c r="G66" s="124">
        <v>4288040.5180652607</v>
      </c>
      <c r="H66" s="124">
        <v>9065379.7749847509</v>
      </c>
      <c r="I66" s="124">
        <v>16312540.537563369</v>
      </c>
      <c r="J66" s="124">
        <v>-3591209.1667542555</v>
      </c>
      <c r="K66" s="124">
        <v>-5993996.9342778185</v>
      </c>
      <c r="L66" s="124">
        <v>-33920188.590283319</v>
      </c>
      <c r="M66" s="124">
        <v>-9721052.815079134</v>
      </c>
      <c r="N66" s="124">
        <v>1856368.5699666671</v>
      </c>
      <c r="O66" s="124">
        <v>16161517.994940855</v>
      </c>
      <c r="P66" s="124">
        <v>-19321049.715404246</v>
      </c>
    </row>
    <row r="67" spans="1:16" x14ac:dyDescent="0.2">
      <c r="A67" s="123">
        <f t="shared" si="1"/>
        <v>59</v>
      </c>
      <c r="B67" s="123" t="str">
        <f t="shared" ref="B67:B81" si="18">+B49</f>
        <v>7A</v>
      </c>
      <c r="C67" s="117"/>
      <c r="D67" s="124">
        <f t="shared" ref="D67:D80" si="19">SUM(E67:P67)</f>
        <v>0</v>
      </c>
      <c r="E67" s="124">
        <v>0</v>
      </c>
      <c r="F67" s="124">
        <v>0</v>
      </c>
      <c r="G67" s="124">
        <v>0</v>
      </c>
      <c r="H67" s="124">
        <v>0</v>
      </c>
      <c r="I67" s="124">
        <v>0</v>
      </c>
      <c r="J67" s="124">
        <v>0</v>
      </c>
      <c r="K67" s="124">
        <v>0</v>
      </c>
      <c r="L67" s="124">
        <v>0</v>
      </c>
      <c r="M67" s="124">
        <v>0</v>
      </c>
      <c r="N67" s="124">
        <v>0</v>
      </c>
      <c r="O67" s="124">
        <v>0</v>
      </c>
      <c r="P67" s="124">
        <v>0</v>
      </c>
    </row>
    <row r="68" spans="1:16" x14ac:dyDescent="0.2">
      <c r="A68" s="123">
        <f t="shared" si="1"/>
        <v>60</v>
      </c>
      <c r="B68" s="123" t="str">
        <f t="shared" si="18"/>
        <v>8/24</v>
      </c>
      <c r="C68" s="117"/>
      <c r="D68" s="124">
        <f t="shared" si="19"/>
        <v>-5449847.9603477279</v>
      </c>
      <c r="E68" s="124">
        <v>8626910.2279156782</v>
      </c>
      <c r="F68" s="124">
        <v>-5481933.6907590721</v>
      </c>
      <c r="G68" s="124">
        <v>745509.06462240987</v>
      </c>
      <c r="H68" s="124">
        <v>813004.88852421788</v>
      </c>
      <c r="I68" s="124">
        <v>862900.61798422865</v>
      </c>
      <c r="J68" s="124">
        <v>-696115.70638900099</v>
      </c>
      <c r="K68" s="124">
        <v>-1158620.4191968231</v>
      </c>
      <c r="L68" s="124">
        <v>-6572634.3775028605</v>
      </c>
      <c r="M68" s="124">
        <v>-1881678.902250129</v>
      </c>
      <c r="N68" s="124">
        <v>-686738.54555897252</v>
      </c>
      <c r="O68" s="124">
        <v>2161267.9476101822</v>
      </c>
      <c r="P68" s="124">
        <v>-2181719.0653475863</v>
      </c>
    </row>
    <row r="69" spans="1:16" x14ac:dyDescent="0.2">
      <c r="A69" s="123">
        <f t="shared" si="1"/>
        <v>61</v>
      </c>
      <c r="B69" s="123" t="str">
        <f t="shared" si="18"/>
        <v>11/25</v>
      </c>
      <c r="C69" s="117"/>
      <c r="D69" s="124">
        <f t="shared" si="19"/>
        <v>-7162081.5665613404</v>
      </c>
      <c r="E69" s="124">
        <v>5544402.9545843191</v>
      </c>
      <c r="F69" s="124">
        <v>-3595838.5454527787</v>
      </c>
      <c r="G69" s="124">
        <v>596227.57548812602</v>
      </c>
      <c r="H69" s="124">
        <v>345896.87734870042</v>
      </c>
      <c r="I69" s="124">
        <v>-152170.63914148929</v>
      </c>
      <c r="J69" s="124">
        <v>-644412.87503219338</v>
      </c>
      <c r="K69" s="124">
        <v>-1028814.5698122986</v>
      </c>
      <c r="L69" s="124">
        <v>-5823531.9715645825</v>
      </c>
      <c r="M69" s="124">
        <v>-1668102.2834017265</v>
      </c>
      <c r="N69" s="124">
        <v>-922426.89667903027</v>
      </c>
      <c r="O69" s="124">
        <v>1413716.1695967673</v>
      </c>
      <c r="P69" s="124">
        <v>-1227027.362495153</v>
      </c>
    </row>
    <row r="70" spans="1:16" x14ac:dyDescent="0.2">
      <c r="A70" s="123">
        <f t="shared" si="1"/>
        <v>62</v>
      </c>
      <c r="B70" s="123" t="str">
        <f t="shared" si="18"/>
        <v>12/26/26P</v>
      </c>
      <c r="C70" s="117"/>
      <c r="D70" s="124">
        <f t="shared" si="19"/>
        <v>-5569549.8199634841</v>
      </c>
      <c r="E70" s="124">
        <v>607328.85200809536</v>
      </c>
      <c r="F70" s="124">
        <v>-373303.65473632747</v>
      </c>
      <c r="G70" s="124">
        <v>-20033.832224730424</v>
      </c>
      <c r="H70" s="124">
        <v>66915.15164892326</v>
      </c>
      <c r="I70" s="124">
        <v>-112197.22279556497</v>
      </c>
      <c r="J70" s="124">
        <v>-369836.98904181394</v>
      </c>
      <c r="K70" s="124">
        <v>-575997.63122757047</v>
      </c>
      <c r="L70" s="124">
        <v>-3272783.7313340106</v>
      </c>
      <c r="M70" s="124">
        <v>-934281.55358628125</v>
      </c>
      <c r="N70" s="124">
        <v>-497089.95996943099</v>
      </c>
      <c r="O70" s="124">
        <v>114910.56523354255</v>
      </c>
      <c r="P70" s="124">
        <v>-203179.81393831514</v>
      </c>
    </row>
    <row r="71" spans="1:16" x14ac:dyDescent="0.2">
      <c r="A71" s="123">
        <f t="shared" si="1"/>
        <v>63</v>
      </c>
      <c r="B71" s="123">
        <f t="shared" si="18"/>
        <v>29</v>
      </c>
      <c r="C71" s="117"/>
      <c r="D71" s="124">
        <f t="shared" si="19"/>
        <v>-403837.91482737218</v>
      </c>
      <c r="E71" s="124">
        <v>0</v>
      </c>
      <c r="F71" s="124">
        <v>0</v>
      </c>
      <c r="G71" s="124">
        <v>0</v>
      </c>
      <c r="H71" s="124">
        <v>0</v>
      </c>
      <c r="I71" s="124">
        <v>-16577.61014609602</v>
      </c>
      <c r="J71" s="124">
        <v>-25243.029481550468</v>
      </c>
      <c r="K71" s="124">
        <v>-42778.04960589121</v>
      </c>
      <c r="L71" s="124">
        <v>-248366.82028415657</v>
      </c>
      <c r="M71" s="124">
        <v>-70872.40530967791</v>
      </c>
      <c r="N71" s="124">
        <v>0</v>
      </c>
      <c r="O71" s="124">
        <v>0</v>
      </c>
      <c r="P71" s="124">
        <v>0</v>
      </c>
    </row>
    <row r="72" spans="1:16" x14ac:dyDescent="0.2">
      <c r="A72" s="123">
        <f t="shared" si="1"/>
        <v>64</v>
      </c>
      <c r="B72" s="123" t="str">
        <f t="shared" si="18"/>
        <v>10/31</v>
      </c>
      <c r="C72" s="117"/>
      <c r="D72" s="124">
        <f t="shared" si="19"/>
        <v>-2089863.5634308257</v>
      </c>
      <c r="E72" s="124">
        <v>614909.62300118676</v>
      </c>
      <c r="F72" s="124">
        <v>-379134.20720748906</v>
      </c>
      <c r="G72" s="124">
        <v>-16516.302133924415</v>
      </c>
      <c r="H72" s="124">
        <v>68313.104232891754</v>
      </c>
      <c r="I72" s="124">
        <v>47954.515433252251</v>
      </c>
      <c r="J72" s="124">
        <v>-124741.74219062363</v>
      </c>
      <c r="K72" s="124">
        <v>-209503.2916628955</v>
      </c>
      <c r="L72" s="124">
        <v>-1189135.3275663021</v>
      </c>
      <c r="M72" s="124">
        <v>-339640.38388547651</v>
      </c>
      <c r="N72" s="124">
        <v>-476832.16598136618</v>
      </c>
      <c r="O72" s="124">
        <v>118361.42558256934</v>
      </c>
      <c r="P72" s="124">
        <v>-203898.81105264858</v>
      </c>
    </row>
    <row r="73" spans="1:16" x14ac:dyDescent="0.2">
      <c r="A73" s="123">
        <f t="shared" si="1"/>
        <v>65</v>
      </c>
      <c r="B73" s="123">
        <f t="shared" si="18"/>
        <v>35</v>
      </c>
      <c r="C73" s="117"/>
      <c r="D73" s="124">
        <f t="shared" si="19"/>
        <v>0</v>
      </c>
      <c r="E73" s="124">
        <v>0</v>
      </c>
      <c r="F73" s="124">
        <v>0</v>
      </c>
      <c r="G73" s="124">
        <v>0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</row>
    <row r="74" spans="1:16" x14ac:dyDescent="0.2">
      <c r="A74" s="123">
        <f t="shared" si="1"/>
        <v>66</v>
      </c>
      <c r="B74" s="123">
        <f t="shared" si="18"/>
        <v>43</v>
      </c>
      <c r="C74" s="117"/>
      <c r="D74" s="124">
        <f t="shared" si="19"/>
        <v>461100.14024450612</v>
      </c>
      <c r="E74" s="124">
        <v>1278947.0155178648</v>
      </c>
      <c r="F74" s="124">
        <v>-805360.97786270583</v>
      </c>
      <c r="G74" s="124">
        <v>106972.00302499841</v>
      </c>
      <c r="H74" s="124">
        <v>123335.16021573462</v>
      </c>
      <c r="I74" s="124">
        <v>194841.08872132614</v>
      </c>
      <c r="J74" s="124">
        <v>-22312.587019634633</v>
      </c>
      <c r="K74" s="124">
        <v>-38428.252232767474</v>
      </c>
      <c r="L74" s="124">
        <v>-217249.35343387065</v>
      </c>
      <c r="M74" s="124">
        <v>-61780.941294229837</v>
      </c>
      <c r="N74" s="124">
        <v>-89805.073325232574</v>
      </c>
      <c r="O74" s="124">
        <v>319418.21971213468</v>
      </c>
      <c r="P74" s="124">
        <v>-327476.16177911166</v>
      </c>
    </row>
    <row r="75" spans="1:16" x14ac:dyDescent="0.2">
      <c r="A75" s="123">
        <f t="shared" ref="A75:A82" si="20">+A74+1</f>
        <v>67</v>
      </c>
      <c r="B75" s="123">
        <f t="shared" si="18"/>
        <v>40</v>
      </c>
      <c r="C75" s="117"/>
      <c r="D75" s="128">
        <f t="shared" si="19"/>
        <v>-1733687.0572225826</v>
      </c>
      <c r="E75" s="128">
        <v>323292.66937266284</v>
      </c>
      <c r="F75" s="128">
        <v>-195910.88666604593</v>
      </c>
      <c r="G75" s="128">
        <v>-17161.015193317213</v>
      </c>
      <c r="H75" s="128">
        <v>34788.129201732998</v>
      </c>
      <c r="I75" s="128">
        <v>681.77386271700243</v>
      </c>
      <c r="J75" s="128">
        <v>-98430.767731719243</v>
      </c>
      <c r="K75" s="128">
        <v>-170203.1193092583</v>
      </c>
      <c r="L75" s="128">
        <v>-962222.20564157516</v>
      </c>
      <c r="M75" s="128">
        <v>-275377.74416569981</v>
      </c>
      <c r="N75" s="128">
        <v>-318499.29953583301</v>
      </c>
      <c r="O75" s="128">
        <v>57856.570356593635</v>
      </c>
      <c r="P75" s="128">
        <v>-112501.16177284048</v>
      </c>
    </row>
    <row r="76" spans="1:16" x14ac:dyDescent="0.2">
      <c r="A76" s="123">
        <f t="shared" si="20"/>
        <v>68</v>
      </c>
      <c r="B76" s="123">
        <f t="shared" si="18"/>
        <v>46</v>
      </c>
      <c r="C76" s="117"/>
      <c r="D76" s="124">
        <f t="shared" si="19"/>
        <v>0</v>
      </c>
      <c r="E76" s="124">
        <v>0</v>
      </c>
      <c r="F76" s="124">
        <v>0</v>
      </c>
      <c r="G76" s="124">
        <v>0</v>
      </c>
      <c r="H76" s="124">
        <v>0</v>
      </c>
      <c r="I76" s="124">
        <v>0</v>
      </c>
      <c r="J76" s="124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</row>
    <row r="77" spans="1:16" x14ac:dyDescent="0.2">
      <c r="A77" s="123">
        <f t="shared" si="20"/>
        <v>69</v>
      </c>
      <c r="B77" s="123">
        <f t="shared" si="18"/>
        <v>49</v>
      </c>
      <c r="C77" s="117"/>
      <c r="D77" s="124">
        <f t="shared" si="19"/>
        <v>0</v>
      </c>
      <c r="E77" s="124">
        <v>0</v>
      </c>
      <c r="F77" s="124">
        <v>0</v>
      </c>
      <c r="G77" s="124">
        <v>0</v>
      </c>
      <c r="H77" s="124">
        <v>0</v>
      </c>
      <c r="I77" s="124">
        <v>0</v>
      </c>
      <c r="J77" s="124">
        <v>0</v>
      </c>
      <c r="K77" s="124">
        <v>0</v>
      </c>
      <c r="L77" s="124">
        <v>0</v>
      </c>
      <c r="M77" s="124">
        <v>0</v>
      </c>
      <c r="N77" s="124">
        <v>0</v>
      </c>
      <c r="O77" s="124">
        <v>0</v>
      </c>
      <c r="P77" s="124">
        <v>0</v>
      </c>
    </row>
    <row r="78" spans="1:16" x14ac:dyDescent="0.2">
      <c r="A78" s="123">
        <f t="shared" si="20"/>
        <v>70</v>
      </c>
      <c r="B78" s="123" t="str">
        <f t="shared" si="18"/>
        <v>50-59</v>
      </c>
      <c r="C78" s="117"/>
      <c r="D78" s="124">
        <f t="shared" si="19"/>
        <v>0</v>
      </c>
      <c r="E78" s="124">
        <v>0</v>
      </c>
      <c r="F78" s="124">
        <v>0</v>
      </c>
      <c r="G78" s="124">
        <v>0</v>
      </c>
      <c r="H78" s="124">
        <v>0</v>
      </c>
      <c r="I78" s="124">
        <v>0</v>
      </c>
      <c r="J78" s="124">
        <v>0</v>
      </c>
      <c r="K78" s="124">
        <v>0</v>
      </c>
      <c r="L78" s="124">
        <v>0</v>
      </c>
      <c r="M78" s="124">
        <v>0</v>
      </c>
      <c r="N78" s="124">
        <v>0</v>
      </c>
      <c r="O78" s="124">
        <v>0</v>
      </c>
      <c r="P78" s="124">
        <v>0</v>
      </c>
    </row>
    <row r="79" spans="1:16" x14ac:dyDescent="0.2">
      <c r="A79" s="123">
        <f t="shared" si="20"/>
        <v>71</v>
      </c>
      <c r="B79" s="123" t="str">
        <f t="shared" si="18"/>
        <v>449/459</v>
      </c>
      <c r="C79" s="117"/>
      <c r="D79" s="124">
        <f t="shared" si="19"/>
        <v>0</v>
      </c>
      <c r="E79" s="124">
        <v>0</v>
      </c>
      <c r="F79" s="124">
        <v>0</v>
      </c>
      <c r="G79" s="124">
        <v>0</v>
      </c>
      <c r="H79" s="124">
        <v>0</v>
      </c>
      <c r="I79" s="124">
        <v>0</v>
      </c>
      <c r="J79" s="124">
        <v>0</v>
      </c>
      <c r="K79" s="124">
        <v>0</v>
      </c>
      <c r="L79" s="124">
        <v>0</v>
      </c>
      <c r="M79" s="124">
        <v>0</v>
      </c>
      <c r="N79" s="124">
        <v>0</v>
      </c>
      <c r="O79" s="124">
        <v>0</v>
      </c>
      <c r="P79" s="124">
        <v>0</v>
      </c>
    </row>
    <row r="80" spans="1:16" x14ac:dyDescent="0.2">
      <c r="A80" s="123">
        <f t="shared" si="20"/>
        <v>72</v>
      </c>
      <c r="B80" s="123" t="str">
        <f t="shared" si="18"/>
        <v>Firm Resale</v>
      </c>
      <c r="C80" s="117"/>
      <c r="D80" s="124">
        <f t="shared" si="19"/>
        <v>21773.578241899639</v>
      </c>
      <c r="E80" s="124">
        <v>31550.575685571574</v>
      </c>
      <c r="F80" s="124">
        <v>-19715.601014669577</v>
      </c>
      <c r="G80" s="124">
        <v>1750.8794533845605</v>
      </c>
      <c r="H80" s="124">
        <v>4765.8653889220859</v>
      </c>
      <c r="I80" s="124">
        <v>10037.355552603472</v>
      </c>
      <c r="J80" s="124">
        <v>-452.48855741942174</v>
      </c>
      <c r="K80" s="124">
        <v>-764.50955524104654</v>
      </c>
      <c r="L80" s="124">
        <v>-4322.059862730639</v>
      </c>
      <c r="M80" s="124">
        <v>-1236.9274874032812</v>
      </c>
      <c r="N80" s="124">
        <v>2184.1236354714624</v>
      </c>
      <c r="O80" s="124">
        <v>7542.3985661410916</v>
      </c>
      <c r="P80" s="124">
        <v>-9566.0335627306431</v>
      </c>
    </row>
    <row r="81" spans="1:16" x14ac:dyDescent="0.2">
      <c r="A81" s="123">
        <f t="shared" si="20"/>
        <v>73</v>
      </c>
      <c r="B81" s="123" t="str">
        <f t="shared" si="18"/>
        <v>Total</v>
      </c>
      <c r="C81" s="117"/>
      <c r="D81" s="124">
        <f t="shared" ref="D81" si="21">SUM(D66:D80)</f>
        <v>-21926849.4553238</v>
      </c>
      <c r="E81" s="124">
        <f>SUM(E66:E80)</f>
        <v>83905327.63374868</v>
      </c>
      <c r="F81" s="124">
        <f t="shared" ref="F81:P81" si="22">SUM(F66:F80)</f>
        <v>-52866388.744541399</v>
      </c>
      <c r="G81" s="124">
        <f t="shared" si="22"/>
        <v>5684788.8911022069</v>
      </c>
      <c r="H81" s="124">
        <f t="shared" si="22"/>
        <v>10522398.951545876</v>
      </c>
      <c r="I81" s="124">
        <f t="shared" si="22"/>
        <v>17148010.417034343</v>
      </c>
      <c r="J81" s="124">
        <f t="shared" si="22"/>
        <v>-5572755.3521982115</v>
      </c>
      <c r="K81" s="124">
        <f t="shared" si="22"/>
        <v>-9219106.7768805642</v>
      </c>
      <c r="L81" s="124">
        <f t="shared" si="22"/>
        <v>-52210434.437473409</v>
      </c>
      <c r="M81" s="124">
        <f t="shared" si="22"/>
        <v>-14954023.956459759</v>
      </c>
      <c r="N81" s="124">
        <f t="shared" si="22"/>
        <v>-1132839.247447727</v>
      </c>
      <c r="O81" s="124">
        <f t="shared" si="22"/>
        <v>20354591.291598786</v>
      </c>
      <c r="P81" s="124">
        <f t="shared" si="22"/>
        <v>-23586418.125352636</v>
      </c>
    </row>
    <row r="82" spans="1:16" x14ac:dyDescent="0.2">
      <c r="A82" s="123">
        <f t="shared" si="20"/>
        <v>74</v>
      </c>
      <c r="B82" s="123" t="s">
        <v>198</v>
      </c>
      <c r="C82" s="117"/>
      <c r="D82" s="124">
        <f>D81-D79</f>
        <v>-21926849.4553238</v>
      </c>
      <c r="E82" s="124">
        <f t="shared" ref="E82:P82" si="23">E81-E79</f>
        <v>83905327.63374868</v>
      </c>
      <c r="F82" s="124">
        <f t="shared" si="23"/>
        <v>-52866388.744541399</v>
      </c>
      <c r="G82" s="124">
        <f t="shared" si="23"/>
        <v>5684788.8911022069</v>
      </c>
      <c r="H82" s="124">
        <f t="shared" si="23"/>
        <v>10522398.951545876</v>
      </c>
      <c r="I82" s="124">
        <f t="shared" si="23"/>
        <v>17148010.417034343</v>
      </c>
      <c r="J82" s="124">
        <f t="shared" si="23"/>
        <v>-5572755.3521982115</v>
      </c>
      <c r="K82" s="124">
        <f t="shared" si="23"/>
        <v>-9219106.7768805642</v>
      </c>
      <c r="L82" s="124">
        <f t="shared" si="23"/>
        <v>-52210434.437473409</v>
      </c>
      <c r="M82" s="124">
        <f t="shared" si="23"/>
        <v>-14954023.956459759</v>
      </c>
      <c r="N82" s="124">
        <f t="shared" si="23"/>
        <v>-1132839.247447727</v>
      </c>
      <c r="O82" s="124">
        <f t="shared" si="23"/>
        <v>20354591.291598786</v>
      </c>
      <c r="P82" s="124">
        <f t="shared" si="23"/>
        <v>-23586418.125352636</v>
      </c>
    </row>
  </sheetData>
  <mergeCells count="10">
    <mergeCell ref="D29:P29"/>
    <mergeCell ref="D47:P47"/>
    <mergeCell ref="D65:P65"/>
    <mergeCell ref="A3:P3"/>
    <mergeCell ref="A1:P1"/>
    <mergeCell ref="A2:P2"/>
    <mergeCell ref="A4:P4"/>
    <mergeCell ref="A5:P5"/>
    <mergeCell ref="D8:P8"/>
    <mergeCell ref="D11:P11"/>
  </mergeCells>
  <pageMargins left="0.75" right="0.75" top="1" bottom="1" header="0.5" footer="0.5"/>
  <pageSetup scale="56" orientation="landscape" horizontalDpi="300" verticalDpi="300" r:id="rId1"/>
  <headerFooter alignWithMargins="0">
    <oddFooter>&amp;R&amp;F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D03F98BB6489B46AEDFE19F30E73CE4" ma:contentTypeVersion="48" ma:contentTypeDescription="" ma:contentTypeScope="" ma:versionID="aea07f8b546b6e828d27262d2246c83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2019-03-15T07:00:00+00:00</OpenedDate>
    <SignificantOrder xmlns="dc463f71-b30c-4ab2-9473-d307f9d35888">false</SignificantOrder>
    <Date1 xmlns="dc463f71-b30c-4ab2-9473-d307f9d35888">2019-03-15T07:00:00+00:00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190176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EF8C2B3-A666-45E6-954D-EDBDC0BAFBEB}"/>
</file>

<file path=customXml/itemProps2.xml><?xml version="1.0" encoding="utf-8"?>
<ds:datastoreItem xmlns:ds="http://schemas.openxmlformats.org/officeDocument/2006/customXml" ds:itemID="{035C84CB-E3AE-4B76-902C-F58888BD7BBD}"/>
</file>

<file path=customXml/itemProps3.xml><?xml version="1.0" encoding="utf-8"?>
<ds:datastoreItem xmlns:ds="http://schemas.openxmlformats.org/officeDocument/2006/customXml" ds:itemID="{9705B6EF-7625-4F72-AB74-4D27CE9EC33C}"/>
</file>

<file path=customXml/itemProps4.xml><?xml version="1.0" encoding="utf-8"?>
<ds:datastoreItem xmlns:ds="http://schemas.openxmlformats.org/officeDocument/2006/customXml" ds:itemID="{59B891AC-DFA6-443B-8241-3897CC0F8D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JAP-10 Page 1</vt:lpstr>
      <vt:lpstr>JAP-10 Page 2 </vt:lpstr>
      <vt:lpstr>JAP-10 Page 3</vt:lpstr>
      <vt:lpstr>Work Papers For Exhibits--&gt;</vt:lpstr>
      <vt:lpstr>2017 GRC PCA Costs (with MS)</vt:lpstr>
      <vt:lpstr>Exhibit A-1 (2017 GRC)</vt:lpstr>
      <vt:lpstr>2017 GRC PCA Costs (2018 ERF)</vt:lpstr>
      <vt:lpstr>JAP-10 Page 2 (2018 ERF)</vt:lpstr>
      <vt:lpstr>Summary Normal Monthly kWh</vt:lpstr>
      <vt:lpstr>Sch 40 Details</vt:lpstr>
      <vt:lpstr>Forecast F2018</vt:lpstr>
      <vt:lpstr>'2017 GRC PCA Costs (2018 ERF)'!Print_Area</vt:lpstr>
      <vt:lpstr>'Exhibit A-1 (2017 GRC)'!Print_Area</vt:lpstr>
      <vt:lpstr>'JAP-10 Page 2 '!Print_Area</vt:lpstr>
      <vt:lpstr>'Summary Normal Monthly kWh'!Print_Area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2019-03-13T19:17:29Z</cp:lastPrinted>
  <dcterms:created xsi:type="dcterms:W3CDTF">2012-10-25T22:13:28Z</dcterms:created>
  <dcterms:modified xsi:type="dcterms:W3CDTF">2019-03-13T21:58:48Z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0x0101006E56B4D1795A2E4DB2F0B01679ED314A00AD03F98BB6489B46AEDFE19F30E73CE4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