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4520" windowHeight="14580" tabRatio="826"/>
  </bookViews>
  <sheets>
    <sheet name="Revenue Requirement" sheetId="1" r:id="rId1"/>
    <sheet name="Tracking Accounts" sheetId="2" r:id="rId2"/>
    <sheet name="Interest Review for Jan 2019" sheetId="6" r:id="rId3"/>
    <sheet name="Conv F and COC UE-180282" sheetId="5" r:id="rId4"/>
    <sheet name="Interest 2019 Rate" sheetId="7" r:id="rId5"/>
    <sheet name="Interest 2018 Rate" sheetId="8" r:id="rId6"/>
  </sheets>
  <externalReferences>
    <externalReference r:id="rId7"/>
    <externalReference r:id="rId8"/>
  </externalReferences>
  <definedNames>
    <definedName name="_Testyear">'[1]KJB-6,13 Cmn Adj'!$B$7</definedName>
    <definedName name="k_FITrate" localSheetId="2">'[2]Conv Factor'!$L$20</definedName>
    <definedName name="k_FITrate">'Conv F and COC UE-180282'!$L$20</definedName>
    <definedName name="_xlnm.Print_Area" localSheetId="0">'Revenue Requirement'!$A$1:$D$16</definedName>
  </definedNames>
  <calcPr calcId="145621"/>
</workbook>
</file>

<file path=xl/calcChain.xml><?xml version="1.0" encoding="utf-8"?>
<calcChain xmlns="http://schemas.openxmlformats.org/spreadsheetml/2006/main">
  <c r="B10" i="7" l="1"/>
  <c r="B9" i="7"/>
  <c r="C41" i="8"/>
  <c r="B41" i="8"/>
  <c r="C40" i="8"/>
  <c r="C39" i="8"/>
  <c r="C38" i="8"/>
  <c r="C37" i="8"/>
  <c r="C36" i="8"/>
  <c r="C35" i="8"/>
  <c r="C34" i="8"/>
  <c r="C33" i="8"/>
  <c r="C32" i="8"/>
  <c r="C31" i="8"/>
  <c r="C30" i="8"/>
  <c r="C29" i="8"/>
  <c r="H10" i="8"/>
  <c r="J9" i="8"/>
  <c r="H9" i="8"/>
  <c r="I9" i="8" s="1"/>
  <c r="B2" i="8"/>
  <c r="C9" i="8" l="1"/>
  <c r="D8" i="8"/>
  <c r="G22" i="8"/>
  <c r="G21" i="8"/>
  <c r="G20" i="8"/>
  <c r="G19" i="8"/>
  <c r="G18" i="8"/>
  <c r="G17" i="8"/>
  <c r="G16" i="8"/>
  <c r="G15" i="8"/>
  <c r="G14" i="8"/>
  <c r="G13" i="8"/>
  <c r="G12" i="8"/>
  <c r="G11" i="8"/>
  <c r="H11" i="8" s="1"/>
  <c r="I10" i="8"/>
  <c r="J10" i="8"/>
  <c r="J24" i="8" s="1"/>
  <c r="I11" i="8" l="1"/>
  <c r="H12" i="8"/>
  <c r="C10" i="8"/>
  <c r="D9" i="8"/>
  <c r="B22" i="8" l="1"/>
  <c r="B21" i="8"/>
  <c r="B20" i="8"/>
  <c r="B19" i="8"/>
  <c r="B18" i="8"/>
  <c r="B17" i="8"/>
  <c r="B16" i="8"/>
  <c r="B15" i="8"/>
  <c r="B14" i="8"/>
  <c r="B13" i="8"/>
  <c r="B12" i="8"/>
  <c r="B11" i="8"/>
  <c r="C11" i="8" s="1"/>
  <c r="D10" i="8"/>
  <c r="E9" i="8"/>
  <c r="I12" i="8"/>
  <c r="J12" i="8" s="1"/>
  <c r="H13" i="8"/>
  <c r="J11" i="8"/>
  <c r="D11" i="8" l="1"/>
  <c r="E11" i="8" s="1"/>
  <c r="C12" i="8"/>
  <c r="I13" i="8"/>
  <c r="H14" i="8"/>
  <c r="E10" i="8"/>
  <c r="E24" i="8" s="1"/>
  <c r="D12" i="8" l="1"/>
  <c r="C13" i="8"/>
  <c r="J13" i="8"/>
  <c r="I14" i="8"/>
  <c r="J14" i="8" s="1"/>
  <c r="H15" i="8"/>
  <c r="E12" i="8"/>
  <c r="I15" i="8" l="1"/>
  <c r="H16" i="8"/>
  <c r="D13" i="8"/>
  <c r="C14" i="8"/>
  <c r="J15" i="8"/>
  <c r="J16" i="8" l="1"/>
  <c r="D14" i="8"/>
  <c r="C15" i="8"/>
  <c r="E14" i="8"/>
  <c r="E13" i="8"/>
  <c r="I16" i="8"/>
  <c r="H17" i="8"/>
  <c r="I17" i="8" l="1"/>
  <c r="H18" i="8"/>
  <c r="D15" i="8"/>
  <c r="C16" i="8"/>
  <c r="J17" i="8"/>
  <c r="E15" i="8"/>
  <c r="D16" i="8" l="1"/>
  <c r="C17" i="8"/>
  <c r="E16" i="8"/>
  <c r="I18" i="8"/>
  <c r="H19" i="8"/>
  <c r="D17" i="8" l="1"/>
  <c r="C18" i="8"/>
  <c r="I19" i="8"/>
  <c r="H20" i="8"/>
  <c r="E17" i="8"/>
  <c r="J19" i="8"/>
  <c r="J18" i="8"/>
  <c r="I20" i="8" l="1"/>
  <c r="J20" i="8" s="1"/>
  <c r="H21" i="8"/>
  <c r="D18" i="8"/>
  <c r="C19" i="8"/>
  <c r="D19" i="8" l="1"/>
  <c r="C20" i="8"/>
  <c r="E18" i="8"/>
  <c r="I21" i="8"/>
  <c r="H22" i="8"/>
  <c r="I22" i="8" s="1"/>
  <c r="J22" i="8" l="1"/>
  <c r="J26" i="8" s="1"/>
  <c r="E20" i="8"/>
  <c r="J21" i="8"/>
  <c r="E19" i="8"/>
  <c r="D20" i="8"/>
  <c r="C21" i="8"/>
  <c r="D21" i="8" l="1"/>
  <c r="E21" i="8" s="1"/>
  <c r="C22" i="8"/>
  <c r="D22" i="8" s="1"/>
  <c r="E22" i="8" l="1"/>
  <c r="E26" i="8" s="1"/>
  <c r="P16" i="6" l="1"/>
  <c r="P15" i="6"/>
  <c r="P14" i="6"/>
  <c r="P13" i="6"/>
  <c r="P12" i="6"/>
  <c r="P11" i="6"/>
  <c r="P10" i="6"/>
  <c r="P9" i="6"/>
  <c r="P8" i="6"/>
  <c r="P7" i="6"/>
  <c r="P6" i="6"/>
  <c r="P5" i="6"/>
  <c r="B2" i="7"/>
  <c r="B1" i="7" l="1"/>
  <c r="C8" i="7"/>
  <c r="C41" i="7" l="1"/>
  <c r="B41" i="7" l="1"/>
  <c r="C9" i="7"/>
  <c r="D9" i="7" s="1"/>
  <c r="D8" i="7"/>
  <c r="C10" i="7" l="1"/>
  <c r="B14" i="7" s="1"/>
  <c r="C31" i="7"/>
  <c r="C35" i="7"/>
  <c r="C39" i="7"/>
  <c r="C32" i="7"/>
  <c r="C36" i="7"/>
  <c r="C40" i="7"/>
  <c r="C29" i="7"/>
  <c r="C33" i="7"/>
  <c r="B15" i="7" s="1"/>
  <c r="C37" i="7"/>
  <c r="C30" i="7"/>
  <c r="C34" i="7"/>
  <c r="C38" i="7"/>
  <c r="E9" i="7"/>
  <c r="B22" i="7" l="1"/>
  <c r="B18" i="7"/>
  <c r="B13" i="7"/>
  <c r="B21" i="7"/>
  <c r="B17" i="7"/>
  <c r="B12" i="7"/>
  <c r="B11" i="7"/>
  <c r="C11" i="7" s="1"/>
  <c r="B20" i="7"/>
  <c r="B16" i="7"/>
  <c r="D10" i="7"/>
  <c r="E10" i="7" s="1"/>
  <c r="E24" i="7" s="1"/>
  <c r="G58" i="2" s="1"/>
  <c r="B19" i="7"/>
  <c r="C12" i="7" l="1"/>
  <c r="C13" i="7" s="1"/>
  <c r="D11" i="7"/>
  <c r="E11" i="7" s="1"/>
  <c r="D12" i="7" l="1"/>
  <c r="E12" i="7" s="1"/>
  <c r="C14" i="7"/>
  <c r="D13" i="7"/>
  <c r="C15" i="7" l="1"/>
  <c r="D14" i="7"/>
  <c r="E13" i="7"/>
  <c r="E14" i="7" l="1"/>
  <c r="C16" i="7"/>
  <c r="D15" i="7"/>
  <c r="C17" i="7" l="1"/>
  <c r="D16" i="7"/>
  <c r="E15" i="7"/>
  <c r="E19" i="6"/>
  <c r="E6" i="6"/>
  <c r="E7" i="6"/>
  <c r="E8" i="6"/>
  <c r="E9" i="6"/>
  <c r="E10" i="6"/>
  <c r="E11" i="6"/>
  <c r="E12" i="6"/>
  <c r="E13" i="6"/>
  <c r="E14" i="6"/>
  <c r="E15" i="6"/>
  <c r="E16" i="6"/>
  <c r="E5" i="6"/>
  <c r="D38" i="5"/>
  <c r="E34" i="5"/>
  <c r="D37" i="5"/>
  <c r="C35" i="5"/>
  <c r="N19" i="6"/>
  <c r="Q19" i="6" s="1"/>
  <c r="S19" i="6" s="1"/>
  <c r="M19" i="6"/>
  <c r="D19" i="6"/>
  <c r="G19" i="6" s="1"/>
  <c r="I19" i="6" s="1"/>
  <c r="C19" i="6"/>
  <c r="R17" i="6"/>
  <c r="H17" i="6"/>
  <c r="M16" i="6"/>
  <c r="N16" i="6" s="1"/>
  <c r="K16" i="6"/>
  <c r="D16" i="6"/>
  <c r="C16" i="6"/>
  <c r="S15" i="6"/>
  <c r="M15" i="6"/>
  <c r="N15" i="6" s="1"/>
  <c r="K15" i="6"/>
  <c r="C15" i="6"/>
  <c r="D15" i="6" s="1"/>
  <c r="K14" i="6"/>
  <c r="K13" i="6"/>
  <c r="K12" i="6"/>
  <c r="K11" i="6"/>
  <c r="K10" i="6"/>
  <c r="K9" i="6"/>
  <c r="K8" i="6"/>
  <c r="K7" i="6"/>
  <c r="L6" i="6"/>
  <c r="L7" i="6" s="1"/>
  <c r="K6" i="6"/>
  <c r="B6" i="6"/>
  <c r="C6" i="6" s="1"/>
  <c r="D6" i="6" s="1"/>
  <c r="L5" i="6"/>
  <c r="K5" i="6"/>
  <c r="C5" i="6"/>
  <c r="D5" i="6" s="1"/>
  <c r="M4" i="6"/>
  <c r="N4" i="6" s="1"/>
  <c r="C4" i="6"/>
  <c r="D4" i="6" s="1"/>
  <c r="C18" i="7" l="1"/>
  <c r="D17" i="7"/>
  <c r="E16" i="7"/>
  <c r="G5" i="6"/>
  <c r="I5" i="6" s="1"/>
  <c r="C38" i="5"/>
  <c r="E38" i="5" s="1"/>
  <c r="C37" i="5"/>
  <c r="C39" i="5" s="1"/>
  <c r="E33" i="5"/>
  <c r="Q16" i="6"/>
  <c r="S16" i="6" s="1"/>
  <c r="L8" i="6"/>
  <c r="M7" i="6"/>
  <c r="N7" i="6" s="1"/>
  <c r="Q7" i="6" s="1"/>
  <c r="S7" i="6" s="1"/>
  <c r="G6" i="6"/>
  <c r="I6" i="6" s="1"/>
  <c r="G16" i="6"/>
  <c r="I16" i="6" s="1"/>
  <c r="M6" i="6"/>
  <c r="B7" i="6"/>
  <c r="N6" i="6"/>
  <c r="M5" i="6"/>
  <c r="N5" i="6" s="1"/>
  <c r="Q5" i="6" s="1"/>
  <c r="C19" i="7" l="1"/>
  <c r="D18" i="7"/>
  <c r="E17" i="7"/>
  <c r="E37" i="5"/>
  <c r="E39" i="5" s="1"/>
  <c r="E35" i="5"/>
  <c r="S5" i="6"/>
  <c r="M8" i="6"/>
  <c r="N8" i="6" s="1"/>
  <c r="Q8" i="6" s="1"/>
  <c r="S8" i="6" s="1"/>
  <c r="L9" i="6"/>
  <c r="B8" i="6"/>
  <c r="C7" i="6"/>
  <c r="D7" i="6" s="1"/>
  <c r="G7" i="6" s="1"/>
  <c r="Q6" i="6"/>
  <c r="S6" i="6" s="1"/>
  <c r="C20" i="7" l="1"/>
  <c r="D19" i="7"/>
  <c r="E18" i="7"/>
  <c r="I7" i="6"/>
  <c r="B9" i="6"/>
  <c r="C8" i="6"/>
  <c r="D8" i="6" s="1"/>
  <c r="G8" i="6" s="1"/>
  <c r="L10" i="6"/>
  <c r="M9" i="6"/>
  <c r="N9" i="6" s="1"/>
  <c r="Q9" i="6" s="1"/>
  <c r="C21" i="7" l="1"/>
  <c r="D20" i="7"/>
  <c r="E20" i="7" s="1"/>
  <c r="E19" i="7"/>
  <c r="I8" i="6"/>
  <c r="S9" i="6"/>
  <c r="B10" i="6"/>
  <c r="C9" i="6"/>
  <c r="D9" i="6"/>
  <c r="G9" i="6" s="1"/>
  <c r="I9" i="6" s="1"/>
  <c r="L11" i="6"/>
  <c r="N10" i="6"/>
  <c r="Q10" i="6" s="1"/>
  <c r="S10" i="6" s="1"/>
  <c r="M10" i="6"/>
  <c r="C22" i="7" l="1"/>
  <c r="D22" i="7" s="1"/>
  <c r="D21" i="7"/>
  <c r="L12" i="6"/>
  <c r="M11" i="6"/>
  <c r="N11" i="6" s="1"/>
  <c r="Q11" i="6" s="1"/>
  <c r="C10" i="6"/>
  <c r="D10" i="6"/>
  <c r="G10" i="6" s="1"/>
  <c r="I10" i="6" s="1"/>
  <c r="B11" i="6"/>
  <c r="E22" i="7" l="1"/>
  <c r="E21" i="7"/>
  <c r="S11" i="6"/>
  <c r="C11" i="6"/>
  <c r="D11" i="6" s="1"/>
  <c r="G11" i="6" s="1"/>
  <c r="I11" i="6" s="1"/>
  <c r="B12" i="6"/>
  <c r="M12" i="6"/>
  <c r="L13" i="6"/>
  <c r="N12" i="6"/>
  <c r="Q12" i="6" s="1"/>
  <c r="S12" i="6" s="1"/>
  <c r="E26" i="7" l="1"/>
  <c r="B11" i="1" s="1"/>
  <c r="M13" i="6"/>
  <c r="N13" i="6" s="1"/>
  <c r="Q13" i="6" s="1"/>
  <c r="S13" i="6" s="1"/>
  <c r="L14" i="6"/>
  <c r="B13" i="6"/>
  <c r="C12" i="6"/>
  <c r="D12" i="6" s="1"/>
  <c r="G12" i="6" s="1"/>
  <c r="I12" i="6" s="1"/>
  <c r="B14" i="6" l="1"/>
  <c r="C13" i="6"/>
  <c r="D13" i="6" s="1"/>
  <c r="G13" i="6" s="1"/>
  <c r="I13" i="6" s="1"/>
  <c r="N14" i="6"/>
  <c r="Q14" i="6" s="1"/>
  <c r="M14" i="6"/>
  <c r="S48" i="6"/>
  <c r="S14" i="6" l="1"/>
  <c r="S17" i="6" s="1"/>
  <c r="S20" i="6" s="1"/>
  <c r="M45" i="2" s="1"/>
  <c r="Q17" i="6"/>
  <c r="I48" i="6"/>
  <c r="C14" i="6"/>
  <c r="D14" i="6"/>
  <c r="G14" i="6" s="1"/>
  <c r="I14" i="6" l="1"/>
  <c r="I17" i="6" s="1"/>
  <c r="I20" i="6" s="1"/>
  <c r="E45" i="2" s="1"/>
  <c r="G17" i="6"/>
  <c r="B21" i="5" l="1"/>
  <c r="B20" i="5"/>
  <c r="B19" i="5"/>
  <c r="B15" i="5"/>
  <c r="E15" i="5" l="1"/>
  <c r="E17" i="5" s="1"/>
  <c r="E19" i="5" s="1"/>
  <c r="E20" i="5" s="1"/>
  <c r="E21" i="5" l="1"/>
  <c r="N45" i="2" l="1"/>
  <c r="B10" i="1" l="1"/>
  <c r="B9" i="1"/>
  <c r="M51" i="2" l="1"/>
  <c r="L51" i="2"/>
  <c r="N50" i="2"/>
  <c r="N49" i="2"/>
  <c r="N48" i="2"/>
  <c r="N47" i="2"/>
  <c r="N46" i="2"/>
  <c r="N44" i="2"/>
  <c r="N43" i="2"/>
  <c r="N42" i="2"/>
  <c r="N41" i="2"/>
  <c r="N40" i="2"/>
  <c r="N39" i="2"/>
  <c r="N38" i="2"/>
  <c r="N37" i="2"/>
  <c r="N36" i="2"/>
  <c r="N35" i="2"/>
  <c r="N34" i="2"/>
  <c r="E51" i="2"/>
  <c r="D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G35" i="2" s="1"/>
  <c r="F34" i="2"/>
  <c r="N51" i="2" l="1"/>
  <c r="O35" i="2"/>
  <c r="O36" i="2" s="1"/>
  <c r="O37" i="2" s="1"/>
  <c r="O38" i="2" s="1"/>
  <c r="O39" i="2" s="1"/>
  <c r="O40" i="2" s="1"/>
  <c r="O41" i="2" s="1"/>
  <c r="O42" i="2" s="1"/>
  <c r="O43" i="2" s="1"/>
  <c r="O44" i="2" s="1"/>
  <c r="O45" i="2" s="1"/>
  <c r="G36" i="2"/>
  <c r="G37" i="2" s="1"/>
  <c r="G38" i="2" s="1"/>
  <c r="G39" i="2" s="1"/>
  <c r="G40" i="2" s="1"/>
  <c r="G41" i="2" s="1"/>
  <c r="G42" i="2" s="1"/>
  <c r="G43" i="2" s="1"/>
  <c r="G44" i="2" s="1"/>
  <c r="G45" i="2" s="1"/>
  <c r="F51" i="2"/>
  <c r="G60" i="2" l="1"/>
  <c r="B12" i="1" s="1"/>
  <c r="O46" i="2"/>
  <c r="O47" i="2" s="1"/>
  <c r="O48" i="2" s="1"/>
  <c r="O49" i="2" s="1"/>
  <c r="O50" i="2" s="1"/>
  <c r="O51" i="2" s="1"/>
  <c r="G46" i="2"/>
  <c r="G47" i="2" s="1"/>
  <c r="G48" i="2" s="1"/>
  <c r="G49" i="2" s="1"/>
  <c r="G50" i="2" s="1"/>
  <c r="G51" i="2" s="1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O9" i="2" s="1"/>
  <c r="F19" i="2"/>
  <c r="F18" i="2"/>
  <c r="F17" i="2"/>
  <c r="F16" i="2"/>
  <c r="F15" i="2"/>
  <c r="F14" i="2"/>
  <c r="F13" i="2"/>
  <c r="F12" i="2"/>
  <c r="F11" i="2"/>
  <c r="F10" i="2"/>
  <c r="F9" i="2"/>
  <c r="F8" i="2"/>
  <c r="O10" i="2" l="1"/>
  <c r="O11" i="2" s="1"/>
  <c r="O12" i="2" s="1"/>
  <c r="O13" i="2" s="1"/>
  <c r="O14" i="2" s="1"/>
  <c r="O15" i="2" s="1"/>
  <c r="O16" i="2" s="1"/>
  <c r="O17" i="2" s="1"/>
  <c r="O18" i="2" s="1"/>
  <c r="O19" i="2" s="1"/>
  <c r="O20" i="2" s="1"/>
  <c r="O21" i="2" s="1"/>
  <c r="O22" i="2" s="1"/>
  <c r="O23" i="2" s="1"/>
  <c r="O24" i="2" s="1"/>
  <c r="O25" i="2" s="1"/>
  <c r="F20" i="2"/>
  <c r="F21" i="2"/>
  <c r="F22" i="2"/>
  <c r="F23" i="2"/>
  <c r="F24" i="2"/>
  <c r="G9" i="2"/>
  <c r="G10" i="2" s="1"/>
  <c r="G11" i="2" s="1"/>
  <c r="G12" i="2" s="1"/>
  <c r="G13" i="2" s="1"/>
  <c r="G14" i="2" s="1"/>
  <c r="G15" i="2" s="1"/>
  <c r="G16" i="2" s="1"/>
  <c r="G17" i="2" s="1"/>
  <c r="G18" i="2" s="1"/>
  <c r="G19" i="2" l="1"/>
  <c r="G20" i="2" s="1"/>
  <c r="G21" i="2" s="1"/>
  <c r="G22" i="2" s="1"/>
  <c r="G23" i="2" s="1"/>
  <c r="G24" i="2" s="1"/>
  <c r="G25" i="2" s="1"/>
  <c r="C9" i="1" l="1"/>
  <c r="B14" i="1" l="1"/>
  <c r="C11" i="1" l="1"/>
  <c r="B13" i="1" l="1"/>
  <c r="B15" i="1" s="1"/>
  <c r="C13" i="1"/>
  <c r="D9" i="1" s="1"/>
  <c r="D11" i="1" l="1"/>
  <c r="D13" i="1" s="1"/>
</calcChain>
</file>

<file path=xl/sharedStrings.xml><?xml version="1.0" encoding="utf-8"?>
<sst xmlns="http://schemas.openxmlformats.org/spreadsheetml/2006/main" count="194" uniqueCount="105">
  <si>
    <t>Gross up for revenue sensitive items</t>
  </si>
  <si>
    <t>Over / under pass back of proceeds from prior rate period</t>
  </si>
  <si>
    <t>Over / under pass back of interest from prior rate period</t>
  </si>
  <si>
    <t>Revenue Requirement</t>
  </si>
  <si>
    <t>Description</t>
  </si>
  <si>
    <t>New net proceeds to be passed back</t>
  </si>
  <si>
    <t>Period</t>
  </si>
  <si>
    <t>Debit</t>
  </si>
  <si>
    <t>Credit</t>
  </si>
  <si>
    <t>Balance</t>
  </si>
  <si>
    <t>Cumulative balance</t>
  </si>
  <si>
    <t>Balance Carryforward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</si>
  <si>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</si>
  <si>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</si>
  <si>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</si>
  <si>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</si>
  <si>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</si>
  <si>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</si>
  <si>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</si>
  <si>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</si>
  <si>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</si>
  <si>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</si>
  <si>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</si>
  <si>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</si>
  <si>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</si>
  <si>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</si>
  <si>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</si>
  <si>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</si>
  <si>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Total</t>
  </si>
  <si>
    <t>Exected Amortization of RECs for November and December 2017</t>
  </si>
  <si>
    <t>PUGET SOUND ENERGY-ELECTRIC</t>
  </si>
  <si>
    <t>CONVERSION FACTOR</t>
  </si>
  <si>
    <t>COMMISSION BASIS REPORT</t>
  </si>
  <si>
    <t>LINE</t>
  </si>
  <si>
    <t>NO.</t>
  </si>
  <si>
    <t>DESCRIPTION</t>
  </si>
  <si>
    <t>RATE</t>
  </si>
  <si>
    <t>BAD DEBTS</t>
  </si>
  <si>
    <t>ANNUAL FILING FEE</t>
  </si>
  <si>
    <t>SUM OF TAXES OTHER</t>
  </si>
  <si>
    <t>25400291 Proceeds Already Set in Rates - Currently Amortizing</t>
  </si>
  <si>
    <t>25400221 REC Current Proceeds Not in Rates</t>
  </si>
  <si>
    <t>Revenue Requirement for Schedule 137</t>
  </si>
  <si>
    <t>REC</t>
  </si>
  <si>
    <t>Sched 137</t>
  </si>
  <si>
    <t>Allocation b/w</t>
  </si>
  <si>
    <t>Prin and Int</t>
  </si>
  <si>
    <t>25400301 Interest on RECs IN RATES</t>
  </si>
  <si>
    <t>25400311 Interest on RECs NOT In Rates</t>
  </si>
  <si>
    <t>REC's 2018 Actuals for 2019 rates</t>
  </si>
  <si>
    <t>To Be Effective January 1, 2019</t>
  </si>
  <si>
    <t>FOR THE TWELVE MONTHS ENDED SEPTEMBER 30, 2016</t>
  </si>
  <si>
    <t>Tax Reform 17GRC Filing in UE-180282</t>
  </si>
  <si>
    <t>True-up for Interest rate per UE-180282 Dec 19, 2017 thru Oct 2018</t>
  </si>
  <si>
    <t>Interest Review for REC proceeds in and not-yet-in rates:  Account # 25400221 and 25400291</t>
  </si>
  <si>
    <t>Date</t>
  </si>
  <si>
    <t>Accumulated DFIT</t>
  </si>
  <si>
    <t>Proceeds net of DFIT</t>
  </si>
  <si>
    <t>Interest %</t>
  </si>
  <si>
    <t>FIT Grossup Factor</t>
  </si>
  <si>
    <t>Monthly Interest on 25400221 S/B CR to 25400311 DR to 43100181</t>
  </si>
  <si>
    <t>Actually Recorded to 25400311</t>
  </si>
  <si>
    <t>Difference S/B recorded to 25400301</t>
  </si>
  <si>
    <t>Net Balance</t>
  </si>
  <si>
    <t>Monthly Interest on 25400291 S/B  CR to 25400301 DR to 43100141</t>
  </si>
  <si>
    <t>Actually Recorded to 25400301</t>
  </si>
  <si>
    <t>Proceeds Not in Rates</t>
  </si>
  <si>
    <t>Proceeds in Rates</t>
  </si>
  <si>
    <t>(a)</t>
  </si>
  <si>
    <t>PRO FORMA COST OF CAPITAL</t>
  </si>
  <si>
    <t>GENERAL RATE CASE</t>
  </si>
  <si>
    <t>PRO FORMA</t>
  </si>
  <si>
    <t>COST</t>
  </si>
  <si>
    <t>COST OF</t>
  </si>
  <si>
    <t>CAPITAL %</t>
  </si>
  <si>
    <t>%</t>
  </si>
  <si>
    <t>CAPITAL</t>
  </si>
  <si>
    <t>SHORT &amp; LONG TERM DEBT</t>
  </si>
  <si>
    <t>EQUITY</t>
  </si>
  <si>
    <t>TOTAL COST OF CAPITAL</t>
  </si>
  <si>
    <t>AFTER TAX DEBT</t>
  </si>
  <si>
    <t>TOTAL AFTER TAX COST OF CAPITAL</t>
  </si>
  <si>
    <t>Interest true-up to be recorded in Jan 2019 represents the higher interest accrual owed to customers due to Cost of Capital authorized in UE-180292.</t>
  </si>
  <si>
    <t>After Tax Rate of Return</t>
  </si>
  <si>
    <t>Grossed up for FIT</t>
  </si>
  <si>
    <t>RECs</t>
  </si>
  <si>
    <t>Month</t>
  </si>
  <si>
    <t>Amortization</t>
  </si>
  <si>
    <t>Proceeds</t>
  </si>
  <si>
    <t>Net of DFIT</t>
  </si>
  <si>
    <t>Interest</t>
  </si>
  <si>
    <t>Shape</t>
  </si>
  <si>
    <t>Load F18</t>
  </si>
  <si>
    <t>Delivered</t>
  </si>
  <si>
    <t>New interest to be passed back</t>
  </si>
  <si>
    <t>Expected Interest Accruals for November and December 2018 unamortized balance of proceeds:</t>
  </si>
  <si>
    <t>Total Interest from 2018 not currently in rates or net un/over amortized  in rates:</t>
  </si>
  <si>
    <t>From UE-180282 with Tax Reform</t>
  </si>
  <si>
    <t>1 minus FIT rate</t>
  </si>
  <si>
    <t>Based on actual balance using authorized ROR and FIT rate</t>
  </si>
  <si>
    <r>
      <t xml:space="preserve">Balance Proceeds </t>
    </r>
    <r>
      <rPr>
        <sz val="11"/>
        <color rgb="FF0000FF"/>
        <rFont val="Calibri"/>
        <family val="2"/>
      </rPr>
      <t>Not In Rates</t>
    </r>
    <r>
      <rPr>
        <sz val="11"/>
        <color theme="1"/>
        <rFont val="Calibri"/>
        <family val="2"/>
        <scheme val="minor"/>
      </rPr>
      <t xml:space="preserve"> 25400221</t>
    </r>
  </si>
  <si>
    <r>
      <t xml:space="preserve">Balance Proceeds </t>
    </r>
    <r>
      <rPr>
        <sz val="11"/>
        <color rgb="FF0000FF"/>
        <rFont val="Calibri"/>
        <family val="2"/>
      </rPr>
      <t>In Rates</t>
    </r>
    <r>
      <rPr>
        <sz val="11"/>
        <color theme="1"/>
        <rFont val="Calibri"/>
        <family val="2"/>
        <scheme val="minor"/>
      </rPr>
      <t xml:space="preserve"> 25400291</t>
    </r>
  </si>
  <si>
    <t>Difference S/B recorded to 25400311</t>
  </si>
  <si>
    <t>Bio Gas</t>
  </si>
  <si>
    <t>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</si>
</sst>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.000000_);[Red]\(#,##0.000000\)"/>
    <numFmt numFmtId="165" formatCode="&quot;PAGE&quot;\ 0.00"/>
    <numFmt numFmtId="166" formatCode="0.000000"/>
    <numFmt numFmtId="167" formatCode="0.0000%"/>
    <numFmt numFmtId="168" formatCode="_(* #,##0_);_(* \(#,##0\);_(* &quot;-&quot;??_);_(@_)"/>
    <numFmt numFmtId="169" formatCode="_(&quot;$&quot;* #,##0_);_(&quot;$&quot;* \(#,##0\);_(&quot;$&quot;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rgb="FFFF0000"/>
      <name val="Calibri"/>
      <family val="2"/>
      <scheme val="minor"/>
    </font>
    <font>
      <b/>
      <i/>
      <sz val="10"/>
      <color rgb="FF0000FF"/>
      <name val="Times New Roman"/>
      <family val="1"/>
    </font>
    <font>
      <b/>
      <sz val="10"/>
      <color rgb="FFFF0000"/>
      <name val="Times New Roman"/>
      <family val="1"/>
    </font>
    <font>
      <sz val="11"/>
      <color rgb="FF0000FF"/>
      <name val="Calibri"/>
      <family val="2"/>
      <scheme val="minor"/>
    </font>
    <font>
      <sz val="11"/>
      <color rgb="FF0000FF"/>
      <name val="Calibri"/>
      <family val="2"/>
    </font>
    <font>
      <sz val="8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0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1" fillId="0" borderId="0"/>
    <xf numFmtId="0" fontId="19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4" fontId="0" fillId="0" borderId="0" xfId="0" applyNumberFormat="1"/>
    <xf numFmtId="41" fontId="0" fillId="0" borderId="0" xfId="0" applyNumberFormat="1"/>
    <xf numFmtId="42" fontId="0" fillId="0" borderId="0" xfId="0" applyNumberFormat="1"/>
    <xf numFmtId="41" fontId="0" fillId="0" borderId="11" xfId="0" applyNumberFormat="1" applyBorder="1"/>
    <xf numFmtId="42" fontId="0" fillId="0" borderId="12" xfId="0" applyNumberFormat="1" applyBorder="1"/>
    <xf numFmtId="0" fontId="18" fillId="33" borderId="13" xfId="44" applyFont="1" applyFill="1" applyBorder="1"/>
    <xf numFmtId="4" fontId="18" fillId="0" borderId="0" xfId="43" applyNumberFormat="1" applyFont="1" applyFill="1" applyBorder="1" applyAlignment="1">
      <alignment horizontal="right"/>
    </xf>
    <xf numFmtId="0" fontId="0" fillId="0" borderId="17" xfId="0" applyBorder="1"/>
    <xf numFmtId="4" fontId="18" fillId="0" borderId="0" xfId="43" applyNumberFormat="1" applyFont="1" applyBorder="1" applyAlignment="1">
      <alignment horizontal="right"/>
    </xf>
    <xf numFmtId="0" fontId="0" fillId="0" borderId="16" xfId="0" applyBorder="1"/>
    <xf numFmtId="0" fontId="18" fillId="0" borderId="0" xfId="43" applyFont="1" applyBorder="1"/>
    <xf numFmtId="0" fontId="0" fillId="0" borderId="15" xfId="0" applyBorder="1"/>
    <xf numFmtId="0" fontId="0" fillId="0" borderId="18" xfId="0" applyBorder="1"/>
    <xf numFmtId="0" fontId="0" fillId="0" borderId="14" xfId="0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18" fillId="33" borderId="13" xfId="43" applyFont="1" applyFill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8" fillId="0" borderId="0" xfId="44" applyFont="1" applyBorder="1"/>
    <xf numFmtId="4" fontId="18" fillId="0" borderId="0" xfId="44" applyNumberFormat="1" applyFont="1" applyBorder="1" applyAlignment="1">
      <alignment horizontal="right"/>
    </xf>
    <xf numFmtId="0" fontId="19" fillId="0" borderId="0" xfId="45" applyFont="1" applyBorder="1"/>
    <xf numFmtId="4" fontId="19" fillId="0" borderId="0" xfId="45" applyNumberFormat="1" applyFont="1" applyBorder="1" applyAlignment="1">
      <alignment horizontal="right"/>
    </xf>
    <xf numFmtId="0" fontId="0" fillId="0" borderId="0" xfId="0" applyAlignment="1">
      <alignment horizontal="left" wrapText="1"/>
    </xf>
    <xf numFmtId="0" fontId="20" fillId="0" borderId="0" xfId="0" applyNumberFormat="1" applyFont="1" applyFill="1" applyAlignment="1"/>
    <xf numFmtId="165" fontId="20" fillId="0" borderId="0" xfId="0" applyNumberFormat="1" applyFont="1" applyFill="1" applyBorder="1" applyAlignment="1">
      <alignment horizontal="right"/>
    </xf>
    <xf numFmtId="0" fontId="20" fillId="0" borderId="0" xfId="0" applyNumberFormat="1" applyFont="1" applyFill="1" applyAlignment="1" applyProtection="1">
      <alignment horizontal="centerContinuous"/>
      <protection locked="0"/>
    </xf>
    <xf numFmtId="0" fontId="20" fillId="0" borderId="0" xfId="0" applyNumberFormat="1" applyFont="1" applyFill="1" applyAlignment="1">
      <alignment horizontal="centerContinuous"/>
    </xf>
    <xf numFmtId="0" fontId="20" fillId="0" borderId="0" xfId="0" applyNumberFormat="1" applyFont="1" applyFill="1" applyBorder="1" applyAlignment="1">
      <alignment horizontal="centerContinuous"/>
    </xf>
    <xf numFmtId="0" fontId="20" fillId="0" borderId="0" xfId="0" applyNumberFormat="1" applyFont="1" applyFill="1" applyAlignment="1">
      <alignment horizontal="center"/>
    </xf>
    <xf numFmtId="0" fontId="20" fillId="0" borderId="10" xfId="0" applyNumberFormat="1" applyFont="1" applyFill="1" applyBorder="1" applyAlignment="1">
      <alignment horizontal="center"/>
    </xf>
    <xf numFmtId="0" fontId="20" fillId="0" borderId="10" xfId="0" applyNumberFormat="1" applyFont="1" applyFill="1" applyBorder="1" applyAlignment="1" applyProtection="1">
      <protection locked="0"/>
    </xf>
    <xf numFmtId="0" fontId="20" fillId="0" borderId="10" xfId="0" applyNumberFormat="1" applyFont="1" applyFill="1" applyBorder="1" applyAlignment="1"/>
    <xf numFmtId="0" fontId="20" fillId="0" borderId="10" xfId="0" applyNumberFormat="1" applyFont="1" applyFill="1" applyBorder="1" applyAlignment="1">
      <alignment horizontal="right"/>
    </xf>
    <xf numFmtId="0" fontId="21" fillId="0" borderId="0" xfId="0" applyNumberFormat="1" applyFont="1" applyFill="1" applyAlignment="1"/>
    <xf numFmtId="0" fontId="21" fillId="0" borderId="0" xfId="0" applyNumberFormat="1" applyFont="1" applyFill="1" applyAlignment="1">
      <alignment horizontal="center"/>
    </xf>
    <xf numFmtId="0" fontId="21" fillId="0" borderId="0" xfId="0" applyNumberFormat="1" applyFont="1" applyFill="1" applyAlignment="1">
      <alignment horizontal="left"/>
    </xf>
    <xf numFmtId="166" fontId="21" fillId="0" borderId="0" xfId="0" applyNumberFormat="1" applyFont="1" applyFill="1" applyAlignment="1"/>
    <xf numFmtId="167" fontId="21" fillId="0" borderId="0" xfId="0" applyNumberFormat="1" applyFont="1" applyFill="1" applyAlignment="1"/>
    <xf numFmtId="166" fontId="21" fillId="0" borderId="10" xfId="0" applyNumberFormat="1" applyFont="1" applyFill="1" applyBorder="1" applyAlignment="1"/>
    <xf numFmtId="166" fontId="21" fillId="0" borderId="0" xfId="0" applyNumberFormat="1" applyFont="1" applyFill="1" applyBorder="1" applyAlignment="1"/>
    <xf numFmtId="0" fontId="19" fillId="33" borderId="13" xfId="45" applyFont="1" applyFill="1" applyBorder="1"/>
    <xf numFmtId="43" fontId="0" fillId="0" borderId="0" xfId="0" applyNumberFormat="1"/>
    <xf numFmtId="10" fontId="0" fillId="0" borderId="0" xfId="1" applyNumberFormat="1" applyFont="1"/>
    <xf numFmtId="9" fontId="0" fillId="0" borderId="22" xfId="0" applyNumberFormat="1" applyBorder="1"/>
    <xf numFmtId="0" fontId="22" fillId="0" borderId="0" xfId="0" applyFont="1"/>
    <xf numFmtId="4" fontId="0" fillId="0" borderId="0" xfId="0" applyNumberFormat="1" applyAlignment="1">
      <alignment horizontal="right" vertical="top"/>
    </xf>
    <xf numFmtId="0" fontId="0" fillId="0" borderId="0" xfId="0" applyNumberFormat="1" applyFont="1" applyFill="1" applyAlignment="1"/>
    <xf numFmtId="9" fontId="23" fillId="35" borderId="0" xfId="0" applyNumberFormat="1" applyFont="1" applyFill="1" applyAlignment="1"/>
    <xf numFmtId="166" fontId="23" fillId="35" borderId="12" xfId="0" applyNumberFormat="1" applyFont="1" applyFill="1" applyBorder="1" applyAlignment="1" applyProtection="1">
      <protection locked="0"/>
    </xf>
    <xf numFmtId="0" fontId="18" fillId="36" borderId="0" xfId="43" applyFont="1" applyFill="1" applyBorder="1"/>
    <xf numFmtId="4" fontId="18" fillId="36" borderId="0" xfId="43" applyNumberFormat="1" applyFont="1" applyFill="1" applyBorder="1" applyAlignment="1">
      <alignment horizontal="right"/>
    </xf>
    <xf numFmtId="0" fontId="18" fillId="36" borderId="0" xfId="44" applyFont="1" applyFill="1" applyBorder="1"/>
    <xf numFmtId="4" fontId="18" fillId="36" borderId="0" xfId="44" applyNumberFormat="1" applyFont="1" applyFill="1" applyBorder="1" applyAlignment="1">
      <alignment horizontal="right"/>
    </xf>
    <xf numFmtId="0" fontId="16" fillId="0" borderId="0" xfId="0" applyFont="1"/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3" fontId="0" fillId="0" borderId="0" xfId="49" applyFont="1"/>
    <xf numFmtId="168" fontId="0" fillId="0" borderId="0" xfId="49" applyNumberFormat="1" applyFont="1"/>
    <xf numFmtId="43" fontId="0" fillId="0" borderId="0" xfId="49" applyFont="1" applyFill="1" applyAlignment="1">
      <alignment horizontal="center" vertical="center" wrapText="1"/>
    </xf>
    <xf numFmtId="17" fontId="0" fillId="0" borderId="0" xfId="0" applyNumberFormat="1"/>
    <xf numFmtId="43" fontId="0" fillId="0" borderId="0" xfId="49" applyNumberFormat="1" applyFont="1"/>
    <xf numFmtId="43" fontId="1" fillId="0" borderId="0" xfId="48" applyFont="1" applyAlignment="1">
      <alignment horizontal="right" vertical="top"/>
    </xf>
    <xf numFmtId="43" fontId="1" fillId="34" borderId="0" xfId="48" applyFont="1" applyFill="1" applyAlignment="1">
      <alignment horizontal="right" vertical="top"/>
    </xf>
    <xf numFmtId="43" fontId="0" fillId="0" borderId="0" xfId="49" applyFont="1" applyFill="1"/>
    <xf numFmtId="43" fontId="0" fillId="34" borderId="0" xfId="49" applyFont="1" applyFill="1"/>
    <xf numFmtId="4" fontId="0" fillId="0" borderId="0" xfId="0" applyNumberFormat="1"/>
    <xf numFmtId="43" fontId="0" fillId="34" borderId="12" xfId="0" applyNumberFormat="1" applyFill="1" applyBorder="1"/>
    <xf numFmtId="43" fontId="14" fillId="0" borderId="0" xfId="0" applyNumberFormat="1" applyFont="1" applyAlignment="1">
      <alignment horizontal="center"/>
    </xf>
    <xf numFmtId="43" fontId="0" fillId="0" borderId="0" xfId="0" applyNumberFormat="1" applyBorder="1"/>
    <xf numFmtId="0" fontId="14" fillId="0" borderId="0" xfId="0" applyFont="1"/>
    <xf numFmtId="43" fontId="0" fillId="36" borderId="0" xfId="0" applyNumberFormat="1" applyFill="1"/>
    <xf numFmtId="43" fontId="14" fillId="0" borderId="0" xfId="0" applyNumberFormat="1" applyFont="1" applyAlignment="1">
      <alignment horizontal="right"/>
    </xf>
    <xf numFmtId="0" fontId="21" fillId="0" borderId="0" xfId="0" applyNumberFormat="1" applyFont="1" applyFill="1" applyAlignment="1">
      <alignment horizontal="centerContinuous"/>
    </xf>
    <xf numFmtId="0" fontId="24" fillId="0" borderId="0" xfId="0" applyNumberFormat="1" applyFont="1" applyFill="1" applyAlignment="1">
      <alignment horizontal="centerContinuous"/>
    </xf>
    <xf numFmtId="0" fontId="21" fillId="0" borderId="0" xfId="0" applyNumberFormat="1" applyFont="1" applyFill="1" applyAlignment="1" applyProtection="1">
      <protection locked="0"/>
    </xf>
    <xf numFmtId="0" fontId="20" fillId="0" borderId="10" xfId="0" applyNumberFormat="1" applyFont="1" applyFill="1" applyBorder="1" applyAlignment="1">
      <alignment horizontal="left"/>
    </xf>
    <xf numFmtId="0" fontId="21" fillId="0" borderId="0" xfId="0" applyNumberFormat="1" applyFont="1" applyFill="1" applyAlignment="1">
      <alignment horizontal="fill"/>
    </xf>
    <xf numFmtId="10" fontId="21" fillId="0" borderId="0" xfId="0" applyNumberFormat="1" applyFont="1" applyFill="1" applyBorder="1" applyAlignment="1"/>
    <xf numFmtId="10" fontId="21" fillId="0" borderId="11" xfId="0" applyNumberFormat="1" applyFont="1" applyFill="1" applyBorder="1" applyAlignment="1"/>
    <xf numFmtId="0" fontId="21" fillId="0" borderId="11" xfId="0" applyNumberFormat="1" applyFont="1" applyFill="1" applyBorder="1" applyAlignment="1"/>
    <xf numFmtId="0" fontId="21" fillId="0" borderId="0" xfId="0" applyNumberFormat="1" applyFont="1" applyFill="1" applyBorder="1" applyAlignment="1"/>
    <xf numFmtId="10" fontId="21" fillId="0" borderId="0" xfId="0" applyNumberFormat="1" applyFont="1" applyFill="1" applyAlignment="1"/>
    <xf numFmtId="10" fontId="23" fillId="35" borderId="0" xfId="0" applyNumberFormat="1" applyFont="1" applyFill="1" applyBorder="1" applyAlignment="1"/>
    <xf numFmtId="10" fontId="23" fillId="35" borderId="11" xfId="0" applyNumberFormat="1" applyFont="1" applyFill="1" applyBorder="1" applyAlignment="1"/>
    <xf numFmtId="168" fontId="0" fillId="0" borderId="22" xfId="0" applyNumberFormat="1" applyBorder="1"/>
    <xf numFmtId="10" fontId="0" fillId="0" borderId="0" xfId="0" applyNumberFormat="1"/>
    <xf numFmtId="10" fontId="0" fillId="0" borderId="10" xfId="0" applyNumberForma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14" fontId="0" fillId="0" borderId="0" xfId="0" applyNumberFormat="1" applyAlignment="1">
      <alignment horizontal="left"/>
    </xf>
    <xf numFmtId="41" fontId="0" fillId="0" borderId="0" xfId="49" applyNumberFormat="1" applyFont="1"/>
    <xf numFmtId="42" fontId="0" fillId="0" borderId="0" xfId="0" applyNumberFormat="1" applyBorder="1"/>
    <xf numFmtId="0" fontId="0" fillId="0" borderId="0" xfId="0" applyBorder="1" applyAlignment="1">
      <alignment horizontal="center"/>
    </xf>
    <xf numFmtId="168" fontId="0" fillId="0" borderId="0" xfId="0" applyNumberFormat="1"/>
    <xf numFmtId="9" fontId="0" fillId="0" borderId="0" xfId="1" applyFont="1"/>
    <xf numFmtId="168" fontId="0" fillId="0" borderId="12" xfId="0" applyNumberFormat="1" applyBorder="1"/>
    <xf numFmtId="9" fontId="0" fillId="0" borderId="12" xfId="1" applyFont="1" applyBorder="1"/>
    <xf numFmtId="9" fontId="0" fillId="0" borderId="0" xfId="1" applyFont="1" applyBorder="1"/>
    <xf numFmtId="41" fontId="0" fillId="37" borderId="0" xfId="0" applyNumberFormat="1" applyFill="1"/>
    <xf numFmtId="42" fontId="0" fillId="38" borderId="0" xfId="0" applyNumberFormat="1" applyFill="1"/>
    <xf numFmtId="41" fontId="0" fillId="38" borderId="0" xfId="0" applyNumberFormat="1" applyFill="1"/>
    <xf numFmtId="0" fontId="19" fillId="39" borderId="0" xfId="45" applyFont="1" applyFill="1" applyBorder="1"/>
    <xf numFmtId="4" fontId="19" fillId="39" borderId="0" xfId="45" applyNumberFormat="1" applyFont="1" applyFill="1" applyBorder="1" applyAlignment="1">
      <alignment horizontal="right"/>
    </xf>
    <xf numFmtId="4" fontId="18" fillId="39" borderId="0" xfId="43" applyNumberFormat="1" applyFont="1" applyFill="1" applyBorder="1" applyAlignment="1">
      <alignment horizontal="right"/>
    </xf>
    <xf numFmtId="0" fontId="0" fillId="39" borderId="0" xfId="0" applyFill="1"/>
    <xf numFmtId="42" fontId="0" fillId="39" borderId="0" xfId="0" applyNumberFormat="1" applyFill="1"/>
    <xf numFmtId="0" fontId="0" fillId="36" borderId="12" xfId="0" applyFill="1" applyBorder="1"/>
    <xf numFmtId="169" fontId="0" fillId="36" borderId="12" xfId="0" applyNumberFormat="1" applyFill="1" applyBorder="1"/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5" fillId="0" borderId="23" xfId="0" applyFont="1" applyBorder="1" applyAlignment="1">
      <alignment horizontal="centerContinuous"/>
    </xf>
    <xf numFmtId="0" fontId="25" fillId="0" borderId="24" xfId="0" applyFont="1" applyBorder="1" applyAlignment="1">
      <alignment horizontal="centerContinuous"/>
    </xf>
    <xf numFmtId="0" fontId="25" fillId="0" borderId="25" xfId="0" applyFont="1" applyBorder="1" applyAlignment="1">
      <alignment horizontal="centerContinuous"/>
    </xf>
    <xf numFmtId="41" fontId="0" fillId="34" borderId="0" xfId="49" applyNumberFormat="1" applyFont="1" applyFill="1"/>
    <xf numFmtId="14" fontId="0" fillId="36" borderId="0" xfId="0" applyNumberFormat="1" applyFill="1" applyAlignment="1">
      <alignment horizontal="left"/>
    </xf>
    <xf numFmtId="41" fontId="0" fillId="36" borderId="0" xfId="49" applyNumberFormat="1" applyFont="1" applyFill="1"/>
    <xf numFmtId="0" fontId="27" fillId="39" borderId="0" xfId="45" applyFont="1" applyFill="1" applyBorder="1"/>
  </cellXfs>
  <cellStyles count="50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9" builtinId="3"/>
    <cellStyle name="Comma 10" xfId="48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15 2" xfId="46"/>
    <cellStyle name="Normal 125" xfId="45"/>
    <cellStyle name="Normal 126" xfId="47"/>
    <cellStyle name="Normal 129" xfId="44"/>
    <cellStyle name="Normal 2" xfId="43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29</xdr:row>
      <xdr:rowOff>133350</xdr:rowOff>
    </xdr:from>
    <xdr:to>
      <xdr:col>7</xdr:col>
      <xdr:colOff>666112</xdr:colOff>
      <xdr:row>48</xdr:row>
      <xdr:rowOff>18612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75" y="6838950"/>
          <a:ext cx="5104762" cy="3504762"/>
        </a:xfrm>
        <a:prstGeom prst="rect">
          <a:avLst/>
        </a:prstGeom>
      </xdr:spPr>
    </xdr:pic>
    <xdr:clientData/>
  </xdr:twoCellAnchor>
  <xdr:twoCellAnchor editAs="oneCell">
    <xdr:from>
      <xdr:col>10</xdr:col>
      <xdr:colOff>266700</xdr:colOff>
      <xdr:row>29</xdr:row>
      <xdr:rowOff>142875</xdr:rowOff>
    </xdr:from>
    <xdr:to>
      <xdr:col>17</xdr:col>
      <xdr:colOff>675635</xdr:colOff>
      <xdr:row>48</xdr:row>
      <xdr:rowOff>37661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53350" y="6848475"/>
          <a:ext cx="5123810" cy="351428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2018/2018%20Tax%20Reform%20WP/RevReq%20WP/%23Electric%20Model%20Tax%20Reform%202017%20GRC%20(SETTLEMENT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irty%20Set%20Schedule%20137%20REC%20Rev%20Req%202019%20Workpap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Summary"/>
      <sheetName val="ETR"/>
      <sheetName val="KJB-3,11 Def"/>
      <sheetName val="KJB-6,13 Cmn Adj"/>
      <sheetName val="KJB-7,14 El Adj"/>
      <sheetName val="Power Cost Bridge to A-1"/>
      <sheetName val="Exh.A-1"/>
      <sheetName val="RJR Prod O&amp;M"/>
      <sheetName val="PKW RY PC1"/>
      <sheetName val="MCC-2r page 7-30 Black Box"/>
      <sheetName val="Work Papers==&gt;"/>
      <sheetName val="Verify Pwr Costs"/>
      <sheetName val="Centralia Equity Kicker"/>
      <sheetName val="For Prod Adj Ratebase"/>
      <sheetName val="For Prod Adj Expense"/>
      <sheetName val="Trans Ratebase"/>
      <sheetName val="Trans OATT Revenue"/>
    </sheetNames>
    <sheetDataSet>
      <sheetData sheetId="0"/>
      <sheetData sheetId="1"/>
      <sheetData sheetId="2"/>
      <sheetData sheetId="3"/>
      <sheetData sheetId="4">
        <row r="7">
          <cell r="B7" t="str">
            <v>FOR THE TWELVE MONTHS ENDED SEPTEMBER 30, 2016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Requirement"/>
      <sheetName val="Tracking Accounts"/>
      <sheetName val="Conv Factor"/>
      <sheetName val="Interest Review for Jan 2019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A44" sqref="A44"/>
    </sheetView>
  </sheetViews>
  <sheetFormatPr defaultRowHeight="15" x14ac:dyDescent="0.25"/>
  <cols>
    <col min="1" max="1" width="53" bestFit="1" customWidth="1"/>
    <col min="2" max="2" width="14.140625" customWidth="1"/>
    <col min="3" max="3" width="14" bestFit="1" customWidth="1"/>
    <col min="4" max="4" width="14.140625" bestFit="1" customWidth="1"/>
  </cols>
  <sheetData>
    <row r="1" spans="1:4" x14ac:dyDescent="0.25">
      <c r="A1" t="s">
        <v>42</v>
      </c>
    </row>
    <row r="2" spans="1:4" x14ac:dyDescent="0.25">
      <c r="A2" t="s">
        <v>50</v>
      </c>
    </row>
    <row r="6" spans="1:4" x14ac:dyDescent="0.25">
      <c r="B6" s="1" t="s">
        <v>43</v>
      </c>
    </row>
    <row r="7" spans="1:4" x14ac:dyDescent="0.25">
      <c r="A7" s="2" t="s">
        <v>4</v>
      </c>
      <c r="B7" s="2" t="s">
        <v>44</v>
      </c>
      <c r="D7" s="1" t="s">
        <v>45</v>
      </c>
    </row>
    <row r="8" spans="1:4" x14ac:dyDescent="0.25">
      <c r="D8" s="1" t="s">
        <v>46</v>
      </c>
    </row>
    <row r="9" spans="1:4" x14ac:dyDescent="0.25">
      <c r="A9" t="s">
        <v>5</v>
      </c>
      <c r="B9" s="5">
        <f>'Tracking Accounts'!G18</f>
        <v>-1162059.0500000003</v>
      </c>
      <c r="C9" s="5">
        <f>+B9+B10</f>
        <v>-1277936.2200000002</v>
      </c>
      <c r="D9" s="47">
        <f>+C9/C13</f>
        <v>0.91901423926812675</v>
      </c>
    </row>
    <row r="10" spans="1:4" x14ac:dyDescent="0.25">
      <c r="A10" t="s">
        <v>1</v>
      </c>
      <c r="B10" s="4">
        <f>'Tracking Accounts'!O18</f>
        <v>-115877.16999999995</v>
      </c>
      <c r="D10" s="47"/>
    </row>
    <row r="11" spans="1:4" x14ac:dyDescent="0.25">
      <c r="A11" t="s">
        <v>94</v>
      </c>
      <c r="B11" s="4">
        <f>+'Interest 2019 Rate'!E26</f>
        <v>-33107.044323345101</v>
      </c>
      <c r="C11" s="4">
        <f>+B11+B12</f>
        <v>-112614.83502794735</v>
      </c>
      <c r="D11" s="47">
        <f>+C11/C13</f>
        <v>8.0985760731873302E-2</v>
      </c>
    </row>
    <row r="12" spans="1:4" x14ac:dyDescent="0.25">
      <c r="A12" t="s">
        <v>2</v>
      </c>
      <c r="B12" s="4">
        <f>+'Tracking Accounts'!G60</f>
        <v>-79507.790704602259</v>
      </c>
    </row>
    <row r="13" spans="1:4" x14ac:dyDescent="0.25">
      <c r="B13" s="6">
        <f>SUM(B9:B12)</f>
        <v>-1390551.0550279478</v>
      </c>
      <c r="C13" s="92">
        <f>SUM(C9:C12)</f>
        <v>-1390551.0550279475</v>
      </c>
      <c r="D13" s="48">
        <f>SUM(D9:D12)</f>
        <v>1</v>
      </c>
    </row>
    <row r="14" spans="1:4" x14ac:dyDescent="0.25">
      <c r="A14" t="s">
        <v>0</v>
      </c>
      <c r="B14" s="3">
        <f>'Conv F and COC UE-180282'!E19</f>
        <v>0.95238599999999995</v>
      </c>
    </row>
    <row r="15" spans="1:4" ht="15.75" thickBot="1" x14ac:dyDescent="0.3">
      <c r="A15" t="s">
        <v>3</v>
      </c>
      <c r="B15" s="7">
        <f>B13/B14</f>
        <v>-1460070.8694037374</v>
      </c>
    </row>
    <row r="16" spans="1:4" ht="15.75" thickTop="1" x14ac:dyDescent="0.25"/>
  </sheetData>
  <pageMargins left="0.7" right="0.7" top="0.75" bottom="0.75" header="0.3" footer="0.3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1"/>
  <sheetViews>
    <sheetView zoomScaleNormal="100" workbookViewId="0">
      <pane ySplit="1" topLeftCell="A2" activePane="bottomLeft" state="frozen"/>
      <selection pane="bottomLeft" activeCell="H29" sqref="H29"/>
    </sheetView>
  </sheetViews>
  <sheetFormatPr defaultRowHeight="15" x14ac:dyDescent="0.25"/>
  <cols>
    <col min="3" max="3" width="47.7109375" customWidth="1"/>
    <col min="4" max="4" width="11.140625" bestFit="1" customWidth="1"/>
    <col min="5" max="5" width="11.7109375" bestFit="1" customWidth="1"/>
    <col min="6" max="6" width="20.140625" customWidth="1"/>
    <col min="7" max="7" width="17.28515625" bestFit="1" customWidth="1"/>
    <col min="11" max="11" width="47.85546875" customWidth="1"/>
    <col min="12" max="12" width="10.28515625" bestFit="1" customWidth="1"/>
    <col min="13" max="14" width="10.7109375" bestFit="1" customWidth="1"/>
    <col min="15" max="15" width="17.28515625" bestFit="1" customWidth="1"/>
  </cols>
  <sheetData>
    <row r="1" spans="2:16" x14ac:dyDescent="0.25">
      <c r="B1" s="49" t="s">
        <v>49</v>
      </c>
    </row>
    <row r="4" spans="2:16" x14ac:dyDescent="0.25">
      <c r="B4" s="16"/>
      <c r="C4" s="14"/>
      <c r="D4" s="14"/>
      <c r="E4" s="14"/>
      <c r="F4" s="14"/>
      <c r="G4" s="14"/>
      <c r="H4" s="12"/>
      <c r="J4" s="16"/>
      <c r="K4" s="14"/>
      <c r="L4" s="14"/>
      <c r="M4" s="14"/>
      <c r="N4" s="14"/>
      <c r="O4" s="14"/>
      <c r="P4" s="12"/>
    </row>
    <row r="5" spans="2:16" x14ac:dyDescent="0.25">
      <c r="B5" s="10"/>
      <c r="C5" s="18" t="s">
        <v>41</v>
      </c>
      <c r="D5" s="17"/>
      <c r="E5" s="17"/>
      <c r="F5" s="17"/>
      <c r="G5" s="17"/>
      <c r="H5" s="15"/>
      <c r="J5" s="10"/>
      <c r="K5" s="17" t="s">
        <v>40</v>
      </c>
      <c r="L5" s="17"/>
      <c r="M5" s="17"/>
      <c r="N5" s="17"/>
      <c r="O5" s="17"/>
      <c r="P5" s="15"/>
    </row>
    <row r="6" spans="2:16" x14ac:dyDescent="0.25">
      <c r="B6" s="10"/>
      <c r="C6" s="17"/>
      <c r="D6" s="17"/>
      <c r="E6" s="17"/>
      <c r="F6" s="17"/>
      <c r="G6" s="17"/>
      <c r="H6" s="15"/>
      <c r="J6" s="10"/>
      <c r="K6" s="17"/>
      <c r="L6" s="17"/>
      <c r="M6" s="17"/>
      <c r="N6" s="17"/>
      <c r="O6" s="17"/>
      <c r="P6" s="15"/>
    </row>
    <row r="7" spans="2:16" x14ac:dyDescent="0.25">
      <c r="B7" s="10"/>
      <c r="C7" s="19" t="s">
        <v>6</v>
      </c>
      <c r="D7" s="19" t="s">
        <v>7</v>
      </c>
      <c r="E7" s="19" t="s">
        <v>8</v>
      </c>
      <c r="F7" s="19" t="s">
        <v>9</v>
      </c>
      <c r="G7" s="19" t="s">
        <v>10</v>
      </c>
      <c r="H7" s="15"/>
      <c r="J7" s="10"/>
      <c r="K7" s="8" t="s">
        <v>6</v>
      </c>
      <c r="L7" s="8" t="s">
        <v>7</v>
      </c>
      <c r="M7" s="8" t="s">
        <v>8</v>
      </c>
      <c r="N7" s="8" t="s">
        <v>9</v>
      </c>
      <c r="O7" s="8" t="s">
        <v>10</v>
      </c>
      <c r="P7" s="15"/>
    </row>
    <row r="8" spans="2:16" x14ac:dyDescent="0.25">
      <c r="B8" s="10"/>
      <c r="C8" s="13" t="s">
        <v>11</v>
      </c>
      <c r="D8" s="11">
        <v>0</v>
      </c>
      <c r="E8" s="11">
        <v>0</v>
      </c>
      <c r="F8" s="11">
        <f t="shared" ref="F8:F24" si="0">+D8-E8</f>
        <v>0</v>
      </c>
      <c r="G8" s="11">
        <v>-1196228.01</v>
      </c>
      <c r="H8" s="15"/>
      <c r="J8" s="10"/>
      <c r="K8" s="23" t="s">
        <v>11</v>
      </c>
      <c r="L8" s="24">
        <v>0</v>
      </c>
      <c r="M8" s="24">
        <v>0</v>
      </c>
      <c r="N8" s="24">
        <v>0</v>
      </c>
      <c r="O8" s="50">
        <v>15030.31</v>
      </c>
      <c r="P8" s="15"/>
    </row>
    <row r="9" spans="2:16" x14ac:dyDescent="0.25">
      <c r="B9" s="10"/>
      <c r="C9" s="13" t="s">
        <v>12</v>
      </c>
      <c r="D9" s="11">
        <v>574403.23</v>
      </c>
      <c r="E9" s="11">
        <v>0</v>
      </c>
      <c r="F9" s="11">
        <f t="shared" si="0"/>
        <v>574403.23</v>
      </c>
      <c r="G9" s="11">
        <f t="shared" ref="G9:G24" si="1">+G8+F9</f>
        <v>-621824.78</v>
      </c>
      <c r="H9" s="15"/>
      <c r="J9" s="10"/>
      <c r="K9" s="23" t="s">
        <v>12</v>
      </c>
      <c r="L9" s="24">
        <v>56312.39</v>
      </c>
      <c r="M9" s="24">
        <v>571754.31999999995</v>
      </c>
      <c r="N9" s="11">
        <f t="shared" ref="N9:N24" si="2">+L9-M9</f>
        <v>-515441.92999999993</v>
      </c>
      <c r="O9" s="11">
        <f t="shared" ref="O9:O24" si="3">+O8+N9</f>
        <v>-500411.61999999994</v>
      </c>
      <c r="P9" s="15"/>
    </row>
    <row r="10" spans="2:16" x14ac:dyDescent="0.25">
      <c r="B10" s="10"/>
      <c r="C10" s="13" t="s">
        <v>13</v>
      </c>
      <c r="D10" s="11">
        <v>1728.98</v>
      </c>
      <c r="E10" s="11">
        <v>135695</v>
      </c>
      <c r="F10" s="11">
        <f t="shared" si="0"/>
        <v>-133966.01999999999</v>
      </c>
      <c r="G10" s="11">
        <f t="shared" si="1"/>
        <v>-755790.8</v>
      </c>
      <c r="H10" s="15"/>
      <c r="J10" s="10"/>
      <c r="K10" s="23" t="s">
        <v>13</v>
      </c>
      <c r="L10" s="24">
        <v>85003.75</v>
      </c>
      <c r="M10" s="24">
        <v>34102.449999999997</v>
      </c>
      <c r="N10" s="11">
        <f t="shared" si="2"/>
        <v>50901.3</v>
      </c>
      <c r="O10" s="11">
        <f t="shared" si="3"/>
        <v>-449510.31999999995</v>
      </c>
      <c r="P10" s="15"/>
    </row>
    <row r="11" spans="2:16" x14ac:dyDescent="0.25">
      <c r="B11" s="10"/>
      <c r="C11" s="13" t="s">
        <v>14</v>
      </c>
      <c r="D11" s="11">
        <v>1228.05</v>
      </c>
      <c r="E11" s="11">
        <v>72000</v>
      </c>
      <c r="F11" s="11">
        <f t="shared" si="0"/>
        <v>-70771.95</v>
      </c>
      <c r="G11" s="11">
        <f t="shared" si="1"/>
        <v>-826562.75</v>
      </c>
      <c r="H11" s="15"/>
      <c r="J11" s="10"/>
      <c r="K11" s="23" t="s">
        <v>14</v>
      </c>
      <c r="L11" s="24">
        <v>81601.47</v>
      </c>
      <c r="M11" s="24">
        <v>32161.98</v>
      </c>
      <c r="N11" s="11">
        <f t="shared" si="2"/>
        <v>49439.490000000005</v>
      </c>
      <c r="O11" s="11">
        <f t="shared" si="3"/>
        <v>-400070.82999999996</v>
      </c>
      <c r="P11" s="15"/>
    </row>
    <row r="12" spans="2:16" x14ac:dyDescent="0.25">
      <c r="B12" s="10"/>
      <c r="C12" s="13" t="s">
        <v>15</v>
      </c>
      <c r="D12" s="11">
        <v>2374.9299999999998</v>
      </c>
      <c r="E12" s="11">
        <v>90000</v>
      </c>
      <c r="F12" s="11">
        <f t="shared" si="0"/>
        <v>-87625.07</v>
      </c>
      <c r="G12" s="11">
        <f t="shared" si="1"/>
        <v>-914187.82000000007</v>
      </c>
      <c r="H12" s="15"/>
      <c r="J12" s="10"/>
      <c r="K12" s="23" t="s">
        <v>15</v>
      </c>
      <c r="L12" s="24">
        <v>72971.429999999993</v>
      </c>
      <c r="M12" s="24">
        <v>29490.29</v>
      </c>
      <c r="N12" s="11">
        <f t="shared" si="2"/>
        <v>43481.139999999992</v>
      </c>
      <c r="O12" s="11">
        <f t="shared" si="3"/>
        <v>-356589.68999999994</v>
      </c>
      <c r="P12" s="15"/>
    </row>
    <row r="13" spans="2:16" x14ac:dyDescent="0.25">
      <c r="B13" s="10"/>
      <c r="C13" s="13" t="s">
        <v>16</v>
      </c>
      <c r="D13" s="11">
        <v>1229.5899999999999</v>
      </c>
      <c r="E13" s="11">
        <v>0</v>
      </c>
      <c r="F13" s="11">
        <f t="shared" si="0"/>
        <v>1229.5899999999999</v>
      </c>
      <c r="G13" s="11">
        <f t="shared" si="1"/>
        <v>-912958.2300000001</v>
      </c>
      <c r="H13" s="15"/>
      <c r="J13" s="10"/>
      <c r="K13" s="23" t="s">
        <v>16</v>
      </c>
      <c r="L13" s="24">
        <v>65597.64</v>
      </c>
      <c r="M13" s="24">
        <v>26647.33</v>
      </c>
      <c r="N13" s="11">
        <f t="shared" si="2"/>
        <v>38950.31</v>
      </c>
      <c r="O13" s="11">
        <f t="shared" si="3"/>
        <v>-317639.37999999995</v>
      </c>
      <c r="P13" s="15"/>
    </row>
    <row r="14" spans="2:16" x14ac:dyDescent="0.25">
      <c r="B14" s="10"/>
      <c r="C14" s="13" t="s">
        <v>17</v>
      </c>
      <c r="D14" s="11">
        <v>13203.09</v>
      </c>
      <c r="E14" s="11">
        <v>0</v>
      </c>
      <c r="F14" s="11">
        <f t="shared" si="0"/>
        <v>13203.09</v>
      </c>
      <c r="G14" s="11">
        <f t="shared" si="1"/>
        <v>-899755.14000000013</v>
      </c>
      <c r="H14" s="15"/>
      <c r="J14" s="10"/>
      <c r="K14" s="23" t="s">
        <v>17</v>
      </c>
      <c r="L14" s="24">
        <v>63381.94</v>
      </c>
      <c r="M14" s="24">
        <v>25140.44</v>
      </c>
      <c r="N14" s="11">
        <f t="shared" si="2"/>
        <v>38241.5</v>
      </c>
      <c r="O14" s="11">
        <f t="shared" si="3"/>
        <v>-279397.87999999995</v>
      </c>
      <c r="P14" s="15"/>
    </row>
    <row r="15" spans="2:16" x14ac:dyDescent="0.25">
      <c r="B15" s="10"/>
      <c r="C15" s="13" t="s">
        <v>18</v>
      </c>
      <c r="D15" s="11">
        <v>6075.21</v>
      </c>
      <c r="E15" s="11">
        <v>142992.5</v>
      </c>
      <c r="F15" s="11">
        <f t="shared" si="0"/>
        <v>-136917.29</v>
      </c>
      <c r="G15" s="11">
        <f t="shared" si="1"/>
        <v>-1036672.4300000002</v>
      </c>
      <c r="H15" s="15"/>
      <c r="J15" s="10"/>
      <c r="K15" s="23" t="s">
        <v>18</v>
      </c>
      <c r="L15" s="24">
        <v>67793.91</v>
      </c>
      <c r="M15" s="24">
        <v>25325.29</v>
      </c>
      <c r="N15" s="11">
        <f t="shared" si="2"/>
        <v>42468.62</v>
      </c>
      <c r="O15" s="11">
        <f t="shared" si="3"/>
        <v>-236929.25999999995</v>
      </c>
      <c r="P15" s="15"/>
    </row>
    <row r="16" spans="2:16" x14ac:dyDescent="0.25">
      <c r="B16" s="10"/>
      <c r="C16" s="13" t="s">
        <v>19</v>
      </c>
      <c r="D16" s="11">
        <v>9841.09</v>
      </c>
      <c r="E16" s="11">
        <v>0</v>
      </c>
      <c r="F16" s="11">
        <f t="shared" si="0"/>
        <v>9841.09</v>
      </c>
      <c r="G16" s="11">
        <f t="shared" si="1"/>
        <v>-1026831.3400000002</v>
      </c>
      <c r="H16" s="15"/>
      <c r="J16" s="10"/>
      <c r="K16" s="23" t="s">
        <v>19</v>
      </c>
      <c r="L16" s="24">
        <v>69227.179999999993</v>
      </c>
      <c r="M16" s="24">
        <v>28725.759999999998</v>
      </c>
      <c r="N16" s="11">
        <f t="shared" si="2"/>
        <v>40501.42</v>
      </c>
      <c r="O16" s="11">
        <f t="shared" si="3"/>
        <v>-196427.83999999997</v>
      </c>
      <c r="P16" s="15"/>
    </row>
    <row r="17" spans="2:16" x14ac:dyDescent="0.25">
      <c r="B17" s="10"/>
      <c r="C17" s="13" t="s">
        <v>20</v>
      </c>
      <c r="D17" s="11">
        <v>9294.19</v>
      </c>
      <c r="E17" s="11">
        <v>0</v>
      </c>
      <c r="F17" s="11">
        <f t="shared" si="0"/>
        <v>9294.19</v>
      </c>
      <c r="G17" s="11">
        <f t="shared" si="1"/>
        <v>-1017537.1500000003</v>
      </c>
      <c r="H17" s="15"/>
      <c r="J17" s="10"/>
      <c r="K17" s="23" t="s">
        <v>20</v>
      </c>
      <c r="L17" s="24">
        <v>63704.45</v>
      </c>
      <c r="M17" s="24">
        <v>26526.26</v>
      </c>
      <c r="N17" s="11">
        <f t="shared" si="2"/>
        <v>37178.19</v>
      </c>
      <c r="O17" s="11">
        <f t="shared" si="3"/>
        <v>-159249.64999999997</v>
      </c>
      <c r="P17" s="15"/>
    </row>
    <row r="18" spans="2:16" x14ac:dyDescent="0.25">
      <c r="B18" s="10"/>
      <c r="C18" s="54" t="s">
        <v>21</v>
      </c>
      <c r="D18" s="55">
        <v>145638.1</v>
      </c>
      <c r="E18" s="55">
        <v>290160</v>
      </c>
      <c r="F18" s="55">
        <f t="shared" si="0"/>
        <v>-144521.9</v>
      </c>
      <c r="G18" s="55">
        <f t="shared" si="1"/>
        <v>-1162059.0500000003</v>
      </c>
      <c r="H18" s="15"/>
      <c r="J18" s="10"/>
      <c r="K18" s="56" t="s">
        <v>21</v>
      </c>
      <c r="L18" s="57">
        <v>67301.440000000002</v>
      </c>
      <c r="M18" s="57">
        <v>23928.959999999999</v>
      </c>
      <c r="N18" s="55">
        <f t="shared" si="2"/>
        <v>43372.480000000003</v>
      </c>
      <c r="O18" s="55">
        <f t="shared" si="3"/>
        <v>-115877.16999999995</v>
      </c>
      <c r="P18" s="15"/>
    </row>
    <row r="19" spans="2:16" x14ac:dyDescent="0.25">
      <c r="B19" s="10"/>
      <c r="C19" s="13" t="s">
        <v>22</v>
      </c>
      <c r="D19" s="11"/>
      <c r="E19" s="11"/>
      <c r="F19" s="11">
        <f t="shared" si="0"/>
        <v>0</v>
      </c>
      <c r="G19" s="11">
        <f t="shared" si="1"/>
        <v>-1162059.0500000003</v>
      </c>
      <c r="H19" s="15"/>
      <c r="J19" s="10"/>
      <c r="K19" s="23" t="s">
        <v>22</v>
      </c>
      <c r="L19" s="24"/>
      <c r="M19" s="24"/>
      <c r="N19" s="11">
        <f t="shared" si="2"/>
        <v>0</v>
      </c>
      <c r="O19" s="11">
        <f t="shared" si="3"/>
        <v>-115877.16999999995</v>
      </c>
      <c r="P19" s="15"/>
    </row>
    <row r="20" spans="2:16" x14ac:dyDescent="0.25">
      <c r="B20" s="10"/>
      <c r="C20" s="13" t="s">
        <v>23</v>
      </c>
      <c r="D20" s="11"/>
      <c r="E20" s="11"/>
      <c r="F20" s="11">
        <f t="shared" si="0"/>
        <v>0</v>
      </c>
      <c r="G20" s="11">
        <f t="shared" si="1"/>
        <v>-1162059.0500000003</v>
      </c>
      <c r="H20" s="15"/>
      <c r="J20" s="10"/>
      <c r="K20" s="23" t="s">
        <v>23</v>
      </c>
      <c r="L20" s="24"/>
      <c r="M20" s="24"/>
      <c r="N20" s="11">
        <f t="shared" si="2"/>
        <v>0</v>
      </c>
      <c r="O20" s="11">
        <f t="shared" si="3"/>
        <v>-115877.16999999995</v>
      </c>
      <c r="P20" s="15"/>
    </row>
    <row r="21" spans="2:16" x14ac:dyDescent="0.25">
      <c r="B21" s="10"/>
      <c r="C21" s="13" t="s">
        <v>24</v>
      </c>
      <c r="D21" s="11"/>
      <c r="E21" s="11"/>
      <c r="F21" s="11">
        <f t="shared" si="0"/>
        <v>0</v>
      </c>
      <c r="G21" s="11">
        <f t="shared" si="1"/>
        <v>-1162059.0500000003</v>
      </c>
      <c r="H21" s="15"/>
      <c r="J21" s="10"/>
      <c r="K21" s="23" t="s">
        <v>24</v>
      </c>
      <c r="L21" s="24"/>
      <c r="M21" s="24"/>
      <c r="N21" s="11">
        <f t="shared" si="2"/>
        <v>0</v>
      </c>
      <c r="O21" s="11">
        <f t="shared" si="3"/>
        <v>-115877.16999999995</v>
      </c>
      <c r="P21" s="15"/>
    </row>
    <row r="22" spans="2:16" x14ac:dyDescent="0.25">
      <c r="B22" s="10"/>
      <c r="C22" s="13" t="s">
        <v>25</v>
      </c>
      <c r="D22" s="11"/>
      <c r="E22" s="11"/>
      <c r="F22" s="11">
        <f t="shared" si="0"/>
        <v>0</v>
      </c>
      <c r="G22" s="11">
        <f t="shared" si="1"/>
        <v>-1162059.0500000003</v>
      </c>
      <c r="H22" s="15"/>
      <c r="J22" s="10"/>
      <c r="K22" s="23" t="s">
        <v>25</v>
      </c>
      <c r="L22" s="24"/>
      <c r="M22" s="24"/>
      <c r="N22" s="11">
        <f t="shared" si="2"/>
        <v>0</v>
      </c>
      <c r="O22" s="11">
        <f t="shared" si="3"/>
        <v>-115877.16999999995</v>
      </c>
      <c r="P22" s="15"/>
    </row>
    <row r="23" spans="2:16" x14ac:dyDescent="0.25">
      <c r="B23" s="10"/>
      <c r="C23" s="13" t="s">
        <v>26</v>
      </c>
      <c r="D23" s="11"/>
      <c r="E23" s="11"/>
      <c r="F23" s="11">
        <f t="shared" si="0"/>
        <v>0</v>
      </c>
      <c r="G23" s="11">
        <f t="shared" si="1"/>
        <v>-1162059.0500000003</v>
      </c>
      <c r="H23" s="15"/>
      <c r="J23" s="10"/>
      <c r="K23" s="23" t="s">
        <v>26</v>
      </c>
      <c r="L23" s="24"/>
      <c r="M23" s="24"/>
      <c r="N23" s="11">
        <f t="shared" si="2"/>
        <v>0</v>
      </c>
      <c r="O23" s="11">
        <f t="shared" si="3"/>
        <v>-115877.16999999995</v>
      </c>
      <c r="P23" s="15"/>
    </row>
    <row r="24" spans="2:16" x14ac:dyDescent="0.25">
      <c r="B24" s="10"/>
      <c r="C24" s="13" t="s">
        <v>27</v>
      </c>
      <c r="D24" s="11"/>
      <c r="E24" s="11"/>
      <c r="F24" s="11">
        <f t="shared" si="0"/>
        <v>0</v>
      </c>
      <c r="G24" s="11">
        <f t="shared" si="1"/>
        <v>-1162059.0500000003</v>
      </c>
      <c r="H24" s="15"/>
      <c r="J24" s="10"/>
      <c r="K24" s="23" t="s">
        <v>27</v>
      </c>
      <c r="L24" s="24"/>
      <c r="M24" s="24"/>
      <c r="N24" s="11">
        <f t="shared" si="2"/>
        <v>0</v>
      </c>
      <c r="O24" s="11">
        <f t="shared" si="3"/>
        <v>-115877.16999999995</v>
      </c>
      <c r="P24" s="15"/>
    </row>
    <row r="25" spans="2:16" x14ac:dyDescent="0.25">
      <c r="B25" s="10"/>
      <c r="C25" s="13" t="s">
        <v>28</v>
      </c>
      <c r="D25" s="11"/>
      <c r="E25" s="11"/>
      <c r="F25" s="11"/>
      <c r="G25" s="11">
        <f>+G24</f>
        <v>-1162059.0500000003</v>
      </c>
      <c r="H25" s="15"/>
      <c r="J25" s="10"/>
      <c r="K25" s="23" t="s">
        <v>28</v>
      </c>
      <c r="L25" s="11"/>
      <c r="M25" s="11"/>
      <c r="N25" s="11"/>
      <c r="O25" s="11">
        <f>+O24</f>
        <v>-115877.16999999995</v>
      </c>
      <c r="P25" s="15"/>
    </row>
    <row r="26" spans="2:16" x14ac:dyDescent="0.25">
      <c r="B26" s="10"/>
      <c r="C26" s="17"/>
      <c r="D26" s="17"/>
      <c r="E26" s="17"/>
      <c r="F26" s="17"/>
      <c r="G26" s="17"/>
      <c r="H26" s="15"/>
      <c r="J26" s="10"/>
      <c r="K26" s="17"/>
      <c r="L26" s="17"/>
      <c r="M26" s="17"/>
      <c r="N26" s="17"/>
      <c r="O26" s="17"/>
      <c r="P26" s="15"/>
    </row>
    <row r="27" spans="2:16" x14ac:dyDescent="0.25">
      <c r="B27" s="10"/>
      <c r="C27" s="17" t="s">
        <v>29</v>
      </c>
      <c r="D27" s="17"/>
      <c r="E27" s="17"/>
      <c r="F27" s="17"/>
      <c r="G27" s="9">
        <v>0</v>
      </c>
      <c r="H27" s="15"/>
      <c r="J27" s="10"/>
      <c r="K27" s="17" t="s">
        <v>29</v>
      </c>
      <c r="L27" s="17"/>
      <c r="M27" s="17"/>
      <c r="N27" s="17"/>
      <c r="O27" s="9">
        <v>0</v>
      </c>
      <c r="P27" s="15"/>
    </row>
    <row r="28" spans="2:16" x14ac:dyDescent="0.25">
      <c r="B28" s="20"/>
      <c r="C28" s="21"/>
      <c r="D28" s="21"/>
      <c r="E28" s="21"/>
      <c r="F28" s="21"/>
      <c r="G28" s="21"/>
      <c r="H28" s="22"/>
      <c r="J28" s="20"/>
      <c r="K28" s="21"/>
      <c r="L28" s="21"/>
      <c r="M28" s="21"/>
      <c r="N28" s="21"/>
      <c r="O28" s="21"/>
      <c r="P28" s="22"/>
    </row>
    <row r="30" spans="2:16" x14ac:dyDescent="0.25">
      <c r="B30" s="16"/>
      <c r="C30" s="14"/>
      <c r="D30" s="14"/>
      <c r="E30" s="14"/>
      <c r="F30" s="14"/>
      <c r="G30" s="14"/>
      <c r="H30" s="12"/>
      <c r="J30" s="16"/>
      <c r="K30" s="14"/>
      <c r="L30" s="14"/>
      <c r="M30" s="14"/>
      <c r="N30" s="14"/>
      <c r="O30" s="14"/>
      <c r="P30" s="12"/>
    </row>
    <row r="31" spans="2:16" x14ac:dyDescent="0.25">
      <c r="B31" s="10"/>
      <c r="C31" s="17" t="s">
        <v>48</v>
      </c>
      <c r="D31" s="17"/>
      <c r="E31" s="17"/>
      <c r="F31" s="17"/>
      <c r="G31" s="17"/>
      <c r="H31" s="15"/>
      <c r="J31" s="10"/>
      <c r="K31" s="17" t="s">
        <v>47</v>
      </c>
      <c r="L31" s="17"/>
      <c r="M31" s="17"/>
      <c r="N31" s="17"/>
      <c r="O31" s="17"/>
      <c r="P31" s="15"/>
    </row>
    <row r="32" spans="2:16" x14ac:dyDescent="0.25">
      <c r="B32" s="10"/>
      <c r="C32" s="17"/>
      <c r="D32" s="17"/>
      <c r="E32" s="17"/>
      <c r="F32" s="17"/>
      <c r="G32" s="17"/>
      <c r="H32" s="15"/>
      <c r="J32" s="10"/>
      <c r="K32" s="17"/>
      <c r="L32" s="17"/>
      <c r="M32" s="17"/>
      <c r="N32" s="17"/>
      <c r="O32" s="17"/>
      <c r="P32" s="15"/>
    </row>
    <row r="33" spans="2:16" x14ac:dyDescent="0.25">
      <c r="B33" s="10"/>
      <c r="C33" s="45" t="s">
        <v>6</v>
      </c>
      <c r="D33" s="45" t="s">
        <v>7</v>
      </c>
      <c r="E33" s="45" t="s">
        <v>8</v>
      </c>
      <c r="F33" s="45" t="s">
        <v>9</v>
      </c>
      <c r="G33" s="45" t="s">
        <v>10</v>
      </c>
      <c r="H33" s="15"/>
      <c r="J33" s="10"/>
      <c r="K33" s="45" t="s">
        <v>6</v>
      </c>
      <c r="L33" s="45" t="s">
        <v>7</v>
      </c>
      <c r="M33" s="45" t="s">
        <v>8</v>
      </c>
      <c r="N33" s="45" t="s">
        <v>9</v>
      </c>
      <c r="O33" s="45" t="s">
        <v>10</v>
      </c>
      <c r="P33" s="15"/>
    </row>
    <row r="34" spans="2:16" x14ac:dyDescent="0.25">
      <c r="B34" s="10"/>
      <c r="C34" s="25" t="s">
        <v>11</v>
      </c>
      <c r="D34" s="26">
        <v>0</v>
      </c>
      <c r="E34" s="26">
        <v>0</v>
      </c>
      <c r="F34" s="11">
        <f t="shared" ref="F34:F50" si="4">+D34-E34</f>
        <v>0</v>
      </c>
      <c r="G34" s="26">
        <v>-41961.24</v>
      </c>
      <c r="H34" s="15"/>
      <c r="J34" s="10"/>
      <c r="K34" s="25" t="s">
        <v>11</v>
      </c>
      <c r="L34" s="26">
        <v>0</v>
      </c>
      <c r="M34" s="26">
        <v>0</v>
      </c>
      <c r="N34" s="11">
        <f t="shared" ref="N34:N50" si="5">+L34-M34</f>
        <v>0</v>
      </c>
      <c r="O34" s="26">
        <v>-28669.360000000001</v>
      </c>
      <c r="P34" s="15"/>
    </row>
    <row r="35" spans="2:16" x14ac:dyDescent="0.25">
      <c r="B35" s="10"/>
      <c r="C35" s="25" t="s">
        <v>12</v>
      </c>
      <c r="D35" s="26">
        <v>31062.12</v>
      </c>
      <c r="E35" s="26">
        <v>5067.82</v>
      </c>
      <c r="F35" s="11">
        <f t="shared" si="4"/>
        <v>25994.3</v>
      </c>
      <c r="G35" s="11">
        <f t="shared" ref="G35:G50" si="6">+G34+F35</f>
        <v>-15966.939999999999</v>
      </c>
      <c r="H35" s="15"/>
      <c r="J35" s="10"/>
      <c r="K35" s="25" t="s">
        <v>12</v>
      </c>
      <c r="L35" s="26">
        <v>8621.75</v>
      </c>
      <c r="M35" s="26">
        <v>38540.839999999997</v>
      </c>
      <c r="N35" s="11">
        <f t="shared" si="5"/>
        <v>-29919.089999999997</v>
      </c>
      <c r="O35" s="11">
        <f t="shared" ref="O35:O50" si="7">+O34+N35</f>
        <v>-58588.45</v>
      </c>
      <c r="P35" s="15"/>
    </row>
    <row r="36" spans="2:16" x14ac:dyDescent="0.25">
      <c r="B36" s="10"/>
      <c r="C36" s="25" t="s">
        <v>13</v>
      </c>
      <c r="D36" s="26">
        <v>0</v>
      </c>
      <c r="E36" s="26">
        <v>3840.1</v>
      </c>
      <c r="F36" s="11">
        <f t="shared" si="4"/>
        <v>-3840.1</v>
      </c>
      <c r="G36" s="11">
        <f t="shared" si="6"/>
        <v>-19807.039999999997</v>
      </c>
      <c r="H36" s="15"/>
      <c r="J36" s="10"/>
      <c r="K36" s="25" t="s">
        <v>13</v>
      </c>
      <c r="L36" s="26">
        <v>13014.57</v>
      </c>
      <c r="M36" s="26">
        <v>7581.14</v>
      </c>
      <c r="N36" s="11">
        <f t="shared" si="5"/>
        <v>5433.4299999999994</v>
      </c>
      <c r="O36" s="11">
        <f t="shared" si="7"/>
        <v>-53155.02</v>
      </c>
      <c r="P36" s="15"/>
    </row>
    <row r="37" spans="2:16" x14ac:dyDescent="0.25">
      <c r="B37" s="10"/>
      <c r="C37" s="25" t="s">
        <v>14</v>
      </c>
      <c r="D37" s="26">
        <v>0</v>
      </c>
      <c r="E37" s="26">
        <v>4410.8100000000004</v>
      </c>
      <c r="F37" s="11">
        <f t="shared" si="4"/>
        <v>-4410.8100000000004</v>
      </c>
      <c r="G37" s="11">
        <f t="shared" si="6"/>
        <v>-24217.85</v>
      </c>
      <c r="H37" s="15"/>
      <c r="J37" s="10"/>
      <c r="K37" s="25" t="s">
        <v>14</v>
      </c>
      <c r="L37" s="26">
        <v>12493.65</v>
      </c>
      <c r="M37" s="26">
        <v>7004.35</v>
      </c>
      <c r="N37" s="11">
        <f t="shared" si="5"/>
        <v>5489.2999999999993</v>
      </c>
      <c r="O37" s="11">
        <f t="shared" si="7"/>
        <v>-47665.72</v>
      </c>
      <c r="P37" s="15"/>
    </row>
    <row r="38" spans="2:16" x14ac:dyDescent="0.25">
      <c r="B38" s="10"/>
      <c r="C38" s="25" t="s">
        <v>15</v>
      </c>
      <c r="D38" s="26">
        <v>0</v>
      </c>
      <c r="E38" s="26">
        <v>4852.34</v>
      </c>
      <c r="F38" s="11">
        <f t="shared" si="4"/>
        <v>-4852.34</v>
      </c>
      <c r="G38" s="11">
        <f t="shared" si="6"/>
        <v>-29070.19</v>
      </c>
      <c r="H38" s="15"/>
      <c r="J38" s="10"/>
      <c r="K38" s="25" t="s">
        <v>15</v>
      </c>
      <c r="L38" s="26">
        <v>11172.35</v>
      </c>
      <c r="M38" s="26">
        <v>6336.27</v>
      </c>
      <c r="N38" s="11">
        <f t="shared" si="5"/>
        <v>4836.08</v>
      </c>
      <c r="O38" s="11">
        <f t="shared" si="7"/>
        <v>-42829.64</v>
      </c>
      <c r="P38" s="15"/>
    </row>
    <row r="39" spans="2:16" x14ac:dyDescent="0.25">
      <c r="B39" s="10"/>
      <c r="C39" s="25" t="s">
        <v>16</v>
      </c>
      <c r="D39" s="26">
        <v>0</v>
      </c>
      <c r="E39" s="26">
        <v>5093.17</v>
      </c>
      <c r="F39" s="11">
        <f t="shared" si="4"/>
        <v>-5093.17</v>
      </c>
      <c r="G39" s="11">
        <f t="shared" si="6"/>
        <v>-34163.360000000001</v>
      </c>
      <c r="H39" s="15"/>
      <c r="J39" s="10"/>
      <c r="K39" s="25" t="s">
        <v>16</v>
      </c>
      <c r="L39" s="26">
        <v>10043.379999999999</v>
      </c>
      <c r="M39" s="26">
        <v>5671.23</v>
      </c>
      <c r="N39" s="11">
        <f t="shared" si="5"/>
        <v>4372.1499999999996</v>
      </c>
      <c r="O39" s="11">
        <f t="shared" si="7"/>
        <v>-38457.49</v>
      </c>
      <c r="P39" s="15"/>
    </row>
    <row r="40" spans="2:16" x14ac:dyDescent="0.25">
      <c r="B40" s="10"/>
      <c r="C40" s="25" t="s">
        <v>17</v>
      </c>
      <c r="D40" s="26">
        <v>0</v>
      </c>
      <c r="E40" s="26">
        <v>5093.17</v>
      </c>
      <c r="F40" s="11">
        <f t="shared" si="4"/>
        <v>-5093.17</v>
      </c>
      <c r="G40" s="11">
        <f t="shared" si="6"/>
        <v>-39256.53</v>
      </c>
      <c r="H40" s="15"/>
      <c r="J40" s="10"/>
      <c r="K40" s="25" t="s">
        <v>17</v>
      </c>
      <c r="L40" s="26">
        <v>9704.14</v>
      </c>
      <c r="M40" s="26">
        <v>5440.52</v>
      </c>
      <c r="N40" s="11">
        <f t="shared" si="5"/>
        <v>4263.619999999999</v>
      </c>
      <c r="O40" s="11">
        <f t="shared" si="7"/>
        <v>-34193.869999999995</v>
      </c>
      <c r="P40" s="15"/>
    </row>
    <row r="41" spans="2:16" x14ac:dyDescent="0.25">
      <c r="B41" s="10"/>
      <c r="C41" s="25" t="s">
        <v>18</v>
      </c>
      <c r="D41" s="26">
        <v>0</v>
      </c>
      <c r="E41" s="26">
        <v>5397.79</v>
      </c>
      <c r="F41" s="11">
        <f t="shared" si="4"/>
        <v>-5397.79</v>
      </c>
      <c r="G41" s="11">
        <f t="shared" si="6"/>
        <v>-44654.32</v>
      </c>
      <c r="H41" s="15"/>
      <c r="J41" s="10"/>
      <c r="K41" s="25" t="s">
        <v>18</v>
      </c>
      <c r="L41" s="26">
        <v>10379.64</v>
      </c>
      <c r="M41" s="26">
        <v>5028.66</v>
      </c>
      <c r="N41" s="11">
        <f t="shared" si="5"/>
        <v>5350.98</v>
      </c>
      <c r="O41" s="11">
        <f t="shared" si="7"/>
        <v>-28842.889999999996</v>
      </c>
      <c r="P41" s="15"/>
    </row>
    <row r="42" spans="2:16" x14ac:dyDescent="0.25">
      <c r="B42" s="10"/>
      <c r="C42" s="25" t="s">
        <v>19</v>
      </c>
      <c r="D42" s="26">
        <v>0</v>
      </c>
      <c r="E42" s="26">
        <v>5752.02</v>
      </c>
      <c r="F42" s="11">
        <f t="shared" si="4"/>
        <v>-5752.02</v>
      </c>
      <c r="G42" s="11">
        <f t="shared" si="6"/>
        <v>-50406.34</v>
      </c>
      <c r="H42" s="15"/>
      <c r="J42" s="10"/>
      <c r="K42" s="25" t="s">
        <v>19</v>
      </c>
      <c r="L42" s="26">
        <v>10599.08</v>
      </c>
      <c r="M42" s="26">
        <v>5318.01</v>
      </c>
      <c r="N42" s="11">
        <f t="shared" si="5"/>
        <v>5281.07</v>
      </c>
      <c r="O42" s="11">
        <f t="shared" si="7"/>
        <v>-23561.819999999996</v>
      </c>
      <c r="P42" s="15"/>
    </row>
    <row r="43" spans="2:16" x14ac:dyDescent="0.25">
      <c r="B43" s="10"/>
      <c r="C43" s="25" t="s">
        <v>20</v>
      </c>
      <c r="D43" s="26">
        <v>0</v>
      </c>
      <c r="E43" s="26">
        <v>5698.68</v>
      </c>
      <c r="F43" s="11">
        <f t="shared" si="4"/>
        <v>-5698.68</v>
      </c>
      <c r="G43" s="11">
        <f t="shared" si="6"/>
        <v>-56105.02</v>
      </c>
      <c r="H43" s="15"/>
      <c r="J43" s="10"/>
      <c r="K43" s="25" t="s">
        <v>20</v>
      </c>
      <c r="L43" s="26">
        <v>9753.52</v>
      </c>
      <c r="M43" s="26">
        <v>4764.72</v>
      </c>
      <c r="N43" s="11">
        <f t="shared" si="5"/>
        <v>4988.8</v>
      </c>
      <c r="O43" s="11">
        <f t="shared" si="7"/>
        <v>-18573.019999999997</v>
      </c>
      <c r="P43" s="15"/>
    </row>
    <row r="44" spans="2:16" x14ac:dyDescent="0.25">
      <c r="B44" s="10"/>
      <c r="C44" s="108" t="s">
        <v>21</v>
      </c>
      <c r="D44" s="109">
        <v>0</v>
      </c>
      <c r="E44" s="109">
        <v>6075.62</v>
      </c>
      <c r="F44" s="110">
        <f t="shared" si="4"/>
        <v>-6075.62</v>
      </c>
      <c r="G44" s="110">
        <f t="shared" si="6"/>
        <v>-62180.639999999999</v>
      </c>
      <c r="H44" s="15"/>
      <c r="J44" s="10"/>
      <c r="K44" s="108" t="s">
        <v>21</v>
      </c>
      <c r="L44" s="109">
        <v>10304.24</v>
      </c>
      <c r="M44" s="109">
        <v>4142.53</v>
      </c>
      <c r="N44" s="110">
        <f t="shared" si="5"/>
        <v>6161.71</v>
      </c>
      <c r="O44" s="110">
        <f t="shared" si="7"/>
        <v>-12411.309999999998</v>
      </c>
      <c r="P44" s="15"/>
    </row>
    <row r="45" spans="2:16" x14ac:dyDescent="0.25">
      <c r="B45" s="10"/>
      <c r="C45" s="124" t="s">
        <v>53</v>
      </c>
      <c r="D45" s="109">
        <v>0</v>
      </c>
      <c r="E45" s="109">
        <f>-'Interest Review for Jan 2019'!I20</f>
        <v>-7091.889770169304</v>
      </c>
      <c r="F45" s="110">
        <f t="shared" si="4"/>
        <v>7091.889770169304</v>
      </c>
      <c r="G45" s="110">
        <f t="shared" si="6"/>
        <v>-55088.750229830694</v>
      </c>
      <c r="H45" s="15"/>
      <c r="J45" s="10"/>
      <c r="K45" s="124" t="s">
        <v>53</v>
      </c>
      <c r="L45" s="109">
        <v>0</v>
      </c>
      <c r="M45" s="109">
        <f>-'Interest Review for Jan 2019'!S20</f>
        <v>323.31224584388144</v>
      </c>
      <c r="N45" s="110">
        <f t="shared" si="5"/>
        <v>-323.31224584388144</v>
      </c>
      <c r="O45" s="110">
        <f t="shared" si="7"/>
        <v>-12734.622245843879</v>
      </c>
      <c r="P45" s="15"/>
    </row>
    <row r="46" spans="2:16" x14ac:dyDescent="0.25">
      <c r="B46" s="10"/>
      <c r="C46" s="25"/>
      <c r="D46" s="26">
        <v>0</v>
      </c>
      <c r="E46" s="26">
        <v>0</v>
      </c>
      <c r="F46" s="11">
        <f t="shared" si="4"/>
        <v>0</v>
      </c>
      <c r="G46" s="11">
        <f t="shared" si="6"/>
        <v>-55088.750229830694</v>
      </c>
      <c r="H46" s="15"/>
      <c r="J46" s="10"/>
      <c r="K46" s="25"/>
      <c r="L46" s="26">
        <v>0</v>
      </c>
      <c r="M46" s="26">
        <v>0</v>
      </c>
      <c r="N46" s="11">
        <f t="shared" si="5"/>
        <v>0</v>
      </c>
      <c r="O46" s="11">
        <f t="shared" si="7"/>
        <v>-12734.622245843879</v>
      </c>
      <c r="P46" s="15"/>
    </row>
    <row r="47" spans="2:16" x14ac:dyDescent="0.25">
      <c r="B47" s="10"/>
      <c r="C47" s="25"/>
      <c r="D47" s="26">
        <v>0</v>
      </c>
      <c r="E47" s="26">
        <v>0</v>
      </c>
      <c r="F47" s="11">
        <f t="shared" si="4"/>
        <v>0</v>
      </c>
      <c r="G47" s="11">
        <f t="shared" si="6"/>
        <v>-55088.750229830694</v>
      </c>
      <c r="H47" s="15"/>
      <c r="J47" s="10"/>
      <c r="K47" s="25"/>
      <c r="L47" s="26">
        <v>0</v>
      </c>
      <c r="M47" s="26">
        <v>0</v>
      </c>
      <c r="N47" s="11">
        <f t="shared" si="5"/>
        <v>0</v>
      </c>
      <c r="O47" s="11">
        <f t="shared" si="7"/>
        <v>-12734.622245843879</v>
      </c>
      <c r="P47" s="15"/>
    </row>
    <row r="48" spans="2:16" x14ac:dyDescent="0.25">
      <c r="B48" s="10"/>
      <c r="C48" s="25"/>
      <c r="D48" s="26">
        <v>0</v>
      </c>
      <c r="E48" s="26">
        <v>0</v>
      </c>
      <c r="F48" s="11">
        <f t="shared" si="4"/>
        <v>0</v>
      </c>
      <c r="G48" s="11">
        <f t="shared" si="6"/>
        <v>-55088.750229830694</v>
      </c>
      <c r="H48" s="15"/>
      <c r="J48" s="10"/>
      <c r="K48" s="25"/>
      <c r="L48" s="26">
        <v>0</v>
      </c>
      <c r="M48" s="26">
        <v>0</v>
      </c>
      <c r="N48" s="11">
        <f t="shared" si="5"/>
        <v>0</v>
      </c>
      <c r="O48" s="11">
        <f t="shared" si="7"/>
        <v>-12734.622245843879</v>
      </c>
      <c r="P48" s="15"/>
    </row>
    <row r="49" spans="2:16" x14ac:dyDescent="0.25">
      <c r="B49" s="10"/>
      <c r="C49" s="25"/>
      <c r="D49" s="26">
        <v>0</v>
      </c>
      <c r="E49" s="26">
        <v>0</v>
      </c>
      <c r="F49" s="11">
        <f t="shared" si="4"/>
        <v>0</v>
      </c>
      <c r="G49" s="11">
        <f t="shared" si="6"/>
        <v>-55088.750229830694</v>
      </c>
      <c r="H49" s="15"/>
      <c r="J49" s="10"/>
      <c r="K49" s="25"/>
      <c r="L49" s="26">
        <v>0</v>
      </c>
      <c r="M49" s="26">
        <v>0</v>
      </c>
      <c r="N49" s="11">
        <f t="shared" si="5"/>
        <v>0</v>
      </c>
      <c r="O49" s="11">
        <f t="shared" si="7"/>
        <v>-12734.622245843879</v>
      </c>
      <c r="P49" s="15"/>
    </row>
    <row r="50" spans="2:16" x14ac:dyDescent="0.25">
      <c r="B50" s="10"/>
      <c r="C50" s="25"/>
      <c r="D50" s="26">
        <v>0</v>
      </c>
      <c r="E50" s="26">
        <v>0</v>
      </c>
      <c r="F50" s="11">
        <f t="shared" si="4"/>
        <v>0</v>
      </c>
      <c r="G50" s="11">
        <f t="shared" si="6"/>
        <v>-55088.750229830694</v>
      </c>
      <c r="H50" s="15"/>
      <c r="J50" s="10"/>
      <c r="K50" s="25"/>
      <c r="L50" s="26">
        <v>0</v>
      </c>
      <c r="M50" s="26">
        <v>0</v>
      </c>
      <c r="N50" s="11">
        <f t="shared" si="5"/>
        <v>0</v>
      </c>
      <c r="O50" s="11">
        <f t="shared" si="7"/>
        <v>-12734.622245843879</v>
      </c>
      <c r="P50" s="15"/>
    </row>
    <row r="51" spans="2:16" x14ac:dyDescent="0.25">
      <c r="B51" s="10"/>
      <c r="C51" s="25" t="s">
        <v>28</v>
      </c>
      <c r="D51" s="11">
        <f>SUM(D34:D50)</f>
        <v>31062.12</v>
      </c>
      <c r="E51" s="11">
        <f>SUM(E34:E50)</f>
        <v>44189.630229830698</v>
      </c>
      <c r="F51" s="11">
        <f>SUM(F34:F50)</f>
        <v>-13127.510229830697</v>
      </c>
      <c r="G51" s="11">
        <f>+G50</f>
        <v>-55088.750229830694</v>
      </c>
      <c r="H51" s="15"/>
      <c r="J51" s="10"/>
      <c r="K51" s="25" t="s">
        <v>28</v>
      </c>
      <c r="L51" s="11">
        <f>SUM(L34:L50)</f>
        <v>106086.32</v>
      </c>
      <c r="M51" s="11">
        <f>SUM(M34:M50)</f>
        <v>90151.582245843878</v>
      </c>
      <c r="N51" s="11">
        <f>SUM(N34:N50)</f>
        <v>15934.737754156118</v>
      </c>
      <c r="O51" s="11">
        <f>+O50</f>
        <v>-12734.622245843879</v>
      </c>
      <c r="P51" s="15"/>
    </row>
    <row r="52" spans="2:16" x14ac:dyDescent="0.25">
      <c r="B52" s="10"/>
      <c r="C52" s="25"/>
      <c r="D52" s="26"/>
      <c r="E52" s="26"/>
      <c r="F52" s="26"/>
      <c r="G52" s="26"/>
      <c r="H52" s="15"/>
      <c r="J52" s="10"/>
      <c r="K52" s="25"/>
      <c r="L52" s="26"/>
      <c r="M52" s="26"/>
      <c r="N52" s="26"/>
      <c r="O52" s="26"/>
      <c r="P52" s="15"/>
    </row>
    <row r="53" spans="2:16" x14ac:dyDescent="0.25">
      <c r="B53" s="10"/>
      <c r="C53" s="25"/>
      <c r="D53" s="26"/>
      <c r="E53" s="26"/>
      <c r="F53" s="26"/>
      <c r="G53" s="26"/>
      <c r="H53" s="15"/>
      <c r="J53" s="10"/>
      <c r="K53" s="25"/>
      <c r="L53" s="26"/>
      <c r="M53" s="26"/>
      <c r="N53" s="26"/>
      <c r="O53" s="26"/>
      <c r="P53" s="15"/>
    </row>
    <row r="54" spans="2:16" x14ac:dyDescent="0.25">
      <c r="B54" s="10"/>
      <c r="C54" s="25"/>
      <c r="D54" s="26"/>
      <c r="E54" s="26"/>
      <c r="F54" s="26"/>
      <c r="G54" s="26"/>
      <c r="H54" s="15"/>
      <c r="J54" s="10"/>
      <c r="K54" s="25"/>
      <c r="L54" s="26"/>
      <c r="M54" s="26"/>
      <c r="N54" s="26"/>
      <c r="O54" s="26"/>
      <c r="P54" s="15"/>
    </row>
    <row r="55" spans="2:16" x14ac:dyDescent="0.25">
      <c r="B55" s="10"/>
      <c r="C55" s="25"/>
      <c r="D55" s="26"/>
      <c r="E55" s="26"/>
      <c r="F55" s="26"/>
      <c r="G55" s="26"/>
      <c r="H55" s="15"/>
      <c r="J55" s="10"/>
      <c r="K55" s="25"/>
      <c r="L55" s="26"/>
      <c r="M55" s="26"/>
      <c r="N55" s="26"/>
      <c r="O55" s="26"/>
      <c r="P55" s="15"/>
    </row>
    <row r="56" spans="2:16" x14ac:dyDescent="0.25">
      <c r="B56" s="20"/>
      <c r="C56" s="21"/>
      <c r="D56" s="21"/>
      <c r="E56" s="21"/>
      <c r="F56" s="21"/>
      <c r="G56" s="21"/>
      <c r="H56" s="22"/>
      <c r="J56" s="20"/>
      <c r="K56" s="21"/>
      <c r="L56" s="21"/>
      <c r="M56" s="21"/>
      <c r="N56" s="21"/>
      <c r="O56" s="21"/>
      <c r="P56" s="22"/>
    </row>
    <row r="57" spans="2:16" x14ac:dyDescent="0.25">
      <c r="B57" s="17"/>
      <c r="C57" s="17"/>
      <c r="D57" s="17"/>
      <c r="E57" s="17"/>
      <c r="F57" s="17"/>
      <c r="G57" s="17"/>
      <c r="H57" s="17"/>
    </row>
    <row r="58" spans="2:16" x14ac:dyDescent="0.25">
      <c r="C58" s="108" t="s">
        <v>95</v>
      </c>
      <c r="D58" s="111"/>
      <c r="E58" s="111"/>
      <c r="F58" s="111"/>
      <c r="G58" s="112">
        <f>+'Interest 2019 Rate'!E24</f>
        <v>-11684.418228927698</v>
      </c>
    </row>
    <row r="60" spans="2:16" ht="15.75" thickBot="1" x14ac:dyDescent="0.3">
      <c r="C60" s="113" t="s">
        <v>96</v>
      </c>
      <c r="D60" s="113"/>
      <c r="E60" s="113"/>
      <c r="F60" s="113"/>
      <c r="G60" s="114">
        <f>+G45+G58+O45</f>
        <v>-79507.790704602259</v>
      </c>
    </row>
    <row r="61" spans="2:16" ht="15.75" thickTop="1" x14ac:dyDescent="0.25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opLeftCell="A10" zoomScaleNormal="100" workbookViewId="0">
      <selection activeCell="G27" sqref="G27"/>
    </sheetView>
  </sheetViews>
  <sheetFormatPr defaultRowHeight="15" x14ac:dyDescent="0.25"/>
  <cols>
    <col min="1" max="1" width="9.7109375" customWidth="1"/>
    <col min="2" max="2" width="14" bestFit="1" customWidth="1"/>
    <col min="3" max="4" width="12.28515625" bestFit="1" customWidth="1"/>
    <col min="6" max="6" width="8.140625" bestFit="1" customWidth="1"/>
    <col min="7" max="7" width="11.7109375" customWidth="1"/>
    <col min="8" max="8" width="12.28515625" customWidth="1"/>
    <col min="9" max="9" width="14" bestFit="1" customWidth="1"/>
    <col min="10" max="10" width="8.7109375" bestFit="1" customWidth="1"/>
    <col min="12" max="12" width="12.28515625" bestFit="1" customWidth="1"/>
    <col min="13" max="13" width="9" bestFit="1" customWidth="1"/>
    <col min="14" max="14" width="12.28515625" bestFit="1" customWidth="1"/>
    <col min="15" max="15" width="8" bestFit="1" customWidth="1"/>
    <col min="16" max="16" width="8.7109375" customWidth="1"/>
    <col min="17" max="17" width="11.28515625" bestFit="1" customWidth="1"/>
    <col min="18" max="18" width="13.42578125" bestFit="1" customWidth="1"/>
    <col min="19" max="19" width="14" bestFit="1" customWidth="1"/>
  </cols>
  <sheetData>
    <row r="1" spans="1:19" ht="15.75" thickBot="1" x14ac:dyDescent="0.3">
      <c r="A1" s="58" t="s">
        <v>54</v>
      </c>
    </row>
    <row r="2" spans="1:19" ht="15.75" thickBot="1" x14ac:dyDescent="0.3">
      <c r="B2" s="118" t="s">
        <v>99</v>
      </c>
      <c r="C2" s="119"/>
      <c r="D2" s="119"/>
      <c r="E2" s="119"/>
      <c r="F2" s="119"/>
      <c r="G2" s="120"/>
      <c r="L2" s="118" t="s">
        <v>99</v>
      </c>
      <c r="M2" s="119"/>
      <c r="N2" s="119"/>
      <c r="O2" s="119"/>
      <c r="P2" s="119"/>
      <c r="Q2" s="120"/>
    </row>
    <row r="3" spans="1:19" s="59" customFormat="1" ht="105.75" thickBot="1" x14ac:dyDescent="0.3">
      <c r="A3" s="59" t="s">
        <v>55</v>
      </c>
      <c r="B3" s="115" t="s">
        <v>100</v>
      </c>
      <c r="C3" s="116" t="s">
        <v>56</v>
      </c>
      <c r="D3" s="116" t="s">
        <v>57</v>
      </c>
      <c r="E3" s="116" t="s">
        <v>58</v>
      </c>
      <c r="F3" s="116" t="s">
        <v>59</v>
      </c>
      <c r="G3" s="117" t="s">
        <v>60</v>
      </c>
      <c r="H3" s="60" t="s">
        <v>61</v>
      </c>
      <c r="I3" s="62" t="s">
        <v>102</v>
      </c>
      <c r="J3" s="63"/>
      <c r="L3" s="60" t="s">
        <v>101</v>
      </c>
      <c r="M3" s="61" t="s">
        <v>56</v>
      </c>
      <c r="N3" s="61" t="s">
        <v>63</v>
      </c>
      <c r="O3" s="61" t="s">
        <v>58</v>
      </c>
      <c r="P3" s="61" t="s">
        <v>59</v>
      </c>
      <c r="Q3" s="62" t="s">
        <v>64</v>
      </c>
      <c r="R3" s="60" t="s">
        <v>65</v>
      </c>
      <c r="S3" s="62" t="s">
        <v>62</v>
      </c>
    </row>
    <row r="4" spans="1:19" s="59" customFormat="1" x14ac:dyDescent="0.25">
      <c r="B4" s="64">
        <v>-1196228.01</v>
      </c>
      <c r="C4" s="65">
        <f>-B4*0.35</f>
        <v>418679.80349999998</v>
      </c>
      <c r="D4" s="46">
        <f>+B4+C4</f>
        <v>-777548.20650000009</v>
      </c>
      <c r="E4" s="47"/>
      <c r="F4" s="63"/>
      <c r="G4" s="63"/>
      <c r="H4" s="63"/>
      <c r="I4" s="63"/>
      <c r="J4" s="63"/>
      <c r="L4" s="64">
        <v>15030.31</v>
      </c>
      <c r="M4" s="65">
        <f>-L4*0.35</f>
        <v>-5260.6084999999994</v>
      </c>
      <c r="N4" s="46">
        <f>+L4+M4</f>
        <v>9769.7014999999992</v>
      </c>
      <c r="O4" s="47"/>
      <c r="P4" s="63"/>
      <c r="Q4" s="63"/>
      <c r="R4" s="66"/>
    </row>
    <row r="5" spans="1:19" x14ac:dyDescent="0.25">
      <c r="A5" s="67">
        <v>43101</v>
      </c>
      <c r="B5" s="64">
        <v>-621824.78</v>
      </c>
      <c r="C5" s="65">
        <f>-B5*0.35</f>
        <v>217638.67300000001</v>
      </c>
      <c r="D5" s="46">
        <f>+B5+C5</f>
        <v>-404186.10700000002</v>
      </c>
      <c r="E5" s="47">
        <f>+'Conv F and COC UE-180282'!$E$39</f>
        <v>6.9699999999999998E-2</v>
      </c>
      <c r="F5">
        <v>0.79</v>
      </c>
      <c r="G5" s="68">
        <f>(D5+D4)/2*E5/12/F5</f>
        <v>-4344.2448128138185</v>
      </c>
      <c r="H5" s="69">
        <v>-5067.8221521250007</v>
      </c>
      <c r="I5" s="70">
        <f>+G5-H5</f>
        <v>723.57733931118219</v>
      </c>
      <c r="J5" s="69"/>
      <c r="K5" s="67">
        <f>+A5</f>
        <v>43101</v>
      </c>
      <c r="L5" s="64">
        <f>+L4-515441.93</f>
        <v>-500411.62</v>
      </c>
      <c r="M5" s="65">
        <f>-L5*0.35</f>
        <v>175144.06699999998</v>
      </c>
      <c r="N5" s="46">
        <f>+L5+M5</f>
        <v>-325267.55300000001</v>
      </c>
      <c r="O5" s="47">
        <v>6.9699999999999998E-2</v>
      </c>
      <c r="P5">
        <f>F5</f>
        <v>0.79</v>
      </c>
      <c r="Q5" s="68">
        <f>(N5+N4)/2*O5/12/P5</f>
        <v>-1159.8206882674049</v>
      </c>
      <c r="R5" s="71">
        <v>-1064.95</v>
      </c>
      <c r="S5" s="70">
        <f>+Q5-R5</f>
        <v>-94.87068826740483</v>
      </c>
    </row>
    <row r="6" spans="1:19" x14ac:dyDescent="0.25">
      <c r="A6" s="67">
        <v>43132</v>
      </c>
      <c r="B6" s="64">
        <f>+B5-133966.02</f>
        <v>-755790.8</v>
      </c>
      <c r="C6" s="65">
        <f t="shared" ref="C6:C16" si="0">-B6*0.35</f>
        <v>264526.78000000003</v>
      </c>
      <c r="D6" s="46">
        <f t="shared" ref="D6:D16" si="1">+B6+C6</f>
        <v>-491264.02</v>
      </c>
      <c r="E6" s="47">
        <f>+'Conv F and COC UE-180282'!$E$39</f>
        <v>6.9699999999999998E-2</v>
      </c>
      <c r="F6">
        <v>0.79</v>
      </c>
      <c r="G6" s="68">
        <f>(D6+D5)/2*E6/12/F6</f>
        <v>-3291.8182411339662</v>
      </c>
      <c r="H6" s="69">
        <v>-3840.1034292500003</v>
      </c>
      <c r="I6" s="70">
        <f t="shared" ref="I6:I16" si="2">+G6-H6</f>
        <v>548.28518811603408</v>
      </c>
      <c r="J6" s="69"/>
      <c r="K6" s="67">
        <f t="shared" ref="K6:K16" si="3">+A6</f>
        <v>43132</v>
      </c>
      <c r="L6" s="64">
        <f>+L5+50901.3</f>
        <v>-449510.32</v>
      </c>
      <c r="M6" s="65">
        <f t="shared" ref="M6:M16" si="4">-L6*0.35</f>
        <v>157328.61199999999</v>
      </c>
      <c r="N6" s="46">
        <f t="shared" ref="N6:N16" si="5">+L6+M6</f>
        <v>-292181.70799999998</v>
      </c>
      <c r="O6" s="47">
        <v>6.9699999999999998E-2</v>
      </c>
      <c r="P6">
        <f t="shared" ref="P6:P16" si="6">F6</f>
        <v>0.79</v>
      </c>
      <c r="Q6" s="68">
        <f>(N6+N5)/2*O6/12/P6</f>
        <v>-2269.8424837394509</v>
      </c>
      <c r="R6" s="71">
        <v>-2359.86</v>
      </c>
      <c r="S6" s="70">
        <f t="shared" ref="S6:S16" si="7">+Q6-R6</f>
        <v>90.017516260549201</v>
      </c>
    </row>
    <row r="7" spans="1:19" x14ac:dyDescent="0.25">
      <c r="A7" s="67">
        <v>43160</v>
      </c>
      <c r="B7" s="64">
        <f>+B6-70771.95</f>
        <v>-826562.75</v>
      </c>
      <c r="C7" s="65">
        <f t="shared" si="0"/>
        <v>289296.96249999997</v>
      </c>
      <c r="D7" s="46">
        <f t="shared" si="1"/>
        <v>-537265.78750000009</v>
      </c>
      <c r="E7" s="47">
        <f>+'Conv F and COC UE-180282'!$E$39</f>
        <v>6.9699999999999998E-2</v>
      </c>
      <c r="F7">
        <v>0.79</v>
      </c>
      <c r="G7" s="68">
        <f t="shared" ref="G7:G16" si="8">(D7+D6)/2*E7/12/F7</f>
        <v>-3781.0404843222573</v>
      </c>
      <c r="H7" s="69">
        <v>-4410.8105206250011</v>
      </c>
      <c r="I7" s="70">
        <f t="shared" si="2"/>
        <v>629.77003630274385</v>
      </c>
      <c r="J7" s="69"/>
      <c r="K7" s="67">
        <f t="shared" si="3"/>
        <v>43160</v>
      </c>
      <c r="L7" s="64">
        <f>+L6+49439.49</f>
        <v>-400070.83</v>
      </c>
      <c r="M7" s="65">
        <f t="shared" si="4"/>
        <v>140024.7905</v>
      </c>
      <c r="N7" s="46">
        <f t="shared" si="5"/>
        <v>-260046.03950000001</v>
      </c>
      <c r="O7" s="47">
        <v>6.9699999999999998E-2</v>
      </c>
      <c r="P7">
        <f t="shared" si="6"/>
        <v>0.79</v>
      </c>
      <c r="Q7" s="68">
        <f t="shared" ref="Q7:Q16" si="9">(N7+N6)/2*O7/12/P7</f>
        <v>-2030.0777426555908</v>
      </c>
      <c r="R7" s="71">
        <v>-2080.16</v>
      </c>
      <c r="S7" s="70">
        <f t="shared" si="7"/>
        <v>50.082257344409072</v>
      </c>
    </row>
    <row r="8" spans="1:19" x14ac:dyDescent="0.25">
      <c r="A8" s="67">
        <v>43191</v>
      </c>
      <c r="B8" s="64">
        <f>+B7-87625.07</f>
        <v>-914187.82000000007</v>
      </c>
      <c r="C8" s="65">
        <f t="shared" si="0"/>
        <v>319965.73700000002</v>
      </c>
      <c r="D8" s="46">
        <f t="shared" si="1"/>
        <v>-594222.0830000001</v>
      </c>
      <c r="E8" s="47">
        <f>+'Conv F and COC UE-180282'!$E$39</f>
        <v>6.9699999999999998E-2</v>
      </c>
      <c r="F8">
        <v>0.79</v>
      </c>
      <c r="G8" s="68">
        <f t="shared" si="8"/>
        <v>-4159.5308319541145</v>
      </c>
      <c r="H8" s="69">
        <v>-4852.3422138750002</v>
      </c>
      <c r="I8" s="70">
        <f t="shared" si="2"/>
        <v>692.81138192088565</v>
      </c>
      <c r="J8" s="69"/>
      <c r="K8" s="67">
        <f t="shared" si="3"/>
        <v>43191</v>
      </c>
      <c r="L8" s="64">
        <f>+L7+43481.14</f>
        <v>-356589.69</v>
      </c>
      <c r="M8" s="65">
        <f t="shared" si="4"/>
        <v>124806.3915</v>
      </c>
      <c r="N8" s="46">
        <f t="shared" si="5"/>
        <v>-231783.2985</v>
      </c>
      <c r="O8" s="47">
        <v>6.9699999999999998E-2</v>
      </c>
      <c r="P8">
        <f t="shared" si="6"/>
        <v>0.79</v>
      </c>
      <c r="Q8" s="68">
        <f t="shared" si="9"/>
        <v>-1808.0435052004218</v>
      </c>
      <c r="R8" s="71">
        <v>-1821.14</v>
      </c>
      <c r="S8" s="70">
        <f t="shared" si="7"/>
        <v>13.096494799578295</v>
      </c>
    </row>
    <row r="9" spans="1:19" x14ac:dyDescent="0.25">
      <c r="A9" s="67">
        <v>43221</v>
      </c>
      <c r="B9" s="64">
        <f>+B8+1229.59</f>
        <v>-912958.2300000001</v>
      </c>
      <c r="C9" s="65">
        <f t="shared" si="0"/>
        <v>319535.38050000003</v>
      </c>
      <c r="D9" s="46">
        <f t="shared" si="1"/>
        <v>-593422.84950000001</v>
      </c>
      <c r="E9" s="47">
        <f>+'Conv F and COC UE-180282'!$E$39</f>
        <v>6.9699999999999998E-2</v>
      </c>
      <c r="F9">
        <v>0.79</v>
      </c>
      <c r="G9" s="68">
        <f t="shared" si="8"/>
        <v>-4365.973195952005</v>
      </c>
      <c r="H9" s="69">
        <v>-5093.1696143750005</v>
      </c>
      <c r="I9" s="70">
        <f t="shared" si="2"/>
        <v>727.19641842299552</v>
      </c>
      <c r="J9" s="69"/>
      <c r="K9" s="67">
        <f t="shared" si="3"/>
        <v>43221</v>
      </c>
      <c r="L9" s="64">
        <f>+L8+38950.31</f>
        <v>-317639.38</v>
      </c>
      <c r="M9" s="65">
        <f t="shared" si="4"/>
        <v>111173.783</v>
      </c>
      <c r="N9" s="46">
        <f t="shared" si="5"/>
        <v>-206465.59700000001</v>
      </c>
      <c r="O9" s="47">
        <v>6.9699999999999998E-2</v>
      </c>
      <c r="P9">
        <f t="shared" si="6"/>
        <v>0.79</v>
      </c>
      <c r="Q9" s="68">
        <f t="shared" si="9"/>
        <v>-1611.0732076133966</v>
      </c>
      <c r="R9" s="71">
        <v>-1591.37</v>
      </c>
      <c r="S9" s="70">
        <f t="shared" si="7"/>
        <v>-19.703207613396671</v>
      </c>
    </row>
    <row r="10" spans="1:19" x14ac:dyDescent="0.25">
      <c r="A10" s="67">
        <v>43252</v>
      </c>
      <c r="B10" s="64">
        <f>+B9+13203.09</f>
        <v>-899755.14000000013</v>
      </c>
      <c r="C10" s="65">
        <f t="shared" si="0"/>
        <v>314914.299</v>
      </c>
      <c r="D10" s="46">
        <f t="shared" si="1"/>
        <v>-584840.84100000013</v>
      </c>
      <c r="E10" s="47">
        <f>+'Conv F and COC UE-180282'!$E$39</f>
        <v>6.9699999999999998E-2</v>
      </c>
      <c r="F10">
        <v>0.79</v>
      </c>
      <c r="G10" s="68">
        <f t="shared" si="8"/>
        <v>-4331.4862461946195</v>
      </c>
      <c r="H10" s="69">
        <v>-5093.17</v>
      </c>
      <c r="I10" s="70">
        <f t="shared" si="2"/>
        <v>761.68375380538055</v>
      </c>
      <c r="J10" s="69"/>
      <c r="K10" s="67">
        <f t="shared" si="3"/>
        <v>43252</v>
      </c>
      <c r="L10" s="64">
        <f>+L9+38241.5</f>
        <v>-279397.88</v>
      </c>
      <c r="M10" s="65">
        <f t="shared" si="4"/>
        <v>97789.258000000002</v>
      </c>
      <c r="N10" s="46">
        <f t="shared" si="5"/>
        <v>-181608.622</v>
      </c>
      <c r="O10" s="47">
        <v>6.9699999999999998E-2</v>
      </c>
      <c r="P10">
        <f t="shared" si="6"/>
        <v>0.79</v>
      </c>
      <c r="Q10" s="68">
        <f t="shared" si="9"/>
        <v>-1426.623051914557</v>
      </c>
      <c r="R10" s="71">
        <v>-1591.37</v>
      </c>
      <c r="S10" s="70">
        <f t="shared" si="7"/>
        <v>164.74694808544291</v>
      </c>
    </row>
    <row r="11" spans="1:19" x14ac:dyDescent="0.25">
      <c r="A11" s="67">
        <v>43282</v>
      </c>
      <c r="B11" s="64">
        <f>+B10-136917.29</f>
        <v>-1036672.4300000002</v>
      </c>
      <c r="C11" s="65">
        <f t="shared" si="0"/>
        <v>362835.35050000006</v>
      </c>
      <c r="D11" s="46">
        <f t="shared" si="1"/>
        <v>-673837.07950000011</v>
      </c>
      <c r="E11" s="47">
        <f>+'Conv F and COC UE-180282'!$E$39</f>
        <v>6.9699999999999998E-2</v>
      </c>
      <c r="F11">
        <v>0.79</v>
      </c>
      <c r="G11" s="68">
        <f t="shared" si="8"/>
        <v>-4627.1018490954648</v>
      </c>
      <c r="H11" s="69">
        <v>-5397.79</v>
      </c>
      <c r="I11" s="70">
        <f t="shared" si="2"/>
        <v>770.68815090453518</v>
      </c>
      <c r="J11" s="69"/>
      <c r="K11" s="67">
        <f t="shared" si="3"/>
        <v>43282</v>
      </c>
      <c r="L11" s="64">
        <f>+L10+42468.62</f>
        <v>-236929.26</v>
      </c>
      <c r="M11" s="65">
        <f t="shared" si="4"/>
        <v>82925.240999999995</v>
      </c>
      <c r="N11" s="46">
        <f t="shared" si="5"/>
        <v>-154004.01900000003</v>
      </c>
      <c r="O11" s="47">
        <v>6.9699999999999998E-2</v>
      </c>
      <c r="P11">
        <f t="shared" si="6"/>
        <v>0.79</v>
      </c>
      <c r="Q11" s="68">
        <f t="shared" si="9"/>
        <v>-1233.7658796255275</v>
      </c>
      <c r="R11" s="71">
        <v>-1151.21</v>
      </c>
      <c r="S11" s="70">
        <f t="shared" si="7"/>
        <v>-82.555879625527496</v>
      </c>
    </row>
    <row r="12" spans="1:19" x14ac:dyDescent="0.25">
      <c r="A12" s="67">
        <v>43313</v>
      </c>
      <c r="B12" s="64">
        <f>+B11+9841.09</f>
        <v>-1026831.3400000002</v>
      </c>
      <c r="C12" s="65">
        <f t="shared" si="0"/>
        <v>359390.96900000004</v>
      </c>
      <c r="D12" s="46">
        <f t="shared" si="1"/>
        <v>-667440.37100000016</v>
      </c>
      <c r="E12" s="47">
        <f>+'Conv F and COC UE-180282'!$E$39</f>
        <v>6.9699999999999998E-2</v>
      </c>
      <c r="F12">
        <v>0.79</v>
      </c>
      <c r="G12" s="68">
        <f t="shared" si="8"/>
        <v>-4930.7509651819628</v>
      </c>
      <c r="H12" s="69">
        <v>-5752.02</v>
      </c>
      <c r="I12" s="70">
        <f t="shared" si="2"/>
        <v>821.26903481803765</v>
      </c>
      <c r="J12" s="69"/>
      <c r="K12" s="67">
        <f t="shared" si="3"/>
        <v>43313</v>
      </c>
      <c r="L12" s="71">
        <f>+L11+40501.42</f>
        <v>-196427.84000000003</v>
      </c>
      <c r="M12" s="65">
        <f t="shared" si="4"/>
        <v>68749.744000000006</v>
      </c>
      <c r="N12" s="46">
        <f t="shared" si="5"/>
        <v>-127678.09600000002</v>
      </c>
      <c r="O12" s="47">
        <v>6.9699999999999998E-2</v>
      </c>
      <c r="P12">
        <f t="shared" si="6"/>
        <v>0.79</v>
      </c>
      <c r="Q12" s="68">
        <f t="shared" si="9"/>
        <v>-1035.5086189609706</v>
      </c>
      <c r="R12" s="71">
        <v>-919.93</v>
      </c>
      <c r="S12" s="70">
        <f t="shared" si="7"/>
        <v>-115.57861896097063</v>
      </c>
    </row>
    <row r="13" spans="1:19" x14ac:dyDescent="0.25">
      <c r="A13" s="67">
        <v>43344</v>
      </c>
      <c r="B13" s="64">
        <f>+B12+9294.19</f>
        <v>-1017537.1500000003</v>
      </c>
      <c r="C13" s="65">
        <f t="shared" si="0"/>
        <v>356138.00250000006</v>
      </c>
      <c r="D13" s="46">
        <f t="shared" si="1"/>
        <v>-661399.1475000002</v>
      </c>
      <c r="E13" s="47">
        <f>+'Conv F and COC UE-180282'!$E$39</f>
        <v>6.9699999999999998E-2</v>
      </c>
      <c r="F13">
        <v>0.79</v>
      </c>
      <c r="G13" s="68">
        <f t="shared" si="8"/>
        <v>-4885.0271328823846</v>
      </c>
      <c r="H13" s="69">
        <v>-5698.68</v>
      </c>
      <c r="I13" s="70">
        <f t="shared" si="2"/>
        <v>813.65286711761564</v>
      </c>
      <c r="J13" s="69"/>
      <c r="K13" s="67">
        <f t="shared" si="3"/>
        <v>43344</v>
      </c>
      <c r="L13" s="64">
        <f>+L12+37178.19</f>
        <v>-159249.65000000002</v>
      </c>
      <c r="M13" s="65">
        <f t="shared" si="4"/>
        <v>55737.377500000002</v>
      </c>
      <c r="N13" s="46">
        <f t="shared" si="5"/>
        <v>-103512.27250000002</v>
      </c>
      <c r="O13" s="47">
        <v>6.9699999999999998E-2</v>
      </c>
      <c r="P13">
        <f t="shared" si="6"/>
        <v>0.79</v>
      </c>
      <c r="Q13" s="68">
        <f t="shared" si="9"/>
        <v>-849.8928631039031</v>
      </c>
      <c r="R13" s="71">
        <v>-703.4</v>
      </c>
      <c r="S13" s="70">
        <f t="shared" si="7"/>
        <v>-146.49286310390312</v>
      </c>
    </row>
    <row r="14" spans="1:19" x14ac:dyDescent="0.25">
      <c r="A14" s="67">
        <v>43374</v>
      </c>
      <c r="B14" s="72">
        <f>+B13-144521.9</f>
        <v>-1162059.0500000003</v>
      </c>
      <c r="C14" s="65">
        <f t="shared" si="0"/>
        <v>406720.6675000001</v>
      </c>
      <c r="D14" s="46">
        <f t="shared" si="1"/>
        <v>-755338.38250000018</v>
      </c>
      <c r="E14" s="47">
        <f>+'Conv F and COC UE-180282'!$E$39</f>
        <v>6.9699999999999998E-2</v>
      </c>
      <c r="F14">
        <v>0.79</v>
      </c>
      <c r="G14" s="68">
        <f t="shared" si="8"/>
        <v>-5208.1543165084395</v>
      </c>
      <c r="H14" s="69">
        <v>-6075.62</v>
      </c>
      <c r="I14" s="70">
        <f t="shared" si="2"/>
        <v>867.46568349156041</v>
      </c>
      <c r="J14" s="69"/>
      <c r="K14" s="67">
        <f t="shared" si="3"/>
        <v>43374</v>
      </c>
      <c r="L14" s="72">
        <f>+L13+43372.48</f>
        <v>-115877.17000000001</v>
      </c>
      <c r="M14" s="65">
        <f t="shared" si="4"/>
        <v>40557.0095</v>
      </c>
      <c r="N14" s="46">
        <f t="shared" si="5"/>
        <v>-75320.160500000013</v>
      </c>
      <c r="O14" s="47">
        <v>6.9699999999999998E-2</v>
      </c>
      <c r="P14">
        <f t="shared" si="6"/>
        <v>0.79</v>
      </c>
      <c r="Q14" s="68">
        <f t="shared" si="9"/>
        <v>-657.4166972626582</v>
      </c>
      <c r="R14" s="71">
        <v>-478.87</v>
      </c>
      <c r="S14" s="70">
        <f t="shared" si="7"/>
        <v>-178.5466972626582</v>
      </c>
    </row>
    <row r="15" spans="1:19" x14ac:dyDescent="0.25">
      <c r="A15" s="67">
        <v>43405</v>
      </c>
      <c r="B15" s="71"/>
      <c r="C15" s="65">
        <f t="shared" si="0"/>
        <v>0</v>
      </c>
      <c r="D15" s="46">
        <f t="shared" si="1"/>
        <v>0</v>
      </c>
      <c r="E15" s="47">
        <f>+'Conv F and COC UE-180282'!$E$39</f>
        <v>6.9699999999999998E-2</v>
      </c>
      <c r="F15">
        <v>0.79</v>
      </c>
      <c r="G15" s="68"/>
      <c r="H15" s="69"/>
      <c r="I15" s="70"/>
      <c r="J15" s="69"/>
      <c r="K15" s="67">
        <f t="shared" si="3"/>
        <v>43405</v>
      </c>
      <c r="L15" s="64"/>
      <c r="M15" s="65">
        <f t="shared" si="4"/>
        <v>0</v>
      </c>
      <c r="N15" s="46">
        <f t="shared" si="5"/>
        <v>0</v>
      </c>
      <c r="O15" s="47">
        <v>6.9699999999999998E-2</v>
      </c>
      <c r="P15">
        <f t="shared" si="6"/>
        <v>0.79</v>
      </c>
      <c r="Q15" s="68"/>
      <c r="R15" s="64"/>
      <c r="S15" s="70">
        <f t="shared" si="7"/>
        <v>0</v>
      </c>
    </row>
    <row r="16" spans="1:19" x14ac:dyDescent="0.25">
      <c r="A16" s="67">
        <v>43435</v>
      </c>
      <c r="B16" s="71"/>
      <c r="C16" s="65">
        <f t="shared" si="0"/>
        <v>0</v>
      </c>
      <c r="D16" s="46">
        <f t="shared" si="1"/>
        <v>0</v>
      </c>
      <c r="E16" s="47">
        <f>+'Conv F and COC UE-180282'!$E$39</f>
        <v>6.9699999999999998E-2</v>
      </c>
      <c r="F16">
        <v>0.79</v>
      </c>
      <c r="G16" s="68">
        <f t="shared" si="8"/>
        <v>0</v>
      </c>
      <c r="H16" s="69"/>
      <c r="I16" s="70">
        <f t="shared" si="2"/>
        <v>0</v>
      </c>
      <c r="J16" s="69"/>
      <c r="K16" s="67">
        <f t="shared" si="3"/>
        <v>43435</v>
      </c>
      <c r="L16" s="64"/>
      <c r="M16" s="65">
        <f t="shared" si="4"/>
        <v>0</v>
      </c>
      <c r="N16" s="46">
        <f t="shared" si="5"/>
        <v>0</v>
      </c>
      <c r="O16" s="47">
        <v>6.9699999999999998E-2</v>
      </c>
      <c r="P16">
        <f t="shared" si="6"/>
        <v>0.79</v>
      </c>
      <c r="Q16" s="68">
        <f t="shared" si="9"/>
        <v>0</v>
      </c>
      <c r="R16" s="64"/>
      <c r="S16" s="70">
        <f t="shared" si="7"/>
        <v>0</v>
      </c>
    </row>
    <row r="17" spans="1:19" ht="15.75" thickBot="1" x14ac:dyDescent="0.3">
      <c r="A17" s="67"/>
      <c r="F17" s="73"/>
      <c r="G17" s="46">
        <f>SUM(G5:G16)</f>
        <v>-43925.128076039036</v>
      </c>
      <c r="H17" s="46">
        <f>SUM(H5:H16)</f>
        <v>-51281.527930250013</v>
      </c>
      <c r="I17" s="74">
        <f>SUM(I5:I16)</f>
        <v>7356.3998542109712</v>
      </c>
      <c r="Q17" s="46">
        <f>SUM(Q5:Q16)</f>
        <v>-14082.064738343883</v>
      </c>
      <c r="R17" s="46">
        <f>SUM(R5:R16)</f>
        <v>-13762.259999999998</v>
      </c>
      <c r="S17" s="74">
        <f>SUM(S5:S16)</f>
        <v>-319.80473834388147</v>
      </c>
    </row>
    <row r="18" spans="1:19" ht="15.75" thickTop="1" x14ac:dyDescent="0.25">
      <c r="A18" s="67">
        <v>43040</v>
      </c>
      <c r="D18" s="46">
        <v>-696154.94000000006</v>
      </c>
      <c r="H18" s="75"/>
      <c r="I18" s="46"/>
      <c r="K18" s="67">
        <v>43040</v>
      </c>
      <c r="N18" s="46">
        <v>-9768.9085000000014</v>
      </c>
      <c r="R18" s="75"/>
      <c r="S18" s="76"/>
    </row>
    <row r="19" spans="1:19" x14ac:dyDescent="0.25">
      <c r="A19" s="67">
        <v>43070</v>
      </c>
      <c r="B19" s="64">
        <v>-1196228.01</v>
      </c>
      <c r="C19" s="65">
        <f t="shared" ref="C19" si="10">-B19*0.35</f>
        <v>418679.80349999998</v>
      </c>
      <c r="D19" s="46">
        <f t="shared" ref="D19" si="11">+B19+C19</f>
        <v>-777548.20650000009</v>
      </c>
      <c r="E19" s="47">
        <f>+'Conv F and COC UE-180282'!$E$39</f>
        <v>6.9699999999999998E-2</v>
      </c>
      <c r="F19">
        <v>0.65</v>
      </c>
      <c r="G19" s="68">
        <f t="shared" ref="G19" si="12">(D19+D18)/2*E19/12/F19</f>
        <v>-6584.4300840416672</v>
      </c>
      <c r="H19" s="68">
        <v>-6319.92</v>
      </c>
      <c r="I19" s="70">
        <f t="shared" ref="I19" si="13">+G19-H19</f>
        <v>-264.51008404166714</v>
      </c>
      <c r="K19" s="67">
        <v>43070</v>
      </c>
      <c r="L19" s="64">
        <v>-15030.31</v>
      </c>
      <c r="M19" s="65">
        <f t="shared" ref="M19" si="14">-L19*0.35</f>
        <v>5260.6084999999994</v>
      </c>
      <c r="N19" s="46">
        <f t="shared" ref="N19" si="15">+L19+M19</f>
        <v>-9769.7014999999992</v>
      </c>
      <c r="O19" s="47">
        <v>6.9699999999999998E-2</v>
      </c>
      <c r="P19">
        <v>0.65</v>
      </c>
      <c r="Q19" s="68">
        <f t="shared" ref="Q19" si="16">(N19+N18)/2*O19/12/P19</f>
        <v>-87.297507499999995</v>
      </c>
      <c r="R19" s="68">
        <v>-83.79</v>
      </c>
      <c r="S19" s="70">
        <f t="shared" ref="S19" si="17">+Q19-R19</f>
        <v>-3.5075074999999885</v>
      </c>
    </row>
    <row r="20" spans="1:19" x14ac:dyDescent="0.25">
      <c r="H20" s="79" t="s">
        <v>68</v>
      </c>
      <c r="I20" s="78">
        <f>+I17+I19</f>
        <v>7091.889770169304</v>
      </c>
      <c r="R20" s="79" t="s">
        <v>68</v>
      </c>
      <c r="S20" s="78">
        <f>+S17+S19</f>
        <v>-323.31224584388144</v>
      </c>
    </row>
    <row r="22" spans="1:19" x14ac:dyDescent="0.25">
      <c r="A22" s="79" t="s">
        <v>68</v>
      </c>
      <c r="B22" t="s">
        <v>82</v>
      </c>
    </row>
    <row r="24" spans="1:19" x14ac:dyDescent="0.25">
      <c r="A24" s="67"/>
    </row>
    <row r="25" spans="1:19" x14ac:dyDescent="0.25">
      <c r="A25" s="67"/>
    </row>
    <row r="26" spans="1:19" x14ac:dyDescent="0.25">
      <c r="A26" s="67"/>
    </row>
    <row r="27" spans="1:19" x14ac:dyDescent="0.25">
      <c r="A27" s="67"/>
    </row>
    <row r="28" spans="1:19" x14ac:dyDescent="0.25">
      <c r="A28" s="67"/>
      <c r="B28" s="77"/>
      <c r="F28" s="73"/>
    </row>
    <row r="29" spans="1:19" x14ac:dyDescent="0.25">
      <c r="A29" s="67"/>
      <c r="B29" t="s">
        <v>66</v>
      </c>
      <c r="L29" t="s">
        <v>67</v>
      </c>
    </row>
    <row r="30" spans="1:19" x14ac:dyDescent="0.25">
      <c r="A30" s="67"/>
      <c r="R30" s="64"/>
    </row>
    <row r="31" spans="1:19" x14ac:dyDescent="0.25">
      <c r="A31" s="67"/>
      <c r="R31" s="64"/>
    </row>
    <row r="32" spans="1:19" x14ac:dyDescent="0.25">
      <c r="R32" s="64"/>
    </row>
    <row r="33" spans="9:19" x14ac:dyDescent="0.25">
      <c r="R33" s="64"/>
    </row>
    <row r="48" spans="9:19" x14ac:dyDescent="0.25">
      <c r="I48" s="68">
        <f>+B14</f>
        <v>-1162059.0500000003</v>
      </c>
      <c r="S48" s="46">
        <f>+L14</f>
        <v>-115877.17000000001</v>
      </c>
    </row>
  </sheetData>
  <pageMargins left="0.7" right="0.7" top="0.75" bottom="0.75" header="0.3" footer="0.3"/>
  <pageSetup scale="57" fitToHeight="2" orientation="landscape" r:id="rId1"/>
  <rowBreaks count="1" manualBreakCount="1">
    <brk id="4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G41" sqref="G41"/>
    </sheetView>
  </sheetViews>
  <sheetFormatPr defaultRowHeight="15" x14ac:dyDescent="0.25"/>
  <cols>
    <col min="1" max="1" width="5" bestFit="1" customWidth="1"/>
    <col min="2" max="2" width="61.7109375" bestFit="1" customWidth="1"/>
    <col min="3" max="3" width="11.85546875" bestFit="1" customWidth="1"/>
    <col min="4" max="4" width="7.28515625" bestFit="1" customWidth="1"/>
    <col min="5" max="5" width="27" bestFit="1" customWidth="1"/>
  </cols>
  <sheetData>
    <row r="1" spans="1:5" x14ac:dyDescent="0.25">
      <c r="A1" s="27"/>
      <c r="B1" s="27"/>
      <c r="C1" s="27"/>
      <c r="D1" s="27"/>
      <c r="E1" s="27"/>
    </row>
    <row r="2" spans="1:5" x14ac:dyDescent="0.25">
      <c r="A2" s="27"/>
      <c r="B2" s="27"/>
      <c r="C2" s="27"/>
      <c r="D2" s="27"/>
      <c r="E2" s="27"/>
    </row>
    <row r="3" spans="1:5" x14ac:dyDescent="0.25">
      <c r="A3" s="27"/>
      <c r="B3" s="27"/>
      <c r="C3" s="27"/>
      <c r="D3" s="27"/>
      <c r="E3" s="27"/>
    </row>
    <row r="4" spans="1:5" x14ac:dyDescent="0.25">
      <c r="A4" s="28"/>
      <c r="B4" s="28"/>
      <c r="C4" s="28"/>
      <c r="D4" s="28"/>
      <c r="E4" s="29" t="s">
        <v>52</v>
      </c>
    </row>
    <row r="5" spans="1:5" x14ac:dyDescent="0.25">
      <c r="A5" s="30" t="s">
        <v>30</v>
      </c>
      <c r="B5" s="31"/>
      <c r="C5" s="31"/>
      <c r="D5" s="31"/>
      <c r="E5" s="32"/>
    </row>
    <row r="6" spans="1:5" x14ac:dyDescent="0.25">
      <c r="A6" s="31" t="s">
        <v>31</v>
      </c>
      <c r="B6" s="31"/>
      <c r="C6" s="31"/>
      <c r="D6" s="31"/>
      <c r="E6" s="31"/>
    </row>
    <row r="7" spans="1:5" x14ac:dyDescent="0.25">
      <c r="A7" s="31" t="s">
        <v>51</v>
      </c>
      <c r="B7" s="31"/>
      <c r="C7" s="31"/>
      <c r="D7" s="31"/>
      <c r="E7" s="31"/>
    </row>
    <row r="8" spans="1:5" x14ac:dyDescent="0.25">
      <c r="A8" s="30" t="s">
        <v>32</v>
      </c>
      <c r="B8" s="31"/>
      <c r="C8" s="31"/>
      <c r="D8" s="31"/>
      <c r="E8" s="31"/>
    </row>
    <row r="9" spans="1:5" x14ac:dyDescent="0.25">
      <c r="A9" s="28"/>
      <c r="B9" s="28"/>
      <c r="C9" s="28"/>
      <c r="D9" s="28"/>
      <c r="E9" s="28"/>
    </row>
    <row r="10" spans="1:5" x14ac:dyDescent="0.25">
      <c r="A10" s="33" t="s">
        <v>33</v>
      </c>
      <c r="B10" s="28"/>
      <c r="C10" s="28"/>
      <c r="D10" s="28"/>
      <c r="E10" s="28"/>
    </row>
    <row r="11" spans="1:5" x14ac:dyDescent="0.25">
      <c r="A11" s="34" t="s">
        <v>34</v>
      </c>
      <c r="B11" s="35" t="s">
        <v>35</v>
      </c>
      <c r="C11" s="36"/>
      <c r="D11" s="36"/>
      <c r="E11" s="37" t="s">
        <v>36</v>
      </c>
    </row>
    <row r="12" spans="1:5" x14ac:dyDescent="0.25">
      <c r="A12" s="38"/>
      <c r="B12" s="38"/>
      <c r="C12" s="38"/>
      <c r="D12" s="38"/>
      <c r="E12" s="39"/>
    </row>
    <row r="13" spans="1:5" x14ac:dyDescent="0.25">
      <c r="A13" s="39">
        <v>1</v>
      </c>
      <c r="B13" s="40" t="s">
        <v>37</v>
      </c>
      <c r="C13" s="38"/>
      <c r="D13" s="38"/>
      <c r="E13" s="41">
        <v>7.1570000000000002E-3</v>
      </c>
    </row>
    <row r="14" spans="1:5" x14ac:dyDescent="0.25">
      <c r="A14" s="39">
        <v>2</v>
      </c>
      <c r="B14" s="40" t="s">
        <v>38</v>
      </c>
      <c r="C14" s="38"/>
      <c r="D14" s="38"/>
      <c r="E14" s="41">
        <v>2E-3</v>
      </c>
    </row>
    <row r="15" spans="1:5" x14ac:dyDescent="0.25">
      <c r="A15" s="39">
        <v>3</v>
      </c>
      <c r="B15" s="40" t="str">
        <f>"STATE UTILITY TAX ( "&amp;D15*100&amp;"% - ( LINE 1 * "&amp;D15*100&amp;"% )  )"</f>
        <v>STATE UTILITY TAX ( 3.8734% - ( LINE 1 * 3.8734% )  )</v>
      </c>
      <c r="C15" s="51"/>
      <c r="D15" s="42">
        <v>3.8733999999999998E-2</v>
      </c>
      <c r="E15" s="43">
        <f>ROUND(D15-(D15*E13),6)</f>
        <v>3.8456999999999998E-2</v>
      </c>
    </row>
    <row r="16" spans="1:5" x14ac:dyDescent="0.25">
      <c r="A16" s="39">
        <v>4</v>
      </c>
      <c r="B16" s="40"/>
      <c r="C16" s="38"/>
      <c r="D16" s="38"/>
      <c r="E16" s="44"/>
    </row>
    <row r="17" spans="1:5" x14ac:dyDescent="0.25">
      <c r="A17" s="39">
        <v>5</v>
      </c>
      <c r="B17" s="40" t="s">
        <v>39</v>
      </c>
      <c r="C17" s="38"/>
      <c r="D17" s="38"/>
      <c r="E17" s="41">
        <f>ROUND(SUM(E13:E15),6)</f>
        <v>4.7613999999999997E-2</v>
      </c>
    </row>
    <row r="18" spans="1:5" x14ac:dyDescent="0.25">
      <c r="A18" s="39">
        <v>6</v>
      </c>
      <c r="B18" s="38"/>
      <c r="C18" s="38"/>
      <c r="D18" s="38"/>
      <c r="E18" s="41"/>
    </row>
    <row r="19" spans="1:5" x14ac:dyDescent="0.25">
      <c r="A19" s="39">
        <v>7</v>
      </c>
      <c r="B19" s="38" t="str">
        <f>"CONVERSION FACTOR EXCLUDING FEDERAL INCOME TAX ( 1 - LINE "&amp;$I$17&amp;" )"</f>
        <v>CONVERSION FACTOR EXCLUDING FEDERAL INCOME TAX ( 1 - LINE  )</v>
      </c>
      <c r="C19" s="38"/>
      <c r="D19" s="38"/>
      <c r="E19" s="41">
        <f>ROUND(1-E17,6)</f>
        <v>0.95238599999999995</v>
      </c>
    </row>
    <row r="20" spans="1:5" ht="15.75" thickBot="1" x14ac:dyDescent="0.3">
      <c r="A20" s="39">
        <v>8</v>
      </c>
      <c r="B20" s="40" t="str">
        <f>"FEDERAL INCOME TAX ( LINE "&amp;A19&amp;"  * "&amp;k_FITrate*100&amp;"% )"</f>
        <v>FEDERAL INCOME TAX ( LINE 7  * 0% )</v>
      </c>
      <c r="C20" s="38"/>
      <c r="D20" s="52">
        <v>0.21</v>
      </c>
      <c r="E20" s="53">
        <f>ROUND((E19)*D20,6)</f>
        <v>0.20000100000000001</v>
      </c>
    </row>
    <row r="21" spans="1:5" ht="16.5" thickTop="1" thickBot="1" x14ac:dyDescent="0.3">
      <c r="A21" s="39">
        <v>9</v>
      </c>
      <c r="B21" s="40" t="str">
        <f>"CONVERSION FACTOR INCL FEDERAL INCOME TAX ( LINE "&amp;A19&amp;" - LINE "&amp;A20&amp;" ) "</f>
        <v xml:space="preserve">CONVERSION FACTOR INCL FEDERAL INCOME TAX ( LINE 7 - LINE 8 ) </v>
      </c>
      <c r="C21" s="38"/>
      <c r="D21" s="38"/>
      <c r="E21" s="53">
        <f>E19-E20</f>
        <v>0.75238499999999997</v>
      </c>
    </row>
    <row r="22" spans="1:5" ht="15.75" thickTop="1" x14ac:dyDescent="0.25"/>
    <row r="25" spans="1:5" x14ac:dyDescent="0.25">
      <c r="A25" s="30" t="s">
        <v>30</v>
      </c>
      <c r="B25" s="80"/>
      <c r="C25" s="31"/>
      <c r="D25" s="31"/>
      <c r="E25" s="31"/>
    </row>
    <row r="26" spans="1:5" x14ac:dyDescent="0.25">
      <c r="A26" s="81" t="s">
        <v>69</v>
      </c>
      <c r="B26" s="80"/>
      <c r="C26" s="31"/>
      <c r="D26" s="31"/>
      <c r="E26" s="31"/>
    </row>
    <row r="27" spans="1:5" x14ac:dyDescent="0.25">
      <c r="A27" s="31" t="s">
        <v>51</v>
      </c>
      <c r="B27" s="80"/>
      <c r="C27" s="31"/>
      <c r="D27" s="31"/>
      <c r="E27" s="31"/>
    </row>
    <row r="28" spans="1:5" x14ac:dyDescent="0.25">
      <c r="A28" s="30" t="s">
        <v>70</v>
      </c>
      <c r="B28" s="80"/>
      <c r="C28" s="31"/>
      <c r="D28" s="31"/>
      <c r="E28" s="31"/>
    </row>
    <row r="29" spans="1:5" x14ac:dyDescent="0.25">
      <c r="A29" s="82"/>
      <c r="B29" s="38"/>
      <c r="C29" s="38"/>
      <c r="D29" s="33"/>
      <c r="E29" s="33"/>
    </row>
    <row r="30" spans="1:5" x14ac:dyDescent="0.25">
      <c r="A30" s="33" t="s">
        <v>33</v>
      </c>
      <c r="B30" s="38"/>
      <c r="C30" s="33" t="s">
        <v>71</v>
      </c>
      <c r="D30" s="33" t="s">
        <v>72</v>
      </c>
      <c r="E30" s="33" t="s">
        <v>73</v>
      </c>
    </row>
    <row r="31" spans="1:5" x14ac:dyDescent="0.25">
      <c r="A31" s="34" t="s">
        <v>34</v>
      </c>
      <c r="B31" s="83" t="s">
        <v>35</v>
      </c>
      <c r="C31" s="34" t="s">
        <v>74</v>
      </c>
      <c r="D31" s="34" t="s">
        <v>75</v>
      </c>
      <c r="E31" s="34" t="s">
        <v>76</v>
      </c>
    </row>
    <row r="32" spans="1:5" x14ac:dyDescent="0.25">
      <c r="A32" s="84"/>
      <c r="B32" s="84"/>
      <c r="C32" s="84"/>
      <c r="D32" s="84"/>
      <c r="E32" s="84"/>
    </row>
    <row r="33" spans="1:5" x14ac:dyDescent="0.25">
      <c r="A33" s="39">
        <v>1</v>
      </c>
      <c r="B33" s="38" t="s">
        <v>77</v>
      </c>
      <c r="C33" s="85">
        <v>0.51500000000000001</v>
      </c>
      <c r="D33" s="85">
        <v>5.8058252427184473E-2</v>
      </c>
      <c r="E33" s="85">
        <f>ROUND(+C33*D33,4)</f>
        <v>2.9899999999999999E-2</v>
      </c>
    </row>
    <row r="34" spans="1:5" x14ac:dyDescent="0.25">
      <c r="A34" s="39">
        <v>2</v>
      </c>
      <c r="B34" s="38" t="s">
        <v>78</v>
      </c>
      <c r="C34" s="85">
        <v>0.48499999999999999</v>
      </c>
      <c r="D34" s="85">
        <v>9.5000000000000001E-2</v>
      </c>
      <c r="E34" s="85">
        <f>ROUND(+C34*D34,4)</f>
        <v>4.6100000000000002E-2</v>
      </c>
    </row>
    <row r="35" spans="1:5" x14ac:dyDescent="0.25">
      <c r="A35" s="39">
        <v>3</v>
      </c>
      <c r="B35" s="38" t="s">
        <v>79</v>
      </c>
      <c r="C35" s="86">
        <f>SUM(C33:C34)</f>
        <v>1</v>
      </c>
      <c r="D35" s="87"/>
      <c r="E35" s="86">
        <f>SUM(E33:E34)</f>
        <v>7.5999999999999998E-2</v>
      </c>
    </row>
    <row r="36" spans="1:5" x14ac:dyDescent="0.25">
      <c r="A36" s="39">
        <v>4</v>
      </c>
      <c r="B36" s="51"/>
      <c r="C36" s="38"/>
      <c r="D36" s="38"/>
      <c r="E36" s="88"/>
    </row>
    <row r="37" spans="1:5" x14ac:dyDescent="0.25">
      <c r="A37" s="39">
        <v>5</v>
      </c>
      <c r="B37" s="38" t="s">
        <v>80</v>
      </c>
      <c r="C37" s="89">
        <f>+C33</f>
        <v>0.51500000000000001</v>
      </c>
      <c r="D37" s="89">
        <f>+D33</f>
        <v>5.8058252427184473E-2</v>
      </c>
      <c r="E37" s="90">
        <f>ROUND(E33*0.79,4)</f>
        <v>2.3599999999999999E-2</v>
      </c>
    </row>
    <row r="38" spans="1:5" x14ac:dyDescent="0.25">
      <c r="A38" s="39">
        <v>6</v>
      </c>
      <c r="B38" s="38" t="s">
        <v>78</v>
      </c>
      <c r="C38" s="89">
        <f>+C34</f>
        <v>0.48499999999999999</v>
      </c>
      <c r="D38" s="89">
        <f>+D34</f>
        <v>9.5000000000000001E-2</v>
      </c>
      <c r="E38" s="85">
        <f>ROUND(C38*D38,4)</f>
        <v>4.6100000000000002E-2</v>
      </c>
    </row>
    <row r="39" spans="1:5" x14ac:dyDescent="0.25">
      <c r="A39" s="39">
        <v>7</v>
      </c>
      <c r="B39" s="38" t="s">
        <v>81</v>
      </c>
      <c r="C39" s="86">
        <f>SUM(C37:C38)</f>
        <v>1</v>
      </c>
      <c r="D39" s="87"/>
      <c r="E39" s="91">
        <f>SUM(E37:E38)</f>
        <v>6.9699999999999998E-2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G22" sqref="G22"/>
    </sheetView>
  </sheetViews>
  <sheetFormatPr defaultRowHeight="15" x14ac:dyDescent="0.25"/>
  <cols>
    <col min="1" max="1" width="21.5703125" customWidth="1"/>
    <col min="2" max="2" width="12.5703125" bestFit="1" customWidth="1"/>
    <col min="3" max="3" width="12.28515625" bestFit="1" customWidth="1"/>
    <col min="4" max="4" width="10.7109375" customWidth="1"/>
    <col min="5" max="5" width="9.7109375" bestFit="1" customWidth="1"/>
    <col min="7" max="7" width="12.5703125" bestFit="1" customWidth="1"/>
    <col min="9" max="9" width="10.85546875" bestFit="1" customWidth="1"/>
    <col min="10" max="10" width="8" bestFit="1" customWidth="1"/>
  </cols>
  <sheetData>
    <row r="1" spans="1:5" x14ac:dyDescent="0.25">
      <c r="A1" t="s">
        <v>83</v>
      </c>
      <c r="B1" s="93">
        <f>+'Conv F and COC UE-180282'!E39</f>
        <v>6.9699999999999998E-2</v>
      </c>
      <c r="C1" t="s">
        <v>97</v>
      </c>
    </row>
    <row r="2" spans="1:5" x14ac:dyDescent="0.25">
      <c r="A2" t="s">
        <v>84</v>
      </c>
      <c r="B2" s="93">
        <f>ROUND(B1/B3,4)</f>
        <v>8.8200000000000001E-2</v>
      </c>
    </row>
    <row r="3" spans="1:5" x14ac:dyDescent="0.25">
      <c r="A3" t="s">
        <v>98</v>
      </c>
      <c r="B3" s="93">
        <v>0.79</v>
      </c>
    </row>
    <row r="4" spans="1:5" x14ac:dyDescent="0.25">
      <c r="B4" s="94" t="s">
        <v>85</v>
      </c>
      <c r="C4" s="95"/>
      <c r="D4" s="95"/>
      <c r="E4" s="95"/>
    </row>
    <row r="5" spans="1:5" x14ac:dyDescent="0.25">
      <c r="D5" s="1" t="s">
        <v>9</v>
      </c>
    </row>
    <row r="6" spans="1:5" x14ac:dyDescent="0.25">
      <c r="A6" s="2" t="s">
        <v>86</v>
      </c>
      <c r="B6" s="2" t="s">
        <v>87</v>
      </c>
      <c r="C6" s="2" t="s">
        <v>88</v>
      </c>
      <c r="D6" s="2" t="s">
        <v>89</v>
      </c>
      <c r="E6" s="2" t="s">
        <v>90</v>
      </c>
    </row>
    <row r="8" spans="1:5" x14ac:dyDescent="0.25">
      <c r="A8" s="96">
        <v>43404</v>
      </c>
      <c r="C8" s="5">
        <f>+'Tracking Accounts'!G18+'Tracking Accounts'!O18</f>
        <v>-1277936.2200000002</v>
      </c>
      <c r="D8" s="5">
        <f t="shared" ref="D8:D22" si="0">C8*0.65</f>
        <v>-830658.54300000018</v>
      </c>
      <c r="E8" s="5"/>
    </row>
    <row r="9" spans="1:5" x14ac:dyDescent="0.25">
      <c r="A9" s="96">
        <v>43434</v>
      </c>
      <c r="B9" s="121">
        <f>+'Interest 2018 Rate'!B21</f>
        <v>52775.254781643365</v>
      </c>
      <c r="C9" s="4">
        <f t="shared" ref="C9:C22" si="1">C8+B9</f>
        <v>-1225160.9652183568</v>
      </c>
      <c r="D9" s="4">
        <f t="shared" si="0"/>
        <v>-796354.62739193195</v>
      </c>
      <c r="E9" s="106">
        <f t="shared" ref="E9:E22" si="2">+(D8+D9)/2*$B$2/12</f>
        <v>-5979.2734011903513</v>
      </c>
    </row>
    <row r="10" spans="1:5" x14ac:dyDescent="0.25">
      <c r="A10" s="96">
        <v>43465</v>
      </c>
      <c r="B10" s="121">
        <f>+'Interest 2018 Rate'!B22</f>
        <v>61982.913068908056</v>
      </c>
      <c r="C10" s="4">
        <f t="shared" si="1"/>
        <v>-1163178.0521494488</v>
      </c>
      <c r="D10" s="4">
        <f t="shared" si="0"/>
        <v>-756065.73389714176</v>
      </c>
      <c r="E10" s="107">
        <f t="shared" si="2"/>
        <v>-5705.1448277373456</v>
      </c>
    </row>
    <row r="11" spans="1:5" x14ac:dyDescent="0.25">
      <c r="A11" s="96">
        <v>43496</v>
      </c>
      <c r="B11" s="97">
        <f>-$C$10*C29</f>
        <v>120028.8204412341</v>
      </c>
      <c r="C11" s="4">
        <f t="shared" si="1"/>
        <v>-1043149.2317082146</v>
      </c>
      <c r="D11" s="4">
        <f t="shared" si="0"/>
        <v>-678047.00061033957</v>
      </c>
      <c r="E11" s="105">
        <f t="shared" si="2"/>
        <v>-5270.3642993149942</v>
      </c>
    </row>
    <row r="12" spans="1:5" x14ac:dyDescent="0.25">
      <c r="A12" s="96">
        <v>43524</v>
      </c>
      <c r="B12" s="97">
        <f t="shared" ref="B12:B22" si="3">-$C$10*C30</f>
        <v>103278.45264532878</v>
      </c>
      <c r="C12" s="4">
        <f t="shared" si="1"/>
        <v>-939870.77906288579</v>
      </c>
      <c r="D12" s="4">
        <f t="shared" si="0"/>
        <v>-610916.00639087579</v>
      </c>
      <c r="E12" s="105">
        <f t="shared" si="2"/>
        <v>-4736.9390507294665</v>
      </c>
    </row>
    <row r="13" spans="1:5" x14ac:dyDescent="0.25">
      <c r="A13" s="96">
        <v>43555</v>
      </c>
      <c r="B13" s="97">
        <f t="shared" si="3"/>
        <v>106253.5534377616</v>
      </c>
      <c r="C13" s="4">
        <f t="shared" si="1"/>
        <v>-833617.22562512418</v>
      </c>
      <c r="D13" s="4">
        <f t="shared" si="0"/>
        <v>-541851.19665633072</v>
      </c>
      <c r="E13" s="105">
        <f t="shared" si="2"/>
        <v>-4236.4194711984846</v>
      </c>
    </row>
    <row r="14" spans="1:5" x14ac:dyDescent="0.25">
      <c r="A14" s="96">
        <v>43585</v>
      </c>
      <c r="B14" s="97">
        <f t="shared" si="3"/>
        <v>92536.992382359851</v>
      </c>
      <c r="C14" s="4">
        <f t="shared" si="1"/>
        <v>-741080.23324276437</v>
      </c>
      <c r="D14" s="4">
        <f t="shared" si="0"/>
        <v>-481702.15160779684</v>
      </c>
      <c r="E14" s="105">
        <f t="shared" si="2"/>
        <v>-3761.558554870669</v>
      </c>
    </row>
    <row r="15" spans="1:5" x14ac:dyDescent="0.25">
      <c r="A15" s="96">
        <v>43616</v>
      </c>
      <c r="B15" s="97">
        <f t="shared" si="3"/>
        <v>85830.52640850161</v>
      </c>
      <c r="C15" s="4">
        <f t="shared" si="1"/>
        <v>-655249.7068342627</v>
      </c>
      <c r="D15" s="4">
        <f t="shared" si="0"/>
        <v>-425912.30944227078</v>
      </c>
      <c r="E15" s="105">
        <f t="shared" si="2"/>
        <v>-3335.4831443589987</v>
      </c>
    </row>
    <row r="16" spans="1:5" x14ac:dyDescent="0.25">
      <c r="A16" s="96">
        <v>43646</v>
      </c>
      <c r="B16" s="97">
        <f t="shared" si="3"/>
        <v>82378.811088263334</v>
      </c>
      <c r="C16" s="4">
        <f t="shared" si="1"/>
        <v>-572870.89574599941</v>
      </c>
      <c r="D16" s="4">
        <f t="shared" si="0"/>
        <v>-372366.08223489963</v>
      </c>
      <c r="E16" s="105">
        <f t="shared" si="2"/>
        <v>-2933.6730894136012</v>
      </c>
    </row>
    <row r="17" spans="1:5" x14ac:dyDescent="0.25">
      <c r="A17" s="96">
        <v>43677</v>
      </c>
      <c r="B17" s="97">
        <f t="shared" si="3"/>
        <v>84823.074011710327</v>
      </c>
      <c r="C17" s="4">
        <f t="shared" si="1"/>
        <v>-488047.82173428906</v>
      </c>
      <c r="D17" s="4">
        <f t="shared" si="0"/>
        <v>-317231.0841272879</v>
      </c>
      <c r="E17" s="105">
        <f t="shared" si="2"/>
        <v>-2534.2695863810395</v>
      </c>
    </row>
    <row r="18" spans="1:5" x14ac:dyDescent="0.25">
      <c r="A18" s="96">
        <v>43708</v>
      </c>
      <c r="B18" s="97">
        <f t="shared" si="3"/>
        <v>85176.335839061649</v>
      </c>
      <c r="C18" s="4">
        <f t="shared" si="1"/>
        <v>-402871.48589522741</v>
      </c>
      <c r="D18" s="4">
        <f t="shared" si="0"/>
        <v>-261866.46583189783</v>
      </c>
      <c r="E18" s="105">
        <f t="shared" si="2"/>
        <v>-2128.1834961000077</v>
      </c>
    </row>
    <row r="19" spans="1:5" x14ac:dyDescent="0.25">
      <c r="A19" s="96">
        <v>43738</v>
      </c>
      <c r="B19" s="97">
        <f t="shared" si="3"/>
        <v>82415.752089625254</v>
      </c>
      <c r="C19" s="4">
        <f t="shared" si="1"/>
        <v>-320455.73380560218</v>
      </c>
      <c r="D19" s="4">
        <f t="shared" si="0"/>
        <v>-208296.22697364143</v>
      </c>
      <c r="E19" s="105">
        <f t="shared" si="2"/>
        <v>-1727.8478960603568</v>
      </c>
    </row>
    <row r="20" spans="1:5" x14ac:dyDescent="0.25">
      <c r="A20" s="96">
        <v>43769</v>
      </c>
      <c r="B20" s="97">
        <f t="shared" si="3"/>
        <v>92709.00567086527</v>
      </c>
      <c r="C20" s="4">
        <f t="shared" si="1"/>
        <v>-227746.72813473691</v>
      </c>
      <c r="D20" s="4">
        <f t="shared" si="0"/>
        <v>-148035.37328757899</v>
      </c>
      <c r="E20" s="105">
        <f t="shared" si="2"/>
        <v>-1309.5186309599851</v>
      </c>
    </row>
    <row r="21" spans="1:5" x14ac:dyDescent="0.25">
      <c r="A21" s="96">
        <v>43799</v>
      </c>
      <c r="B21" s="97">
        <f t="shared" si="3"/>
        <v>104511.33156212687</v>
      </c>
      <c r="C21" s="4">
        <f t="shared" si="1"/>
        <v>-123235.39657261004</v>
      </c>
      <c r="D21" s="4">
        <f t="shared" si="0"/>
        <v>-80103.007772196535</v>
      </c>
      <c r="E21" s="105">
        <f t="shared" si="2"/>
        <v>-838.40855039467499</v>
      </c>
    </row>
    <row r="22" spans="1:5" x14ac:dyDescent="0.25">
      <c r="A22" s="96">
        <v>43830</v>
      </c>
      <c r="B22" s="97">
        <f t="shared" si="3"/>
        <v>123235.39657261016</v>
      </c>
      <c r="C22" s="4">
        <f t="shared" si="1"/>
        <v>1.1641532182693481E-10</v>
      </c>
      <c r="D22" s="4">
        <f t="shared" si="0"/>
        <v>7.5669959187507632E-11</v>
      </c>
      <c r="E22" s="105">
        <f t="shared" si="2"/>
        <v>-294.37855356282199</v>
      </c>
    </row>
    <row r="23" spans="1:5" x14ac:dyDescent="0.25">
      <c r="A23" s="96"/>
      <c r="B23" s="97"/>
      <c r="C23" s="4"/>
      <c r="D23" s="4"/>
      <c r="E23" s="4"/>
    </row>
    <row r="24" spans="1:5" x14ac:dyDescent="0.25">
      <c r="A24" s="96"/>
      <c r="D24">
        <v>2018</v>
      </c>
      <c r="E24" s="98">
        <f>SUM(E9:E10)</f>
        <v>-11684.418228927698</v>
      </c>
    </row>
    <row r="25" spans="1:5" x14ac:dyDescent="0.25">
      <c r="A25" s="96"/>
    </row>
    <row r="26" spans="1:5" x14ac:dyDescent="0.25">
      <c r="A26" s="96"/>
      <c r="D26">
        <v>2019</v>
      </c>
      <c r="E26" s="98">
        <f>SUM(E11:E22)</f>
        <v>-33107.044323345101</v>
      </c>
    </row>
    <row r="27" spans="1:5" x14ac:dyDescent="0.25">
      <c r="A27" s="96"/>
      <c r="B27" s="1" t="s">
        <v>93</v>
      </c>
    </row>
    <row r="28" spans="1:5" x14ac:dyDescent="0.25">
      <c r="A28" s="2" t="s">
        <v>86</v>
      </c>
      <c r="B28" s="2" t="s">
        <v>92</v>
      </c>
      <c r="C28" s="2" t="s">
        <v>91</v>
      </c>
      <c r="D28" s="99"/>
    </row>
    <row r="29" spans="1:5" x14ac:dyDescent="0.25">
      <c r="A29" s="96">
        <v>43466</v>
      </c>
      <c r="B29" s="100">
        <v>2222455</v>
      </c>
      <c r="C29" s="101">
        <f t="shared" ref="C29:C40" si="4">B29/$B$41</f>
        <v>0.10319041028966425</v>
      </c>
      <c r="D29" s="101"/>
    </row>
    <row r="30" spans="1:5" x14ac:dyDescent="0.25">
      <c r="A30" s="96">
        <v>43497</v>
      </c>
      <c r="B30" s="100">
        <v>1912305</v>
      </c>
      <c r="C30" s="101">
        <f t="shared" si="4"/>
        <v>8.8789891155940798E-2</v>
      </c>
      <c r="D30" s="101"/>
    </row>
    <row r="31" spans="1:5" x14ac:dyDescent="0.25">
      <c r="A31" s="96">
        <v>43525</v>
      </c>
      <c r="B31" s="100">
        <v>1967392</v>
      </c>
      <c r="C31" s="101">
        <f t="shared" si="4"/>
        <v>9.1347625792469647E-2</v>
      </c>
      <c r="D31" s="101"/>
    </row>
    <row r="32" spans="1:5" x14ac:dyDescent="0.25">
      <c r="A32" s="96">
        <v>43556</v>
      </c>
      <c r="B32" s="100">
        <v>1713416</v>
      </c>
      <c r="C32" s="101">
        <f t="shared" si="4"/>
        <v>7.9555311597704056E-2</v>
      </c>
      <c r="D32" s="101"/>
    </row>
    <row r="33" spans="1:4" x14ac:dyDescent="0.25">
      <c r="A33" s="96">
        <v>43586</v>
      </c>
      <c r="B33" s="100">
        <v>1589239</v>
      </c>
      <c r="C33" s="101">
        <f t="shared" si="4"/>
        <v>7.378967153815745E-2</v>
      </c>
      <c r="D33" s="101"/>
    </row>
    <row r="34" spans="1:4" x14ac:dyDescent="0.25">
      <c r="A34" s="96">
        <v>43617</v>
      </c>
      <c r="B34" s="100">
        <v>1525327</v>
      </c>
      <c r="C34" s="101">
        <f t="shared" si="4"/>
        <v>7.0822184906287278E-2</v>
      </c>
      <c r="D34" s="101"/>
    </row>
    <row r="35" spans="1:4" x14ac:dyDescent="0.25">
      <c r="A35" s="96">
        <v>43647</v>
      </c>
      <c r="B35" s="100">
        <v>1570585</v>
      </c>
      <c r="C35" s="101">
        <f t="shared" si="4"/>
        <v>7.2923551003188966E-2</v>
      </c>
      <c r="D35" s="101"/>
    </row>
    <row r="36" spans="1:4" x14ac:dyDescent="0.25">
      <c r="A36" s="96">
        <v>43678</v>
      </c>
      <c r="B36" s="100">
        <v>1577126</v>
      </c>
      <c r="C36" s="101">
        <f t="shared" si="4"/>
        <v>7.3227255003362052E-2</v>
      </c>
      <c r="D36" s="101"/>
    </row>
    <row r="37" spans="1:4" x14ac:dyDescent="0.25">
      <c r="A37" s="96">
        <v>43709</v>
      </c>
      <c r="B37" s="100">
        <v>1526011</v>
      </c>
      <c r="C37" s="101">
        <f t="shared" si="4"/>
        <v>7.0853943587852547E-2</v>
      </c>
      <c r="D37" s="101"/>
    </row>
    <row r="38" spans="1:4" x14ac:dyDescent="0.25">
      <c r="A38" s="96">
        <v>43739</v>
      </c>
      <c r="B38" s="100">
        <v>1716601</v>
      </c>
      <c r="C38" s="101">
        <f t="shared" si="4"/>
        <v>7.9703193762594937E-2</v>
      </c>
      <c r="D38" s="101"/>
    </row>
    <row r="39" spans="1:4" x14ac:dyDescent="0.25">
      <c r="A39" s="96">
        <v>43770</v>
      </c>
      <c r="B39" s="100">
        <v>1935133</v>
      </c>
      <c r="C39" s="101">
        <f t="shared" si="4"/>
        <v>8.9849813937771E-2</v>
      </c>
      <c r="D39" s="101"/>
    </row>
    <row r="40" spans="1:4" x14ac:dyDescent="0.25">
      <c r="A40" s="96">
        <v>43800</v>
      </c>
      <c r="B40" s="100">
        <v>2281828</v>
      </c>
      <c r="C40" s="101">
        <f t="shared" si="4"/>
        <v>0.10594714742500702</v>
      </c>
      <c r="D40" s="101"/>
    </row>
    <row r="41" spans="1:4" ht="15.75" thickBot="1" x14ac:dyDescent="0.3">
      <c r="B41" s="102">
        <f>SUM(B29:B40)</f>
        <v>21537418</v>
      </c>
      <c r="C41" s="103">
        <f>SUM(C29:C40)</f>
        <v>1</v>
      </c>
      <c r="D41" s="104"/>
    </row>
    <row r="42" spans="1:4" ht="15.75" thickTop="1" x14ac:dyDescent="0.25"/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E29" sqref="E29"/>
    </sheetView>
  </sheetViews>
  <sheetFormatPr defaultRowHeight="15" x14ac:dyDescent="0.25"/>
  <cols>
    <col min="1" max="1" width="21.5703125" customWidth="1"/>
    <col min="2" max="2" width="12.5703125" bestFit="1" customWidth="1"/>
    <col min="3" max="3" width="10.7109375" bestFit="1" customWidth="1"/>
    <col min="4" max="4" width="10.7109375" customWidth="1"/>
    <col min="5" max="5" width="9.7109375" bestFit="1" customWidth="1"/>
    <col min="7" max="7" width="12.5703125" bestFit="1" customWidth="1"/>
    <col min="9" max="9" width="10.85546875" bestFit="1" customWidth="1"/>
    <col min="10" max="10" width="8" bestFit="1" customWidth="1"/>
  </cols>
  <sheetData>
    <row r="1" spans="1:10" x14ac:dyDescent="0.25">
      <c r="A1" t="s">
        <v>83</v>
      </c>
      <c r="B1" s="93">
        <v>6.6900000000000001E-2</v>
      </c>
    </row>
    <row r="2" spans="1:10" x14ac:dyDescent="0.25">
      <c r="A2" t="s">
        <v>84</v>
      </c>
      <c r="B2" s="93">
        <f>B1/0.65</f>
        <v>0.10292307692307692</v>
      </c>
    </row>
    <row r="3" spans="1:10" x14ac:dyDescent="0.25">
      <c r="B3" s="93"/>
    </row>
    <row r="4" spans="1:10" x14ac:dyDescent="0.25">
      <c r="B4" s="94" t="s">
        <v>85</v>
      </c>
      <c r="C4" s="95"/>
      <c r="D4" s="95"/>
      <c r="E4" s="95"/>
      <c r="G4" s="94" t="s">
        <v>103</v>
      </c>
      <c r="H4" s="95"/>
      <c r="I4" s="95"/>
      <c r="J4" s="95"/>
    </row>
    <row r="5" spans="1:10" x14ac:dyDescent="0.25">
      <c r="D5" s="1" t="s">
        <v>9</v>
      </c>
      <c r="I5" s="1" t="s">
        <v>9</v>
      </c>
    </row>
    <row r="6" spans="1:10" x14ac:dyDescent="0.25">
      <c r="A6" s="2" t="s">
        <v>86</v>
      </c>
      <c r="B6" s="2" t="s">
        <v>87</v>
      </c>
      <c r="C6" s="2" t="s">
        <v>88</v>
      </c>
      <c r="D6" s="2" t="s">
        <v>89</v>
      </c>
      <c r="E6" s="2" t="s">
        <v>90</v>
      </c>
      <c r="G6" s="2" t="s">
        <v>87</v>
      </c>
      <c r="H6" s="2" t="s">
        <v>88</v>
      </c>
      <c r="I6" s="2" t="s">
        <v>89</v>
      </c>
      <c r="J6" s="2" t="s">
        <v>90</v>
      </c>
    </row>
    <row r="8" spans="1:10" x14ac:dyDescent="0.25">
      <c r="A8" s="96">
        <v>43039</v>
      </c>
      <c r="C8" s="5">
        <v>-586726</v>
      </c>
      <c r="D8" s="5">
        <f>C8*0.65</f>
        <v>-381371.9</v>
      </c>
      <c r="E8" s="5"/>
      <c r="H8" s="5">
        <v>29989.32</v>
      </c>
      <c r="I8" s="5"/>
    </row>
    <row r="9" spans="1:10" x14ac:dyDescent="0.25">
      <c r="A9" s="96">
        <v>43069</v>
      </c>
      <c r="B9" s="97">
        <v>0</v>
      </c>
      <c r="C9" s="4">
        <f t="shared" ref="C9:C22" si="0">C8+B9</f>
        <v>-586726</v>
      </c>
      <c r="D9" s="4">
        <f t="shared" ref="D9:D22" si="1">C9*0.65</f>
        <v>-381371.9</v>
      </c>
      <c r="E9" s="5">
        <f>+(D8+D9)/2*$B$2/12</f>
        <v>-3270.9974500000003</v>
      </c>
      <c r="G9" s="97">
        <v>0</v>
      </c>
      <c r="H9" s="4">
        <f t="shared" ref="H9:H22" si="2">H8+G9</f>
        <v>29989.32</v>
      </c>
      <c r="I9" s="4">
        <f t="shared" ref="I9:I22" si="3">H9*0.65</f>
        <v>19493.058000000001</v>
      </c>
      <c r="J9" s="5">
        <f>+(I8+I9)/2*$B$2/12</f>
        <v>83.595229500000002</v>
      </c>
    </row>
    <row r="10" spans="1:10" x14ac:dyDescent="0.25">
      <c r="A10" s="96">
        <v>43100</v>
      </c>
      <c r="B10" s="97">
        <v>0</v>
      </c>
      <c r="C10" s="4">
        <f t="shared" si="0"/>
        <v>-586726</v>
      </c>
      <c r="D10" s="4">
        <f t="shared" si="1"/>
        <v>-381371.9</v>
      </c>
      <c r="E10" s="4">
        <f t="shared" ref="E10:E22" si="4">+(D9+D10)/2*$B$2/12</f>
        <v>-3270.9974500000003</v>
      </c>
      <c r="G10" s="97">
        <v>0</v>
      </c>
      <c r="H10" s="4">
        <f t="shared" si="2"/>
        <v>29989.32</v>
      </c>
      <c r="I10" s="4">
        <f t="shared" si="3"/>
        <v>19493.058000000001</v>
      </c>
      <c r="J10" s="4">
        <f t="shared" ref="J10:J22" si="5">+(I9+I10)/2*$B$2/12</f>
        <v>167.190459</v>
      </c>
    </row>
    <row r="11" spans="1:10" x14ac:dyDescent="0.25">
      <c r="A11" s="96">
        <v>43101</v>
      </c>
      <c r="B11" s="97">
        <f t="shared" ref="B11:B22" si="6">-$C$10*C29</f>
        <v>59551.741070778371</v>
      </c>
      <c r="C11" s="4">
        <f t="shared" si="0"/>
        <v>-527174.25892922166</v>
      </c>
      <c r="D11" s="4">
        <f t="shared" si="1"/>
        <v>-342663.26830399409</v>
      </c>
      <c r="E11" s="4">
        <f t="shared" si="4"/>
        <v>-3104.9969717652057</v>
      </c>
      <c r="G11" s="97">
        <f>-$H$10*C29</f>
        <v>-3043.8675285034501</v>
      </c>
      <c r="H11" s="4">
        <f t="shared" si="2"/>
        <v>26945.452471496548</v>
      </c>
      <c r="I11" s="4">
        <f t="shared" si="3"/>
        <v>17514.544106472757</v>
      </c>
      <c r="J11" s="4">
        <f t="shared" si="5"/>
        <v>158.70567826429661</v>
      </c>
    </row>
    <row r="12" spans="1:10" x14ac:dyDescent="0.25">
      <c r="A12" s="96">
        <v>43132</v>
      </c>
      <c r="B12" s="97">
        <f t="shared" si="6"/>
        <v>51216.736125779011</v>
      </c>
      <c r="C12" s="4">
        <f t="shared" si="0"/>
        <v>-475957.52280344267</v>
      </c>
      <c r="D12" s="4">
        <f t="shared" si="1"/>
        <v>-309372.38982223772</v>
      </c>
      <c r="E12" s="4">
        <f t="shared" si="4"/>
        <v>-2796.2298415798014</v>
      </c>
      <c r="G12" s="97">
        <f t="shared" ref="G12:G22" si="7">-$H$10*C30</f>
        <v>-2617.8405065252723</v>
      </c>
      <c r="H12" s="4">
        <f t="shared" si="2"/>
        <v>24327.611964971275</v>
      </c>
      <c r="I12" s="4">
        <f t="shared" si="3"/>
        <v>15812.947777231329</v>
      </c>
      <c r="J12" s="4">
        <f t="shared" si="5"/>
        <v>142.92366711665406</v>
      </c>
    </row>
    <row r="13" spans="1:10" x14ac:dyDescent="0.25">
      <c r="A13" s="96">
        <v>43160</v>
      </c>
      <c r="B13" s="97">
        <f t="shared" si="6"/>
        <v>53612.776618295284</v>
      </c>
      <c r="C13" s="4">
        <f t="shared" si="0"/>
        <v>-422344.74618514738</v>
      </c>
      <c r="D13" s="4">
        <f t="shared" si="1"/>
        <v>-274524.08502034581</v>
      </c>
      <c r="E13" s="4">
        <f t="shared" si="4"/>
        <v>-2504.0175748056949</v>
      </c>
      <c r="G13" s="97">
        <f t="shared" si="7"/>
        <v>-2740.3092995615925</v>
      </c>
      <c r="H13" s="4">
        <f t="shared" si="2"/>
        <v>21587.302665409683</v>
      </c>
      <c r="I13" s="4">
        <f t="shared" si="3"/>
        <v>14031.746732516294</v>
      </c>
      <c r="J13" s="4">
        <f t="shared" si="5"/>
        <v>127.98782453218693</v>
      </c>
    </row>
    <row r="14" spans="1:10" x14ac:dyDescent="0.25">
      <c r="A14" s="96">
        <v>43191</v>
      </c>
      <c r="B14" s="97">
        <f t="shared" si="6"/>
        <v>46647.707058461841</v>
      </c>
      <c r="C14" s="4">
        <f t="shared" si="0"/>
        <v>-375697.03912668553</v>
      </c>
      <c r="D14" s="4">
        <f t="shared" si="1"/>
        <v>-244203.07543234559</v>
      </c>
      <c r="E14" s="4">
        <f t="shared" si="4"/>
        <v>-2224.5414765567343</v>
      </c>
      <c r="G14" s="97">
        <f t="shared" si="7"/>
        <v>-2384.3037708273896</v>
      </c>
      <c r="H14" s="4">
        <f t="shared" si="2"/>
        <v>19202.998894582292</v>
      </c>
      <c r="I14" s="4">
        <f t="shared" si="3"/>
        <v>12481.94928147849</v>
      </c>
      <c r="J14" s="4">
        <f t="shared" si="5"/>
        <v>113.70296559847763</v>
      </c>
    </row>
    <row r="15" spans="1:10" x14ac:dyDescent="0.25">
      <c r="A15" s="96">
        <v>43221</v>
      </c>
      <c r="B15" s="97">
        <f t="shared" si="6"/>
        <v>43098.458322720267</v>
      </c>
      <c r="C15" s="4">
        <f t="shared" si="0"/>
        <v>-332598.58080396528</v>
      </c>
      <c r="D15" s="4">
        <f t="shared" si="1"/>
        <v>-216189.07752257743</v>
      </c>
      <c r="E15" s="4">
        <f t="shared" si="4"/>
        <v>-1974.3740405566889</v>
      </c>
      <c r="G15" s="97">
        <f t="shared" si="7"/>
        <v>-2202.8910567227658</v>
      </c>
      <c r="H15" s="4">
        <f t="shared" si="2"/>
        <v>17000.107837859527</v>
      </c>
      <c r="I15" s="4">
        <f t="shared" si="3"/>
        <v>11050.070094608693</v>
      </c>
      <c r="J15" s="4">
        <f t="shared" si="5"/>
        <v>100.91616001668159</v>
      </c>
    </row>
    <row r="16" spans="1:10" x14ac:dyDescent="0.25">
      <c r="A16" s="96">
        <v>43252</v>
      </c>
      <c r="B16" s="97">
        <f t="shared" si="6"/>
        <v>41743.602970624263</v>
      </c>
      <c r="C16" s="4">
        <f t="shared" si="0"/>
        <v>-290854.97783334099</v>
      </c>
      <c r="D16" s="4">
        <f t="shared" si="1"/>
        <v>-189055.73559167166</v>
      </c>
      <c r="E16" s="4">
        <f t="shared" si="4"/>
        <v>-1737.8767947014912</v>
      </c>
      <c r="G16" s="97">
        <f t="shared" si="7"/>
        <v>-2133.6403490539051</v>
      </c>
      <c r="H16" s="4">
        <f t="shared" si="2"/>
        <v>14866.467488805622</v>
      </c>
      <c r="I16" s="4">
        <f t="shared" si="3"/>
        <v>9663.2038677236542</v>
      </c>
      <c r="J16" s="4">
        <f t="shared" si="5"/>
        <v>88.828078723079102</v>
      </c>
    </row>
    <row r="17" spans="1:10" x14ac:dyDescent="0.25">
      <c r="A17" s="96">
        <v>43282</v>
      </c>
      <c r="B17" s="97">
        <f t="shared" si="6"/>
        <v>43380.891323036936</v>
      </c>
      <c r="C17" s="4">
        <f t="shared" si="0"/>
        <v>-247474.08651030407</v>
      </c>
      <c r="D17" s="4">
        <f t="shared" si="1"/>
        <v>-160858.15623169765</v>
      </c>
      <c r="E17" s="4">
        <f t="shared" si="4"/>
        <v>-1500.5922668579105</v>
      </c>
      <c r="G17" s="97">
        <f t="shared" si="7"/>
        <v>-2217.3270517614324</v>
      </c>
      <c r="H17" s="4">
        <f t="shared" si="2"/>
        <v>12649.140437044189</v>
      </c>
      <c r="I17" s="4">
        <f t="shared" si="3"/>
        <v>8221.9412840787227</v>
      </c>
      <c r="J17" s="4">
        <f t="shared" si="5"/>
        <v>76.699757093306332</v>
      </c>
    </row>
    <row r="18" spans="1:10" x14ac:dyDescent="0.25">
      <c r="A18" s="96">
        <v>43313</v>
      </c>
      <c r="B18" s="97">
        <f t="shared" si="6"/>
        <v>43771.591227445257</v>
      </c>
      <c r="C18" s="4">
        <f t="shared" si="0"/>
        <v>-203702.49528285881</v>
      </c>
      <c r="D18" s="4">
        <f t="shared" si="1"/>
        <v>-132406.62193385823</v>
      </c>
      <c r="E18" s="4">
        <f t="shared" si="4"/>
        <v>-1257.6547217484417</v>
      </c>
      <c r="G18" s="97">
        <f t="shared" si="7"/>
        <v>-2237.2968919547602</v>
      </c>
      <c r="H18" s="4">
        <f t="shared" si="2"/>
        <v>10411.843545089429</v>
      </c>
      <c r="I18" s="4">
        <f t="shared" si="3"/>
        <v>6767.6983043081291</v>
      </c>
      <c r="J18" s="4">
        <f t="shared" si="5"/>
        <v>64.282492850197457</v>
      </c>
    </row>
    <row r="19" spans="1:10" x14ac:dyDescent="0.25">
      <c r="A19" s="96">
        <v>43344</v>
      </c>
      <c r="B19" s="97">
        <f t="shared" si="6"/>
        <v>42119.692366801843</v>
      </c>
      <c r="C19" s="4">
        <f t="shared" si="0"/>
        <v>-161582.80291605697</v>
      </c>
      <c r="D19" s="4">
        <f t="shared" si="1"/>
        <v>-105028.82189543704</v>
      </c>
      <c r="E19" s="4">
        <f t="shared" si="4"/>
        <v>-1018.2327687294778</v>
      </c>
      <c r="G19" s="97">
        <f t="shared" si="7"/>
        <v>-2152.8634024903922</v>
      </c>
      <c r="H19" s="4">
        <f t="shared" si="2"/>
        <v>8258.9801425990372</v>
      </c>
      <c r="I19" s="4">
        <f t="shared" si="3"/>
        <v>5368.337092689374</v>
      </c>
      <c r="J19" s="4">
        <f t="shared" si="5"/>
        <v>52.044921029431606</v>
      </c>
    </row>
    <row r="20" spans="1:10" x14ac:dyDescent="0.25">
      <c r="A20" s="96">
        <v>43374</v>
      </c>
      <c r="B20" s="97">
        <f t="shared" si="6"/>
        <v>46824.635065505507</v>
      </c>
      <c r="C20" s="4">
        <f t="shared" si="0"/>
        <v>-114758.16785055146</v>
      </c>
      <c r="D20" s="4">
        <f t="shared" si="1"/>
        <v>-74592.809102858446</v>
      </c>
      <c r="E20" s="4">
        <f t="shared" si="4"/>
        <v>-770.30045601192114</v>
      </c>
      <c r="G20" s="97">
        <f t="shared" si="7"/>
        <v>-2393.3470902306453</v>
      </c>
      <c r="H20" s="4">
        <f t="shared" si="2"/>
        <v>5865.6330523683919</v>
      </c>
      <c r="I20" s="4">
        <f t="shared" si="3"/>
        <v>3812.661484039455</v>
      </c>
      <c r="J20" s="4">
        <f t="shared" si="5"/>
        <v>39.372359280971708</v>
      </c>
    </row>
    <row r="21" spans="1:10" x14ac:dyDescent="0.25">
      <c r="A21" s="122">
        <v>43405</v>
      </c>
      <c r="B21" s="123">
        <f t="shared" si="6"/>
        <v>52775.254781643365</v>
      </c>
      <c r="C21" s="4">
        <f t="shared" si="0"/>
        <v>-61982.913068908092</v>
      </c>
      <c r="D21" s="4">
        <f t="shared" si="1"/>
        <v>-40288.89349479026</v>
      </c>
      <c r="E21" s="4">
        <f t="shared" si="4"/>
        <v>-492.66576306299345</v>
      </c>
      <c r="G21" s="97">
        <f t="shared" si="7"/>
        <v>-2697.5010545437444</v>
      </c>
      <c r="H21" s="4">
        <f t="shared" si="2"/>
        <v>3168.1319978246474</v>
      </c>
      <c r="I21" s="4">
        <f t="shared" si="3"/>
        <v>2059.285798586021</v>
      </c>
      <c r="J21" s="4">
        <f t="shared" si="5"/>
        <v>25.1816200774131</v>
      </c>
    </row>
    <row r="22" spans="1:10" x14ac:dyDescent="0.25">
      <c r="A22" s="122">
        <v>43435</v>
      </c>
      <c r="B22" s="123">
        <f t="shared" si="6"/>
        <v>61982.913068908056</v>
      </c>
      <c r="C22" s="4">
        <f t="shared" si="0"/>
        <v>0</v>
      </c>
      <c r="D22" s="4">
        <f t="shared" si="1"/>
        <v>0</v>
      </c>
      <c r="E22" s="4">
        <f t="shared" si="4"/>
        <v>-172.77737017958131</v>
      </c>
      <c r="G22" s="97">
        <f t="shared" si="7"/>
        <v>-3168.1319978246502</v>
      </c>
      <c r="H22" s="4">
        <f t="shared" si="2"/>
        <v>0</v>
      </c>
      <c r="I22" s="4">
        <f t="shared" si="3"/>
        <v>0</v>
      </c>
      <c r="J22" s="4">
        <f t="shared" si="5"/>
        <v>8.8311679439362063</v>
      </c>
    </row>
    <row r="23" spans="1:10" x14ac:dyDescent="0.25">
      <c r="A23" s="96"/>
      <c r="B23" s="97"/>
      <c r="C23" s="4"/>
      <c r="D23" s="4"/>
      <c r="E23" s="4"/>
      <c r="G23" s="97"/>
      <c r="H23" s="4"/>
      <c r="I23" s="4"/>
      <c r="J23" s="4"/>
    </row>
    <row r="24" spans="1:10" x14ac:dyDescent="0.25">
      <c r="A24" s="96"/>
      <c r="D24">
        <v>2017</v>
      </c>
      <c r="E24" s="98">
        <f>SUM(E9:E10)</f>
        <v>-6541.9949000000006</v>
      </c>
      <c r="I24">
        <v>2017</v>
      </c>
      <c r="J24" s="98">
        <f>SUM(J9:J10)</f>
        <v>250.78568849999999</v>
      </c>
    </row>
    <row r="25" spans="1:10" x14ac:dyDescent="0.25">
      <c r="A25" s="96"/>
      <c r="J25" s="98"/>
    </row>
    <row r="26" spans="1:10" x14ac:dyDescent="0.25">
      <c r="A26" s="96"/>
      <c r="D26">
        <v>2018</v>
      </c>
      <c r="E26" s="98">
        <f>SUM(E11:E22)</f>
        <v>-19554.260046555944</v>
      </c>
      <c r="I26">
        <v>2018</v>
      </c>
      <c r="J26" s="98">
        <f>SUM(J11:J22)</f>
        <v>999.47669252663241</v>
      </c>
    </row>
    <row r="27" spans="1:10" x14ac:dyDescent="0.25">
      <c r="A27" s="96"/>
    </row>
    <row r="28" spans="1:10" x14ac:dyDescent="0.25">
      <c r="A28" s="2" t="s">
        <v>86</v>
      </c>
      <c r="B28" s="2" t="s">
        <v>104</v>
      </c>
      <c r="C28" s="2" t="s">
        <v>91</v>
      </c>
      <c r="D28" s="99"/>
    </row>
    <row r="29" spans="1:10" x14ac:dyDescent="0.25">
      <c r="A29" s="96">
        <v>43101</v>
      </c>
      <c r="B29" s="100">
        <v>2156179</v>
      </c>
      <c r="C29" s="101">
        <f>B29/$B$41</f>
        <v>0.10149838437495248</v>
      </c>
      <c r="D29" s="101"/>
    </row>
    <row r="30" spans="1:10" x14ac:dyDescent="0.25">
      <c r="A30" s="96">
        <v>43132</v>
      </c>
      <c r="B30" s="100">
        <v>1854395</v>
      </c>
      <c r="C30" s="101">
        <f t="shared" ref="C30:C40" si="8">B30/$B$41</f>
        <v>8.7292426321279454E-2</v>
      </c>
      <c r="D30" s="101"/>
    </row>
    <row r="31" spans="1:10" x14ac:dyDescent="0.25">
      <c r="A31" s="96">
        <v>43160</v>
      </c>
      <c r="B31" s="100">
        <v>1941148</v>
      </c>
      <c r="C31" s="101">
        <f t="shared" si="8"/>
        <v>9.1376173236391911E-2</v>
      </c>
      <c r="D31" s="101"/>
    </row>
    <row r="32" spans="1:10" x14ac:dyDescent="0.25">
      <c r="A32" s="96">
        <v>43191</v>
      </c>
      <c r="B32" s="100">
        <v>1688965</v>
      </c>
      <c r="C32" s="101">
        <f t="shared" si="8"/>
        <v>7.9505096175151335E-2</v>
      </c>
      <c r="D32" s="101"/>
    </row>
    <row r="33" spans="1:4" x14ac:dyDescent="0.25">
      <c r="A33" s="96">
        <v>43221</v>
      </c>
      <c r="B33" s="100">
        <v>1560458</v>
      </c>
      <c r="C33" s="101">
        <f t="shared" si="8"/>
        <v>7.3455852174132849E-2</v>
      </c>
      <c r="D33" s="101"/>
    </row>
    <row r="34" spans="1:4" x14ac:dyDescent="0.25">
      <c r="A34" s="96">
        <v>43252</v>
      </c>
      <c r="B34" s="100">
        <v>1511403</v>
      </c>
      <c r="C34" s="101">
        <f t="shared" si="8"/>
        <v>7.1146673184117049E-2</v>
      </c>
      <c r="D34" s="101"/>
    </row>
    <row r="35" spans="1:4" x14ac:dyDescent="0.25">
      <c r="A35" s="96">
        <v>43282</v>
      </c>
      <c r="B35" s="100">
        <v>1570684</v>
      </c>
      <c r="C35" s="101">
        <f t="shared" si="8"/>
        <v>7.3937223376903255E-2</v>
      </c>
      <c r="D35" s="101"/>
    </row>
    <row r="36" spans="1:4" x14ac:dyDescent="0.25">
      <c r="A36" s="96">
        <v>43313</v>
      </c>
      <c r="B36" s="100">
        <v>1584830</v>
      </c>
      <c r="C36" s="101">
        <f t="shared" si="8"/>
        <v>7.4603121776511114E-2</v>
      </c>
      <c r="D36" s="101"/>
    </row>
    <row r="37" spans="1:4" x14ac:dyDescent="0.25">
      <c r="A37" s="96">
        <v>43344</v>
      </c>
      <c r="B37" s="100">
        <v>1525020</v>
      </c>
      <c r="C37" s="101">
        <f t="shared" si="8"/>
        <v>7.1787669826804748E-2</v>
      </c>
      <c r="D37" s="101"/>
    </row>
    <row r="38" spans="1:4" x14ac:dyDescent="0.25">
      <c r="A38" s="96">
        <v>43374</v>
      </c>
      <c r="B38" s="100">
        <v>1695371</v>
      </c>
      <c r="C38" s="101">
        <f t="shared" si="8"/>
        <v>7.980664750753419E-2</v>
      </c>
      <c r="D38" s="101"/>
    </row>
    <row r="39" spans="1:4" x14ac:dyDescent="0.25">
      <c r="A39" s="96">
        <v>43405</v>
      </c>
      <c r="B39" s="100">
        <v>1910824</v>
      </c>
      <c r="C39" s="101">
        <f t="shared" si="8"/>
        <v>8.9948723563713501E-2</v>
      </c>
      <c r="D39" s="101"/>
    </row>
    <row r="40" spans="1:4" x14ac:dyDescent="0.25">
      <c r="A40" s="96">
        <v>43435</v>
      </c>
      <c r="B40" s="100">
        <v>2244204</v>
      </c>
      <c r="C40" s="101">
        <f t="shared" si="8"/>
        <v>0.10564200848250811</v>
      </c>
      <c r="D40" s="101"/>
    </row>
    <row r="41" spans="1:4" ht="15.75" thickBot="1" x14ac:dyDescent="0.3">
      <c r="B41" s="102">
        <f>SUM(B29:B40)</f>
        <v>21243481</v>
      </c>
      <c r="C41" s="103">
        <f>ROUND(B41/$B$41,2)</f>
        <v>1</v>
      </c>
      <c r="D41" s="104"/>
    </row>
    <row r="42" spans="1:4" ht="15.75" thickTop="1" x14ac:dyDescent="0.25"/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949633A3B0A654FAFC1264D2073168A" ma:contentTypeVersion="68" ma:contentTypeDescription="" ma:contentTypeScope="" ma:versionID="1fbd068daa3febdf060122ee923240f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2018-11-27T08:00:00+00:00</OpenedDate>
    <SignificantOrder xmlns="dc463f71-b30c-4ab2-9473-d307f9d35888">false</SignificantOrder>
    <Date1 xmlns="dc463f71-b30c-4ab2-9473-d307f9d35888">2018-11-27T08:00:00+00:00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180978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2D9656F5-C15D-47D7-BED4-FC5ECB0E3537}"/>
</file>

<file path=customXml/itemProps2.xml><?xml version="1.0" encoding="utf-8"?>
<ds:datastoreItem xmlns:ds="http://schemas.openxmlformats.org/officeDocument/2006/customXml" ds:itemID="{F52ABD5A-813B-4105-83A6-5F4DF3A47D34}"/>
</file>

<file path=customXml/itemProps3.xml><?xml version="1.0" encoding="utf-8"?>
<ds:datastoreItem xmlns:ds="http://schemas.openxmlformats.org/officeDocument/2006/customXml" ds:itemID="{9F09D8D5-54D5-46A3-A5E2-C930AD2F428F}"/>
</file>

<file path=customXml/itemProps4.xml><?xml version="1.0" encoding="utf-8"?>
<ds:datastoreItem xmlns:ds="http://schemas.openxmlformats.org/officeDocument/2006/customXml" ds:itemID="{8AAF0EBB-7C70-464D-A30D-4E07F377E9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Revenue Requirement</vt:lpstr>
      <vt:lpstr>Tracking Accounts</vt:lpstr>
      <vt:lpstr>Interest Review for Jan 2019</vt:lpstr>
      <vt:lpstr>Conv F and COC UE-180282</vt:lpstr>
      <vt:lpstr>Interest 2019 Rate</vt:lpstr>
      <vt:lpstr>Interest 2018 Rate</vt:lpstr>
      <vt:lpstr>k_FITrate</vt:lpstr>
      <vt:lpstr>'Revenue Requirement'!Print_Area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NC</cp:lastModifiedBy>
  <cp:lastPrinted>2018-11-09T22:24:05Z</cp:lastPrinted>
  <dcterms:created xsi:type="dcterms:W3CDTF">2017-11-21T20:51:05Z</dcterms:created>
  <dcterms:modified xsi:type="dcterms:W3CDTF">2018-11-13T23:23:48Z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0x0101006E56B4D1795A2E4DB2F0B01679ED314A00E949633A3B0A654FAFC1264D2073168A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