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8-35 Electric Schedule 140 - Property Tax Tracker (UE-18xxxx) (Eff. 8-9-18)\Workpapers\"/>
    </mc:Choice>
  </mc:AlternateContent>
  <bookViews>
    <workbookView xWindow="180" yWindow="75" windowWidth="14445" windowHeight="10470"/>
  </bookViews>
  <sheets>
    <sheet name="Docket UE180679 Sch 449-459 RD" sheetId="37" r:id="rId1"/>
    <sheet name="UE-180257 Compliance WP======&gt;" sheetId="39" r:id="rId2"/>
    <sheet name="UE-180257 Prop Tax Rate Design" sheetId="10" r:id="rId3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'Docket UE180679 Sch 449-459 RD'!$A$1:$F$31</definedName>
    <definedName name="_xlnm.Print_Area" localSheetId="2">'UE-180257 Prop Tax Rate Design'!$A$1:$T$38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E31" i="37" l="1"/>
  <c r="D31" i="37"/>
  <c r="C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31" i="37" l="1"/>
  <c r="C8" i="37" s="1"/>
  <c r="A8" i="37"/>
  <c r="A9" i="37" s="1"/>
  <c r="A10" i="37" s="1"/>
  <c r="A11" i="37" s="1"/>
  <c r="A12" i="37" s="1"/>
  <c r="A13" i="37" s="1"/>
  <c r="D21" i="10" l="1"/>
  <c r="D10" i="10"/>
  <c r="D16" i="10" l="1"/>
  <c r="D31" i="10" s="1"/>
  <c r="D35" i="10" l="1"/>
  <c r="E27" i="10" l="1"/>
  <c r="E20" i="10"/>
  <c r="E15" i="10"/>
  <c r="E23" i="10"/>
  <c r="E13" i="10"/>
  <c r="E29" i="10"/>
  <c r="E10" i="10"/>
  <c r="E9" i="10"/>
  <c r="E33" i="10"/>
  <c r="E25" i="10"/>
  <c r="E19" i="10"/>
  <c r="E14" i="10"/>
  <c r="E16" i="10"/>
  <c r="E21" i="10"/>
  <c r="E31" i="10"/>
  <c r="J9" i="10" l="1"/>
  <c r="C12" i="37" l="1"/>
  <c r="L37" i="10" l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l="1"/>
  <c r="A31" i="10" s="1"/>
  <c r="A32" i="10" s="1"/>
  <c r="A33" i="10" s="1"/>
  <c r="A34" i="10" s="1"/>
  <c r="A35" i="10" s="1"/>
  <c r="A36" i="10" s="1"/>
  <c r="A37" i="10" s="1"/>
  <c r="N21" i="10" l="1"/>
  <c r="N16" i="10" l="1"/>
  <c r="N10" i="10" l="1"/>
  <c r="N31" i="10" l="1"/>
  <c r="N35" i="10" l="1"/>
  <c r="G16" i="10" l="1"/>
  <c r="G10" i="10"/>
  <c r="G21" i="10" l="1"/>
  <c r="G31" i="10" l="1"/>
  <c r="G35" i="10" l="1"/>
  <c r="H31" i="10" l="1"/>
  <c r="J33" i="10"/>
  <c r="J29" i="10"/>
  <c r="D7" i="37" s="1"/>
  <c r="J25" i="10"/>
  <c r="J19" i="10"/>
  <c r="J15" i="10"/>
  <c r="J13" i="10"/>
  <c r="J23" i="10"/>
  <c r="J27" i="10"/>
  <c r="J20" i="10"/>
  <c r="J14" i="10"/>
  <c r="H33" i="10"/>
  <c r="H20" i="10"/>
  <c r="H15" i="10"/>
  <c r="H14" i="10"/>
  <c r="H13" i="10"/>
  <c r="H27" i="10"/>
  <c r="H16" i="10"/>
  <c r="H29" i="10"/>
  <c r="H19" i="10"/>
  <c r="H10" i="10"/>
  <c r="H9" i="10"/>
  <c r="H25" i="10"/>
  <c r="H23" i="10"/>
  <c r="H21" i="10"/>
  <c r="D11" i="37" l="1"/>
  <c r="D9" i="37"/>
  <c r="H35" i="10"/>
  <c r="E35" i="10"/>
  <c r="K25" i="10"/>
  <c r="Q25" i="10" s="1"/>
  <c r="K29" i="10"/>
  <c r="E7" i="37" s="1"/>
  <c r="K27" i="10"/>
  <c r="K14" i="10"/>
  <c r="Q14" i="10" s="1"/>
  <c r="K20" i="10"/>
  <c r="Q20" i="10" s="1"/>
  <c r="K23" i="10"/>
  <c r="Q23" i="10" s="1"/>
  <c r="K9" i="10"/>
  <c r="K19" i="10"/>
  <c r="K13" i="10"/>
  <c r="K15" i="10"/>
  <c r="Q15" i="10" s="1"/>
  <c r="K33" i="10"/>
  <c r="E11" i="37" l="1"/>
  <c r="E13" i="37" s="1"/>
  <c r="E9" i="37"/>
  <c r="C9" i="37" s="1"/>
  <c r="C7" i="37"/>
  <c r="C11" i="37"/>
  <c r="D13" i="37"/>
  <c r="C13" i="37" s="1"/>
  <c r="Q13" i="10"/>
  <c r="K16" i="10"/>
  <c r="Q16" i="10" s="1"/>
  <c r="K21" i="10"/>
  <c r="Q21" i="10" s="1"/>
  <c r="Q19" i="10"/>
  <c r="Q9" i="10"/>
  <c r="K10" i="10"/>
  <c r="P27" i="10"/>
  <c r="L27" i="10"/>
  <c r="Q29" i="10"/>
  <c r="L33" i="10"/>
  <c r="P15" i="10"/>
  <c r="R15" i="10" s="1"/>
  <c r="L15" i="10"/>
  <c r="L13" i="10"/>
  <c r="J16" i="10"/>
  <c r="P16" i="10" s="1"/>
  <c r="P13" i="10"/>
  <c r="L19" i="10"/>
  <c r="J21" i="10"/>
  <c r="P21" i="10" s="1"/>
  <c r="P19" i="10"/>
  <c r="L9" i="10"/>
  <c r="L10" i="10" s="1"/>
  <c r="J10" i="10"/>
  <c r="P9" i="10"/>
  <c r="P23" i="10"/>
  <c r="R23" i="10" s="1"/>
  <c r="L23" i="10"/>
  <c r="L20" i="10"/>
  <c r="P20" i="10"/>
  <c r="R20" i="10" s="1"/>
  <c r="L14" i="10"/>
  <c r="P14" i="10"/>
  <c r="R14" i="10" s="1"/>
  <c r="Q27" i="10"/>
  <c r="L29" i="10"/>
  <c r="P29" i="10"/>
  <c r="L25" i="10"/>
  <c r="P25" i="10"/>
  <c r="R25" i="10" s="1"/>
  <c r="R29" i="10" l="1"/>
  <c r="T29" i="10" s="1"/>
  <c r="R19" i="10"/>
  <c r="T19" i="10" s="1"/>
  <c r="R16" i="10"/>
  <c r="T25" i="10"/>
  <c r="T23" i="10"/>
  <c r="L21" i="10"/>
  <c r="R27" i="10"/>
  <c r="T14" i="10"/>
  <c r="T20" i="10"/>
  <c r="R9" i="10"/>
  <c r="R21" i="10"/>
  <c r="R13" i="10"/>
  <c r="L16" i="10"/>
  <c r="T15" i="10"/>
  <c r="Q10" i="10"/>
  <c r="K31" i="10"/>
  <c r="P10" i="10"/>
  <c r="J31" i="10"/>
  <c r="T27" i="10" l="1"/>
  <c r="R10" i="10"/>
  <c r="L31" i="10"/>
  <c r="L35" i="10" s="1"/>
  <c r="T21" i="10"/>
  <c r="P31" i="10"/>
  <c r="J35" i="10"/>
  <c r="P35" i="10" s="1"/>
  <c r="Q31" i="10"/>
  <c r="K35" i="10"/>
  <c r="Q35" i="10" s="1"/>
  <c r="T9" i="10"/>
  <c r="T10" i="10" s="1"/>
  <c r="T13" i="10"/>
  <c r="T16" i="10" s="1"/>
  <c r="T31" i="10" l="1"/>
  <c r="T35" i="10" s="1"/>
  <c r="R31" i="10"/>
  <c r="R35" i="10"/>
</calcChain>
</file>

<file path=xl/sharedStrings.xml><?xml version="1.0" encoding="utf-8"?>
<sst xmlns="http://schemas.openxmlformats.org/spreadsheetml/2006/main" count="83" uniqueCount="77">
  <si>
    <t>Puget Sound Energy</t>
  </si>
  <si>
    <t>Line No.</t>
  </si>
  <si>
    <t>Voltage Level</t>
  </si>
  <si>
    <t>Schedule</t>
  </si>
  <si>
    <t>Electric
Cost of Service 
PTDGP.T 
Allocation Factor
Docket No. 
UE-111048</t>
  </si>
  <si>
    <t>Percent of Total</t>
  </si>
  <si>
    <t>A</t>
  </si>
  <si>
    <t>B</t>
  </si>
  <si>
    <t>Residential</t>
  </si>
  <si>
    <t>Secondary Voltage</t>
  </si>
  <si>
    <t>Demand &lt;= 50 kW</t>
  </si>
  <si>
    <t>Demand &gt; 50 kW but &lt;= 350 kW</t>
  </si>
  <si>
    <t>Demand &gt; 350 kW</t>
  </si>
  <si>
    <t>Total Secondary Voltage</t>
  </si>
  <si>
    <t>Primary Voltage</t>
  </si>
  <si>
    <t>Interruptible Total Electric Schools</t>
  </si>
  <si>
    <t>Total Primary Voltage</t>
  </si>
  <si>
    <t>Campus Rate</t>
  </si>
  <si>
    <t>Lighting</t>
  </si>
  <si>
    <t>50-59</t>
  </si>
  <si>
    <t>Total Jurisdictional Retail Sales</t>
  </si>
  <si>
    <t>Total Sales to Customers</t>
  </si>
  <si>
    <t>Total Firm Resale / Special Contract</t>
  </si>
  <si>
    <t>Total Choice /Retail Wheeling</t>
  </si>
  <si>
    <t>General Service</t>
  </si>
  <si>
    <t>High Voltage</t>
  </si>
  <si>
    <t>Total Residential</t>
  </si>
  <si>
    <t>(c)</t>
  </si>
  <si>
    <t>(a)</t>
  </si>
  <si>
    <t>Month</t>
  </si>
  <si>
    <t>Total</t>
  </si>
  <si>
    <t>Revenue Requirement Property Tax - Current</t>
  </si>
  <si>
    <t>46 &amp; 49</t>
  </si>
  <si>
    <t>449 &amp; 459</t>
  </si>
  <si>
    <t>Schedule 140 Property Tax Rider - Current</t>
  </si>
  <si>
    <t>Schedule 140 Property Tax Rider - Deferred</t>
  </si>
  <si>
    <t>Calculation of Property Tax Rider Rate</t>
  </si>
  <si>
    <t>Property Tax Revenue Requirement</t>
  </si>
  <si>
    <t>Revenue Requirement Property Tax - Total</t>
  </si>
  <si>
    <t>Check Difference due to Rounding</t>
  </si>
  <si>
    <t>8 &amp; 24</t>
  </si>
  <si>
    <t xml:space="preserve"> 7A, 11, 25 &amp; 29</t>
  </si>
  <si>
    <t>10, 31 &amp; 35</t>
  </si>
  <si>
    <t>(d)= 
(c) / ∑ (c)</t>
  </si>
  <si>
    <t>(h)</t>
  </si>
  <si>
    <t>Revenue Requirement Property Tax - Deferral</t>
  </si>
  <si>
    <t>(f) =
(d) * B</t>
  </si>
  <si>
    <t>(g) =
(e + f)</t>
  </si>
  <si>
    <t>(i) = 
(e) / (h)</t>
  </si>
  <si>
    <t>(j) = 
(f) / (h)</t>
  </si>
  <si>
    <t>(k) = 
(i) + (j)</t>
  </si>
  <si>
    <t>(l) = 
(k * h) - (g)</t>
  </si>
  <si>
    <t>F2017 kWh 
May 2018
to April 2019</t>
  </si>
  <si>
    <t>Effective May 1, 2018</t>
  </si>
  <si>
    <t>(e)
= (b) * A</t>
  </si>
  <si>
    <t>(b)= 
(a) / ∑ (a)</t>
  </si>
  <si>
    <t>12 &amp; 26</t>
  </si>
  <si>
    <t>Adjusted Electric
Cost of Service 
PTDGP.T 
Allocation Factor
Docket No. 
UE-170033</t>
  </si>
  <si>
    <t>Schedule 140 Rider Effective 5-1-18</t>
  </si>
  <si>
    <t>Line No</t>
  </si>
  <si>
    <t>Description</t>
  </si>
  <si>
    <t>Current</t>
  </si>
  <si>
    <t>Deferred</t>
  </si>
  <si>
    <t>F2017 kVa Demand (May 2018 to April 2019)</t>
  </si>
  <si>
    <t>Proposed kVa Rate</t>
  </si>
  <si>
    <t>Year</t>
  </si>
  <si>
    <t>RC 449PV</t>
  </si>
  <si>
    <t>RC449HV</t>
  </si>
  <si>
    <t>RC 459HV</t>
  </si>
  <si>
    <t>F2017 Monthly Billing Demand by Rate Schedule</t>
  </si>
  <si>
    <t>Monthly kVa History and Projections, Jan. 2017 - Dec. 2022</t>
  </si>
  <si>
    <t>Proposed Effective 9-9-18</t>
  </si>
  <si>
    <t>2018 Revenue Increase per Docket UE-180257</t>
  </si>
  <si>
    <t>F2017 kWh (May 2018 to April 2019)</t>
  </si>
  <si>
    <t>Current kWh Rate Eff 5-1-2018</t>
  </si>
  <si>
    <t>Schedules 449 and 459 Property Tax (Schedule 140) kVa Charge</t>
  </si>
  <si>
    <t>Rate Design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</si>
</sst>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_(&quot;$&quot;* #,##0.000_);_(&quot;$&quot;* \(#,##0.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165" fontId="1" fillId="0" borderId="4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0" fontId="1" fillId="0" borderId="0" xfId="0" quotePrefix="1" applyFont="1" applyFill="1" applyAlignment="1">
      <alignment horizontal="left" inden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quotePrefix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Continuous" wrapText="1"/>
    </xf>
    <xf numFmtId="0" fontId="1" fillId="0" borderId="0" xfId="0" applyFont="1" applyFill="1" applyAlignment="1">
      <alignment horizontal="centerContinuous"/>
    </xf>
    <xf numFmtId="164" fontId="1" fillId="0" borderId="4" xfId="0" applyNumberFormat="1" applyFont="1" applyFill="1" applyBorder="1"/>
    <xf numFmtId="165" fontId="1" fillId="0" borderId="0" xfId="0" applyNumberFormat="1" applyFont="1" applyFill="1"/>
    <xf numFmtId="166" fontId="1" fillId="0" borderId="0" xfId="0" applyNumberFormat="1" applyFont="1" applyFill="1"/>
    <xf numFmtId="166" fontId="1" fillId="0" borderId="0" xfId="0" quotePrefix="1" applyNumberFormat="1" applyFont="1" applyFill="1" applyAlignment="1">
      <alignment horizontal="left"/>
    </xf>
    <xf numFmtId="166" fontId="1" fillId="0" borderId="2" xfId="0" applyNumberFormat="1" applyFont="1" applyFill="1" applyBorder="1"/>
    <xf numFmtId="166" fontId="1" fillId="0" borderId="0" xfId="0" applyNumberFormat="1" applyFont="1" applyFill="1" applyBorder="1"/>
    <xf numFmtId="166" fontId="1" fillId="0" borderId="3" xfId="0" applyNumberFormat="1" applyFont="1" applyFill="1" applyBorder="1"/>
    <xf numFmtId="165" fontId="1" fillId="0" borderId="0" xfId="0" quotePrefix="1" applyNumberFormat="1" applyFont="1" applyFill="1" applyAlignment="1">
      <alignment horizontal="left"/>
    </xf>
    <xf numFmtId="164" fontId="1" fillId="0" borderId="0" xfId="0" quotePrefix="1" applyNumberFormat="1" applyFont="1" applyFill="1" applyAlignment="1">
      <alignment horizontal="left"/>
    </xf>
    <xf numFmtId="164" fontId="1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0" xfId="0" applyNumberFormat="1" applyFont="1" applyFill="1"/>
    <xf numFmtId="164" fontId="1" fillId="0" borderId="3" xfId="0" applyNumberFormat="1" applyFont="1" applyFill="1" applyBorder="1"/>
    <xf numFmtId="165" fontId="1" fillId="0" borderId="2" xfId="0" applyNumberFormat="1" applyFont="1" applyFill="1" applyBorder="1"/>
    <xf numFmtId="165" fontId="1" fillId="0" borderId="0" xfId="0" applyNumberFormat="1" applyFont="1" applyFill="1" applyBorder="1"/>
    <xf numFmtId="165" fontId="1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165" fontId="1" fillId="0" borderId="6" xfId="0" quotePrefix="1" applyNumberFormat="1" applyFont="1" applyFill="1" applyBorder="1" applyAlignment="1">
      <alignment horizontal="left"/>
    </xf>
    <xf numFmtId="43" fontId="1" fillId="0" borderId="0" xfId="0" applyNumberFormat="1" applyFont="1" applyFill="1"/>
    <xf numFmtId="44" fontId="1" fillId="0" borderId="0" xfId="0" applyNumberFormat="1" applyFont="1" applyFill="1"/>
    <xf numFmtId="166" fontId="1" fillId="0" borderId="4" xfId="0" applyNumberFormat="1" applyFont="1" applyFill="1" applyBorder="1"/>
    <xf numFmtId="0" fontId="0" fillId="0" borderId="0" xfId="0" applyFill="1"/>
    <xf numFmtId="10" fontId="1" fillId="0" borderId="0" xfId="0" quotePrefix="1" applyNumberFormat="1" applyFont="1" applyFill="1" applyAlignment="1">
      <alignment horizontal="right"/>
    </xf>
    <xf numFmtId="10" fontId="1" fillId="0" borderId="2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10" fontId="1" fillId="0" borderId="0" xfId="0" applyNumberFormat="1" applyFont="1" applyFill="1" applyAlignment="1">
      <alignment horizontal="right"/>
    </xf>
    <xf numFmtId="10" fontId="1" fillId="0" borderId="3" xfId="0" applyNumberFormat="1" applyFont="1" applyFill="1" applyBorder="1" applyAlignment="1">
      <alignment horizontal="right"/>
    </xf>
    <xf numFmtId="10" fontId="1" fillId="0" borderId="4" xfId="0" applyNumberFormat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165" fontId="4" fillId="0" borderId="0" xfId="1" applyNumberFormat="1" applyFont="1" applyFill="1"/>
    <xf numFmtId="164" fontId="4" fillId="0" borderId="0" xfId="2" applyNumberFormat="1" applyFont="1" applyFill="1"/>
    <xf numFmtId="167" fontId="0" fillId="0" borderId="0" xfId="1" applyNumberFormat="1" applyFont="1" applyFill="1"/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6" fontId="0" fillId="0" borderId="0" xfId="1" applyNumberFormat="1" applyFont="1" applyFill="1"/>
    <xf numFmtId="164" fontId="4" fillId="2" borderId="0" xfId="2" applyNumberFormat="1" applyFont="1" applyFill="1"/>
    <xf numFmtId="3" fontId="0" fillId="2" borderId="11" xfId="0" applyNumberFormat="1" applyFill="1" applyBorder="1"/>
    <xf numFmtId="3" fontId="0" fillId="2" borderId="0" xfId="0" applyNumberFormat="1" applyFill="1" applyBorder="1"/>
    <xf numFmtId="3" fontId="0" fillId="2" borderId="8" xfId="0" applyNumberFormat="1" applyFill="1" applyBorder="1"/>
    <xf numFmtId="3" fontId="0" fillId="2" borderId="12" xfId="0" applyNumberFormat="1" applyFill="1" applyBorder="1"/>
    <xf numFmtId="3" fontId="0" fillId="2" borderId="1" xfId="0" applyNumberFormat="1" applyFill="1" applyBorder="1"/>
    <xf numFmtId="3" fontId="0" fillId="2" borderId="9" xfId="0" applyNumberFormat="1" applyFill="1" applyBorder="1"/>
    <xf numFmtId="0" fontId="0" fillId="0" borderId="12" xfId="0" applyBorder="1"/>
    <xf numFmtId="0" fontId="0" fillId="0" borderId="8" xfId="0" applyBorder="1"/>
    <xf numFmtId="0" fontId="6" fillId="0" borderId="11" xfId="0" applyFont="1" applyFill="1" applyBorder="1"/>
    <xf numFmtId="0" fontId="0" fillId="0" borderId="0" xfId="0" applyFill="1" applyBorder="1"/>
    <xf numFmtId="165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N31" sqref="N31"/>
    </sheetView>
  </sheetViews>
  <sheetFormatPr defaultRowHeight="15" x14ac:dyDescent="0.25"/>
  <cols>
    <col min="1" max="1" width="5" bestFit="1" customWidth="1"/>
    <col min="2" max="2" width="40.42578125" bestFit="1" customWidth="1"/>
    <col min="3" max="3" width="13.85546875" bestFit="1" customWidth="1"/>
    <col min="4" max="5" width="10.7109375" bestFit="1" customWidth="1"/>
  </cols>
  <sheetData>
    <row r="1" spans="1:6" x14ac:dyDescent="0.25">
      <c r="A1" s="81" t="s">
        <v>0</v>
      </c>
      <c r="B1" s="81"/>
      <c r="C1" s="81"/>
      <c r="D1" s="81"/>
      <c r="E1" s="81"/>
    </row>
    <row r="2" spans="1:6" x14ac:dyDescent="0.25">
      <c r="A2" s="82" t="s">
        <v>75</v>
      </c>
      <c r="B2" s="81"/>
      <c r="C2" s="81"/>
      <c r="D2" s="81"/>
      <c r="E2" s="81"/>
    </row>
    <row r="3" spans="1:6" x14ac:dyDescent="0.25">
      <c r="A3" s="82" t="s">
        <v>76</v>
      </c>
      <c r="B3" s="81"/>
      <c r="C3" s="81"/>
      <c r="D3" s="81"/>
      <c r="E3" s="81"/>
    </row>
    <row r="4" spans="1:6" x14ac:dyDescent="0.25">
      <c r="A4" s="82" t="s">
        <v>71</v>
      </c>
      <c r="B4" s="81"/>
      <c r="C4" s="81"/>
      <c r="D4" s="81"/>
      <c r="E4" s="81"/>
    </row>
    <row r="5" spans="1:6" x14ac:dyDescent="0.25">
      <c r="A5" s="39"/>
      <c r="B5" s="39"/>
      <c r="C5" s="39"/>
      <c r="D5" s="39"/>
      <c r="E5" s="39"/>
    </row>
    <row r="6" spans="1:6" ht="30" x14ac:dyDescent="0.25">
      <c r="A6" s="54" t="s">
        <v>59</v>
      </c>
      <c r="B6" s="55" t="s">
        <v>60</v>
      </c>
      <c r="C6" s="56" t="s">
        <v>30</v>
      </c>
      <c r="D6" s="56" t="s">
        <v>61</v>
      </c>
      <c r="E6" s="57" t="s">
        <v>62</v>
      </c>
    </row>
    <row r="7" spans="1:6" x14ac:dyDescent="0.25">
      <c r="A7" s="49">
        <v>1</v>
      </c>
      <c r="B7" s="50" t="s">
        <v>72</v>
      </c>
      <c r="C7" s="58">
        <f>SUM(D7:E7)</f>
        <v>61769.831996626621</v>
      </c>
      <c r="D7" s="58">
        <f>+'UE-180257 Prop Tax Rate Design'!J29</f>
        <v>35289.84107192661</v>
      </c>
      <c r="E7" s="58">
        <f>+'UE-180257 Prop Tax Rate Design'!K29</f>
        <v>26479.990924700011</v>
      </c>
    </row>
    <row r="8" spans="1:6" x14ac:dyDescent="0.25">
      <c r="A8" s="49">
        <f>+A7+1</f>
        <v>2</v>
      </c>
      <c r="B8" s="50" t="s">
        <v>63</v>
      </c>
      <c r="C8" s="69">
        <f>+F31</f>
        <v>3747712.4884320488</v>
      </c>
      <c r="D8" s="59"/>
      <c r="E8" s="59"/>
    </row>
    <row r="9" spans="1:6" x14ac:dyDescent="0.25">
      <c r="A9" s="49">
        <f t="shared" ref="A9:A13" si="0">+A8+1</f>
        <v>3</v>
      </c>
      <c r="B9" s="39" t="s">
        <v>64</v>
      </c>
      <c r="C9" s="60">
        <f>SUM(D9:E9)</f>
        <v>1.6E-2</v>
      </c>
      <c r="D9" s="60">
        <f>ROUND(D7/$C$8,3)</f>
        <v>8.9999999999999993E-3</v>
      </c>
      <c r="E9" s="60">
        <f>ROUND(E7/$C$8,3)</f>
        <v>7.0000000000000001E-3</v>
      </c>
    </row>
    <row r="10" spans="1:6" x14ac:dyDescent="0.25">
      <c r="A10" s="49">
        <f t="shared" si="0"/>
        <v>4</v>
      </c>
      <c r="B10" s="39"/>
      <c r="C10" s="39"/>
      <c r="D10" s="39"/>
      <c r="E10" s="39"/>
    </row>
    <row r="11" spans="1:6" x14ac:dyDescent="0.25">
      <c r="A11" s="49">
        <f t="shared" si="0"/>
        <v>5</v>
      </c>
      <c r="B11" s="50" t="s">
        <v>72</v>
      </c>
      <c r="C11" s="58">
        <f>SUM(D11:E11)</f>
        <v>61769.831996626621</v>
      </c>
      <c r="D11" s="58">
        <f>+D7</f>
        <v>35289.84107192661</v>
      </c>
      <c r="E11" s="58">
        <f>+E7</f>
        <v>26479.990924700011</v>
      </c>
    </row>
    <row r="12" spans="1:6" x14ac:dyDescent="0.25">
      <c r="A12" s="49">
        <f t="shared" si="0"/>
        <v>6</v>
      </c>
      <c r="B12" s="50" t="s">
        <v>73</v>
      </c>
      <c r="C12" s="69">
        <f>+'UE-180257 Prop Tax Rate Design'!N29</f>
        <v>2088697000</v>
      </c>
      <c r="D12" s="59"/>
      <c r="E12" s="59"/>
    </row>
    <row r="13" spans="1:6" x14ac:dyDescent="0.25">
      <c r="A13" s="49">
        <f t="shared" si="0"/>
        <v>7</v>
      </c>
      <c r="B13" s="53" t="s">
        <v>74</v>
      </c>
      <c r="C13" s="68">
        <f>SUM(D13:E13)</f>
        <v>2.9999999999999997E-5</v>
      </c>
      <c r="D13" s="68">
        <f>ROUND(D11/$C$12,6)</f>
        <v>1.7E-5</v>
      </c>
      <c r="E13" s="68">
        <f>ROUND(E11/$C$12,6)</f>
        <v>1.2999999999999999E-5</v>
      </c>
    </row>
    <row r="14" spans="1:6" x14ac:dyDescent="0.25">
      <c r="A14" s="39"/>
      <c r="B14" s="39"/>
      <c r="C14" s="39"/>
      <c r="D14" s="39"/>
      <c r="E14" s="39"/>
    </row>
    <row r="15" spans="1:6" ht="21" x14ac:dyDescent="0.35">
      <c r="A15" s="83" t="s">
        <v>69</v>
      </c>
      <c r="B15" s="84"/>
      <c r="C15" s="84"/>
      <c r="D15" s="84"/>
      <c r="E15" s="84"/>
      <c r="F15" s="85"/>
    </row>
    <row r="16" spans="1:6" ht="21" x14ac:dyDescent="0.35">
      <c r="A16" s="86" t="s">
        <v>70</v>
      </c>
      <c r="B16" s="87"/>
      <c r="C16" s="87"/>
      <c r="D16" s="87"/>
      <c r="E16" s="87"/>
      <c r="F16" s="88"/>
    </row>
    <row r="17" spans="1:6" ht="15.75" x14ac:dyDescent="0.25">
      <c r="A17" s="78"/>
      <c r="B17" s="79"/>
      <c r="C17" s="79"/>
      <c r="D17" s="79"/>
      <c r="E17" s="79"/>
      <c r="F17" s="77"/>
    </row>
    <row r="18" spans="1:6" x14ac:dyDescent="0.25">
      <c r="A18" s="61" t="s">
        <v>65</v>
      </c>
      <c r="B18" s="62" t="s">
        <v>29</v>
      </c>
      <c r="C18" s="61" t="s">
        <v>66</v>
      </c>
      <c r="D18" s="63" t="s">
        <v>67</v>
      </c>
      <c r="E18" s="63" t="s">
        <v>68</v>
      </c>
      <c r="F18" s="62" t="s">
        <v>30</v>
      </c>
    </row>
    <row r="19" spans="1:6" x14ac:dyDescent="0.25">
      <c r="A19" s="64">
        <v>2018</v>
      </c>
      <c r="B19" s="65">
        <v>5</v>
      </c>
      <c r="C19" s="70">
        <v>15001.225264992474</v>
      </c>
      <c r="D19" s="71">
        <v>253680.27733212936</v>
      </c>
      <c r="E19" s="71">
        <v>42763.335301941908</v>
      </c>
      <c r="F19" s="72">
        <f t="shared" ref="F19:F30" si="1">SUM(C19:E19)</f>
        <v>311444.83789906371</v>
      </c>
    </row>
    <row r="20" spans="1:6" x14ac:dyDescent="0.25">
      <c r="A20" s="64"/>
      <c r="B20" s="65">
        <v>6</v>
      </c>
      <c r="C20" s="70">
        <v>15156.066035640652</v>
      </c>
      <c r="D20" s="71">
        <v>260677.97384397194</v>
      </c>
      <c r="E20" s="71">
        <v>44092.794936545026</v>
      </c>
      <c r="F20" s="72">
        <f t="shared" si="1"/>
        <v>319926.83481615759</v>
      </c>
    </row>
    <row r="21" spans="1:6" x14ac:dyDescent="0.25">
      <c r="A21" s="64"/>
      <c r="B21" s="65">
        <v>7</v>
      </c>
      <c r="C21" s="70">
        <v>14988.084400182988</v>
      </c>
      <c r="D21" s="71">
        <v>262118.46195517387</v>
      </c>
      <c r="E21" s="71">
        <v>42783.157397454685</v>
      </c>
      <c r="F21" s="72">
        <f t="shared" si="1"/>
        <v>319889.70375281153</v>
      </c>
    </row>
    <row r="22" spans="1:6" x14ac:dyDescent="0.25">
      <c r="A22" s="64"/>
      <c r="B22" s="65">
        <v>8</v>
      </c>
      <c r="C22" s="70">
        <v>15108.154035869322</v>
      </c>
      <c r="D22" s="71">
        <v>263340.99692379445</v>
      </c>
      <c r="E22" s="71">
        <v>42665.713682761983</v>
      </c>
      <c r="F22" s="72">
        <f t="shared" si="1"/>
        <v>321114.86464242579</v>
      </c>
    </row>
    <row r="23" spans="1:6" x14ac:dyDescent="0.25">
      <c r="A23" s="64"/>
      <c r="B23" s="65">
        <v>9</v>
      </c>
      <c r="C23" s="70">
        <v>14096.316831053211</v>
      </c>
      <c r="D23" s="71">
        <v>260171.4337777172</v>
      </c>
      <c r="E23" s="71">
        <v>43997.632717163942</v>
      </c>
      <c r="F23" s="72">
        <f t="shared" si="1"/>
        <v>318265.38332593435</v>
      </c>
    </row>
    <row r="24" spans="1:6" x14ac:dyDescent="0.25">
      <c r="A24" s="64"/>
      <c r="B24" s="65">
        <v>10</v>
      </c>
      <c r="C24" s="70">
        <v>13366.700535836984</v>
      </c>
      <c r="D24" s="71">
        <v>252419.54121834625</v>
      </c>
      <c r="E24" s="71">
        <v>41342.229740869516</v>
      </c>
      <c r="F24" s="72">
        <f t="shared" si="1"/>
        <v>307128.4714950528</v>
      </c>
    </row>
    <row r="25" spans="1:6" x14ac:dyDescent="0.25">
      <c r="A25" s="64"/>
      <c r="B25" s="65">
        <v>11</v>
      </c>
      <c r="C25" s="70">
        <v>13580.979327544663</v>
      </c>
      <c r="D25" s="71">
        <v>255944.34026897876</v>
      </c>
      <c r="E25" s="71">
        <v>43048.006296549451</v>
      </c>
      <c r="F25" s="72">
        <f t="shared" si="1"/>
        <v>312573.32589307288</v>
      </c>
    </row>
    <row r="26" spans="1:6" x14ac:dyDescent="0.25">
      <c r="A26" s="66"/>
      <c r="B26" s="67">
        <v>12</v>
      </c>
      <c r="C26" s="73">
        <v>14038.481670712634</v>
      </c>
      <c r="D26" s="74">
        <v>255444.92459726788</v>
      </c>
      <c r="E26" s="74">
        <v>41813.334678765794</v>
      </c>
      <c r="F26" s="75">
        <f t="shared" si="1"/>
        <v>311296.74094674631</v>
      </c>
    </row>
    <row r="27" spans="1:6" x14ac:dyDescent="0.25">
      <c r="A27" s="64">
        <v>2019</v>
      </c>
      <c r="B27" s="65">
        <v>1</v>
      </c>
      <c r="C27" s="70">
        <v>15342.89095238849</v>
      </c>
      <c r="D27" s="71">
        <v>255951.35440325213</v>
      </c>
      <c r="E27" s="71">
        <v>39991.544207663392</v>
      </c>
      <c r="F27" s="72">
        <f t="shared" si="1"/>
        <v>311285.78956330399</v>
      </c>
    </row>
    <row r="28" spans="1:6" x14ac:dyDescent="0.25">
      <c r="A28" s="64"/>
      <c r="B28" s="65">
        <v>2</v>
      </c>
      <c r="C28" s="70">
        <v>15290.548395242949</v>
      </c>
      <c r="D28" s="71">
        <v>258581.63617966589</v>
      </c>
      <c r="E28" s="71">
        <v>39303.284522109119</v>
      </c>
      <c r="F28" s="72">
        <f t="shared" si="1"/>
        <v>313175.46909701795</v>
      </c>
    </row>
    <row r="29" spans="1:6" x14ac:dyDescent="0.25">
      <c r="A29" s="64"/>
      <c r="B29" s="65">
        <v>3</v>
      </c>
      <c r="C29" s="70">
        <v>14880.710606453207</v>
      </c>
      <c r="D29" s="71">
        <v>246079.85317215556</v>
      </c>
      <c r="E29" s="71">
        <v>40635.14486923848</v>
      </c>
      <c r="F29" s="72">
        <f t="shared" si="1"/>
        <v>301595.70864784723</v>
      </c>
    </row>
    <row r="30" spans="1:6" x14ac:dyDescent="0.25">
      <c r="A30" s="66"/>
      <c r="B30" s="67">
        <v>4</v>
      </c>
      <c r="C30" s="73">
        <v>14730.604566835493</v>
      </c>
      <c r="D30" s="74">
        <v>245573.62304583602</v>
      </c>
      <c r="E30" s="74">
        <v>39711.13073994335</v>
      </c>
      <c r="F30" s="75">
        <f t="shared" si="1"/>
        <v>300015.35835261486</v>
      </c>
    </row>
    <row r="31" spans="1:6" x14ac:dyDescent="0.25">
      <c r="A31" s="76"/>
      <c r="B31" s="48" t="s">
        <v>30</v>
      </c>
      <c r="C31" s="74">
        <f>SUM(C19:C30)</f>
        <v>175580.76262275304</v>
      </c>
      <c r="D31" s="74">
        <f t="shared" ref="D31:F31" si="2">SUM(D19:D30)</f>
        <v>3069984.4167182897</v>
      </c>
      <c r="E31" s="74">
        <f t="shared" si="2"/>
        <v>502147.30909100664</v>
      </c>
      <c r="F31" s="75">
        <f t="shared" si="2"/>
        <v>3747712.4884320488</v>
      </c>
    </row>
  </sheetData>
  <mergeCells count="6">
    <mergeCell ref="A1:E1"/>
    <mergeCell ref="A2:E2"/>
    <mergeCell ref="A4:E4"/>
    <mergeCell ref="A15:F15"/>
    <mergeCell ref="A16:F16"/>
    <mergeCell ref="A3:E3"/>
  </mergeCells>
  <printOptions horizontalCentered="1"/>
  <pageMargins left="0.7" right="0.7" top="0.75" bottom="0.75" header="0.3" footer="0.3"/>
  <pageSetup orientation="landscape" r:id="rId1"/>
  <headerFooter>
    <oddFooter>&amp;L&amp;F
&amp;A&amp;RPage &amp;P of &amp;N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X38"/>
  <sheetViews>
    <sheetView workbookViewId="0">
      <pane xSplit="3" ySplit="7" topLeftCell="D24" activePane="bottomRight" state="frozen"/>
      <selection sqref="A1:I30"/>
      <selection pane="topRight" sqref="A1:I30"/>
      <selection pane="bottomLeft" sqref="A1:I30"/>
      <selection pane="bottomRight" activeCell="D27" sqref="D27"/>
    </sheetView>
  </sheetViews>
  <sheetFormatPr defaultColWidth="9.140625" defaultRowHeight="12.75" x14ac:dyDescent="0.2"/>
  <cols>
    <col min="1" max="1" width="4.7109375" style="4" customWidth="1"/>
    <col min="2" max="2" width="29.7109375" style="4" customWidth="1"/>
    <col min="3" max="3" width="13.85546875" style="4" customWidth="1"/>
    <col min="4" max="4" width="14.7109375" style="4" customWidth="1"/>
    <col min="5" max="5" width="9" style="4" customWidth="1"/>
    <col min="6" max="6" width="0.85546875" style="4" customWidth="1"/>
    <col min="7" max="7" width="14.7109375" style="4" customWidth="1"/>
    <col min="8" max="8" width="9" style="4" customWidth="1"/>
    <col min="9" max="9" width="0.85546875" style="4" customWidth="1"/>
    <col min="10" max="10" width="14.7109375" style="4" bestFit="1" customWidth="1"/>
    <col min="11" max="11" width="14.7109375" style="4" customWidth="1"/>
    <col min="12" max="12" width="13.140625" style="4" customWidth="1"/>
    <col min="13" max="13" width="0.85546875" style="4" customWidth="1"/>
    <col min="14" max="14" width="14.7109375" style="4" customWidth="1"/>
    <col min="15" max="15" width="0.85546875" style="4" customWidth="1"/>
    <col min="16" max="16" width="12.5703125" style="4" customWidth="1"/>
    <col min="17" max="17" width="11.28515625" style="4" customWidth="1"/>
    <col min="18" max="18" width="12.7109375" style="4" customWidth="1"/>
    <col min="19" max="19" width="0.85546875" style="4" customWidth="1"/>
    <col min="20" max="20" width="9.42578125" style="4" customWidth="1"/>
    <col min="21" max="21" width="2.7109375" style="4" customWidth="1"/>
    <col min="22" max="22" width="12" style="4" bestFit="1" customWidth="1"/>
    <col min="23" max="23" width="9.140625" style="4"/>
    <col min="24" max="24" width="11.28515625" style="4" customWidth="1"/>
    <col min="25" max="16384" width="9.140625" style="4"/>
  </cols>
  <sheetData>
    <row r="1" spans="1:24" ht="12.75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24" x14ac:dyDescent="0.2">
      <c r="A2" s="89" t="s">
        <v>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24" x14ac:dyDescent="0.2">
      <c r="A3" s="90" t="s">
        <v>53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24" x14ac:dyDescent="0.2">
      <c r="B4" s="17"/>
      <c r="C4" s="17"/>
      <c r="D4" s="17"/>
      <c r="G4" s="17"/>
    </row>
    <row r="5" spans="1:24" s="15" customFormat="1" x14ac:dyDescent="0.2">
      <c r="B5" s="16"/>
      <c r="C5" s="16"/>
    </row>
    <row r="6" spans="1:24" s="6" customFormat="1" ht="76.5" x14ac:dyDescent="0.2">
      <c r="A6" s="14" t="s">
        <v>1</v>
      </c>
      <c r="B6" s="14" t="s">
        <v>2</v>
      </c>
      <c r="C6" s="14" t="s">
        <v>3</v>
      </c>
      <c r="D6" s="13" t="s">
        <v>57</v>
      </c>
      <c r="E6" s="14" t="s">
        <v>5</v>
      </c>
      <c r="F6" s="14"/>
      <c r="G6" s="14" t="s">
        <v>4</v>
      </c>
      <c r="H6" s="14" t="s">
        <v>5</v>
      </c>
      <c r="I6" s="14"/>
      <c r="J6" s="14" t="s">
        <v>31</v>
      </c>
      <c r="K6" s="13" t="s">
        <v>45</v>
      </c>
      <c r="L6" s="14" t="s">
        <v>38</v>
      </c>
      <c r="M6" s="14"/>
      <c r="N6" s="14" t="s">
        <v>52</v>
      </c>
      <c r="O6" s="14"/>
      <c r="P6" s="14" t="s">
        <v>34</v>
      </c>
      <c r="Q6" s="14" t="s">
        <v>35</v>
      </c>
      <c r="R6" s="13" t="s">
        <v>58</v>
      </c>
      <c r="S6" s="14"/>
      <c r="T6" s="14" t="s">
        <v>39</v>
      </c>
    </row>
    <row r="7" spans="1:24" s="6" customFormat="1" ht="25.5" x14ac:dyDescent="0.2">
      <c r="A7" s="2"/>
      <c r="B7" s="2"/>
      <c r="C7" s="46"/>
      <c r="D7" s="46" t="s">
        <v>28</v>
      </c>
      <c r="E7" s="46" t="s">
        <v>55</v>
      </c>
      <c r="F7" s="47"/>
      <c r="G7" s="46" t="s">
        <v>27</v>
      </c>
      <c r="H7" s="46" t="s">
        <v>43</v>
      </c>
      <c r="I7" s="47"/>
      <c r="J7" s="3" t="s">
        <v>54</v>
      </c>
      <c r="K7" s="3" t="s">
        <v>46</v>
      </c>
      <c r="L7" s="46" t="s">
        <v>47</v>
      </c>
      <c r="M7" s="1"/>
      <c r="N7" s="46" t="s">
        <v>44</v>
      </c>
      <c r="O7" s="46"/>
      <c r="P7" s="3" t="s">
        <v>48</v>
      </c>
      <c r="Q7" s="3" t="s">
        <v>49</v>
      </c>
      <c r="R7" s="3" t="s">
        <v>50</v>
      </c>
      <c r="S7" s="1"/>
      <c r="T7" s="3" t="s">
        <v>51</v>
      </c>
    </row>
    <row r="8" spans="1:24" s="6" customFormat="1" x14ac:dyDescent="0.2">
      <c r="A8" s="6">
        <v>1</v>
      </c>
      <c r="B8" s="12" t="s">
        <v>8</v>
      </c>
      <c r="C8" s="11"/>
      <c r="D8" s="4"/>
      <c r="F8" s="4"/>
      <c r="G8" s="4"/>
      <c r="I8" s="4"/>
      <c r="N8" s="11"/>
      <c r="O8" s="11"/>
    </row>
    <row r="9" spans="1:24" ht="15" x14ac:dyDescent="0.25">
      <c r="A9" s="6">
        <f>+A8+1</f>
        <v>2</v>
      </c>
      <c r="B9" s="9" t="s">
        <v>8</v>
      </c>
      <c r="C9" s="51">
        <v>7</v>
      </c>
      <c r="D9" s="25">
        <v>5545457488.6787891</v>
      </c>
      <c r="E9" s="40">
        <f>+D9/$D$35</f>
        <v>0.58338223264030498</v>
      </c>
      <c r="G9" s="25">
        <v>4300371373.6731977</v>
      </c>
      <c r="H9" s="40">
        <f>+G9/$G$35</f>
        <v>0.58285685202695958</v>
      </c>
      <c r="J9" s="25">
        <f>+E9*$J$37</f>
        <v>23717380.838034675</v>
      </c>
      <c r="K9" s="25">
        <f>+H9*$K$37</f>
        <v>13215512.755121503</v>
      </c>
      <c r="L9" s="25">
        <f>SUM(J9:K9)</f>
        <v>36932893.593156174</v>
      </c>
      <c r="M9" s="25"/>
      <c r="N9" s="26">
        <v>10637302000</v>
      </c>
      <c r="O9" s="26"/>
      <c r="P9" s="21">
        <f>ROUND(J9/$N9,6)</f>
        <v>2.2300000000000002E-3</v>
      </c>
      <c r="Q9" s="21">
        <f>ROUND((K9)/$N9,6)</f>
        <v>1.242E-3</v>
      </c>
      <c r="R9" s="21">
        <f>SUM(P9:Q9)</f>
        <v>3.4720000000000003E-3</v>
      </c>
      <c r="T9" s="25">
        <f>+R9*N9-L9</f>
        <v>-181.04915617406368</v>
      </c>
      <c r="U9" s="36"/>
      <c r="V9" s="80"/>
      <c r="W9" s="39"/>
      <c r="X9" s="39"/>
    </row>
    <row r="10" spans="1:24" ht="15" x14ac:dyDescent="0.25">
      <c r="A10" s="6">
        <f>+A9+1</f>
        <v>3</v>
      </c>
      <c r="B10" s="8" t="s">
        <v>26</v>
      </c>
      <c r="D10" s="31">
        <f>SUM(D9:D9)</f>
        <v>5545457488.6787891</v>
      </c>
      <c r="E10" s="41">
        <f>+D10/$D$35</f>
        <v>0.58338223264030498</v>
      </c>
      <c r="G10" s="31">
        <f>SUM(G9:G9)</f>
        <v>4300371373.6731977</v>
      </c>
      <c r="H10" s="41">
        <f>+G10/$G$35</f>
        <v>0.58285685202695958</v>
      </c>
      <c r="J10" s="31">
        <f>SUM(J9:J9)</f>
        <v>23717380.838034675</v>
      </c>
      <c r="K10" s="31">
        <f>SUM(K9:K9)</f>
        <v>13215512.755121503</v>
      </c>
      <c r="L10" s="31">
        <f>SUM(L9:L9)</f>
        <v>36932893.593156174</v>
      </c>
      <c r="M10" s="31"/>
      <c r="N10" s="27">
        <f>SUM(N9:N9)</f>
        <v>10637302000</v>
      </c>
      <c r="O10" s="28"/>
      <c r="P10" s="22">
        <f>ROUND(J10/$N10,6)</f>
        <v>2.2300000000000002E-3</v>
      </c>
      <c r="Q10" s="22">
        <f t="shared" ref="Q10" si="0">ROUND((K10)/$N10,6)</f>
        <v>1.242E-3</v>
      </c>
      <c r="R10" s="22">
        <f>SUM(P10:Q10)</f>
        <v>3.4720000000000003E-3</v>
      </c>
      <c r="T10" s="31">
        <f>SUM(T9:T9)</f>
        <v>-181.04915617406368</v>
      </c>
      <c r="V10" s="39"/>
      <c r="W10" s="39"/>
      <c r="X10" s="39"/>
    </row>
    <row r="11" spans="1:24" ht="15" x14ac:dyDescent="0.25">
      <c r="A11" s="6">
        <f>+A10+1</f>
        <v>4</v>
      </c>
      <c r="D11" s="32"/>
      <c r="E11" s="42"/>
      <c r="G11" s="32"/>
      <c r="H11" s="42"/>
      <c r="J11" s="32"/>
      <c r="K11" s="32"/>
      <c r="L11" s="32"/>
      <c r="M11" s="32"/>
      <c r="N11" s="28"/>
      <c r="O11" s="28"/>
      <c r="P11" s="23"/>
      <c r="Q11" s="23"/>
      <c r="R11" s="23"/>
      <c r="T11" s="32"/>
      <c r="V11" s="39"/>
      <c r="W11" s="39"/>
      <c r="X11" s="39"/>
    </row>
    <row r="12" spans="1:24" ht="15" x14ac:dyDescent="0.25">
      <c r="A12" s="6">
        <f>+A11+1</f>
        <v>5</v>
      </c>
      <c r="B12" s="4" t="s">
        <v>9</v>
      </c>
      <c r="D12" s="32"/>
      <c r="E12" s="42"/>
      <c r="G12" s="32"/>
      <c r="H12" s="42"/>
      <c r="J12" s="32"/>
      <c r="K12" s="32"/>
      <c r="L12" s="32"/>
      <c r="M12" s="32"/>
      <c r="N12" s="28"/>
      <c r="O12" s="28"/>
      <c r="P12" s="23"/>
      <c r="Q12" s="23"/>
      <c r="R12" s="23"/>
      <c r="T12" s="32"/>
      <c r="V12" s="39"/>
      <c r="W12" s="39"/>
      <c r="X12" s="39"/>
    </row>
    <row r="13" spans="1:24" ht="15" x14ac:dyDescent="0.25">
      <c r="A13" s="6">
        <f t="shared" ref="A13:A37" si="1">+A12+1</f>
        <v>6</v>
      </c>
      <c r="B13" s="10" t="s">
        <v>10</v>
      </c>
      <c r="C13" s="51" t="s">
        <v>40</v>
      </c>
      <c r="D13" s="25">
        <v>1207741046.4684942</v>
      </c>
      <c r="E13" s="40">
        <f t="shared" ref="E13:E15" si="2">+D13/$D$35</f>
        <v>0.12705438091961535</v>
      </c>
      <c r="G13" s="25">
        <v>896298928.39911652</v>
      </c>
      <c r="H13" s="40">
        <f t="shared" ref="H13:H16" si="3">+G13/$G$35</f>
        <v>0.12148112953222039</v>
      </c>
      <c r="J13" s="25">
        <f t="shared" ref="J13:J15" si="4">+E13*$J$37</f>
        <v>5165390.6663784338</v>
      </c>
      <c r="K13" s="25">
        <f>+H13*$K$37</f>
        <v>2754424.8836682937</v>
      </c>
      <c r="L13" s="25">
        <f>SUM(J13:K13)</f>
        <v>7919815.5500467271</v>
      </c>
      <c r="M13" s="25"/>
      <c r="N13" s="26">
        <v>3012037000</v>
      </c>
      <c r="O13" s="26"/>
      <c r="P13" s="21">
        <f>ROUND(J13/$N13,6)</f>
        <v>1.7149999999999999E-3</v>
      </c>
      <c r="Q13" s="21">
        <f t="shared" ref="Q13:Q16" si="5">ROUND((K13)/$N13,6)</f>
        <v>9.1399999999999999E-4</v>
      </c>
      <c r="R13" s="21">
        <f t="shared" ref="R13:R15" si="6">SUM(P13:Q13)</f>
        <v>2.6289999999999998E-3</v>
      </c>
      <c r="T13" s="25">
        <f t="shared" ref="T13:T15" si="7">+R13*N13-L13</f>
        <v>-1170.2770467279479</v>
      </c>
      <c r="U13" s="36"/>
      <c r="V13" s="39"/>
      <c r="W13" s="39"/>
      <c r="X13" s="39"/>
    </row>
    <row r="14" spans="1:24" ht="15" x14ac:dyDescent="0.25">
      <c r="A14" s="6">
        <f t="shared" si="1"/>
        <v>7</v>
      </c>
      <c r="B14" s="10" t="s">
        <v>11</v>
      </c>
      <c r="C14" s="52" t="s">
        <v>41</v>
      </c>
      <c r="D14" s="25">
        <v>1116587567.8116324</v>
      </c>
      <c r="E14" s="40">
        <f t="shared" si="2"/>
        <v>0.11746503324174867</v>
      </c>
      <c r="G14" s="25">
        <v>862212385.4333781</v>
      </c>
      <c r="H14" s="40">
        <f t="shared" si="3"/>
        <v>0.11686116223099591</v>
      </c>
      <c r="J14" s="25">
        <f t="shared" si="4"/>
        <v>4775536.1282397723</v>
      </c>
      <c r="K14" s="25">
        <f>+H14*$K$37</f>
        <v>2649673.199639447</v>
      </c>
      <c r="L14" s="25">
        <f>SUM(J14:K14)</f>
        <v>7425209.3278792193</v>
      </c>
      <c r="M14" s="25"/>
      <c r="N14" s="26">
        <v>3009773000</v>
      </c>
      <c r="O14" s="26"/>
      <c r="P14" s="21">
        <f>ROUND(J14/$N14,6)</f>
        <v>1.5870000000000001E-3</v>
      </c>
      <c r="Q14" s="21">
        <f t="shared" si="5"/>
        <v>8.8000000000000003E-4</v>
      </c>
      <c r="R14" s="21">
        <f t="shared" si="6"/>
        <v>2.467E-3</v>
      </c>
      <c r="T14" s="25">
        <f t="shared" si="7"/>
        <v>-99.336879218928516</v>
      </c>
      <c r="U14" s="36"/>
      <c r="V14" s="39"/>
      <c r="W14" s="39"/>
      <c r="X14" s="39"/>
    </row>
    <row r="15" spans="1:24" ht="15" x14ac:dyDescent="0.25">
      <c r="A15" s="6">
        <f t="shared" si="1"/>
        <v>8</v>
      </c>
      <c r="B15" s="10" t="s">
        <v>12</v>
      </c>
      <c r="C15" s="52" t="s">
        <v>56</v>
      </c>
      <c r="D15" s="32">
        <v>645442293.35483623</v>
      </c>
      <c r="E15" s="42">
        <f t="shared" si="2"/>
        <v>6.7900541462366168E-2</v>
      </c>
      <c r="G15" s="32">
        <v>512367189.60346317</v>
      </c>
      <c r="H15" s="42">
        <f t="shared" si="3"/>
        <v>6.9444404044363223E-2</v>
      </c>
      <c r="J15" s="32">
        <f t="shared" si="4"/>
        <v>2760493.7395558944</v>
      </c>
      <c r="K15" s="32">
        <f>+H15*$K$37</f>
        <v>1574560.5532962731</v>
      </c>
      <c r="L15" s="32">
        <f>SUM(J15:K15)</f>
        <v>4335054.292852167</v>
      </c>
      <c r="M15" s="32"/>
      <c r="N15" s="28">
        <v>1913788000</v>
      </c>
      <c r="O15" s="28"/>
      <c r="P15" s="23">
        <f>ROUND(J15/$N15,6)</f>
        <v>1.4419999999999999E-3</v>
      </c>
      <c r="Q15" s="21">
        <f t="shared" si="5"/>
        <v>8.2299999999999995E-4</v>
      </c>
      <c r="R15" s="23">
        <f t="shared" si="6"/>
        <v>2.2649999999999997E-3</v>
      </c>
      <c r="T15" s="32">
        <f t="shared" si="7"/>
        <v>-324.47285216767341</v>
      </c>
      <c r="U15" s="36"/>
      <c r="V15" s="39"/>
      <c r="W15" s="39"/>
      <c r="X15" s="39"/>
    </row>
    <row r="16" spans="1:24" ht="15" x14ac:dyDescent="0.25">
      <c r="A16" s="6">
        <f t="shared" si="1"/>
        <v>9</v>
      </c>
      <c r="B16" s="5" t="s">
        <v>13</v>
      </c>
      <c r="D16" s="31">
        <f>SUM(D13:D15)</f>
        <v>2969770907.634963</v>
      </c>
      <c r="E16" s="41">
        <f>+D16/$D$35</f>
        <v>0.31241995562373021</v>
      </c>
      <c r="G16" s="31">
        <f>SUM(G13:G15)</f>
        <v>2270878503.4359579</v>
      </c>
      <c r="H16" s="41">
        <f t="shared" si="3"/>
        <v>0.30778669580757956</v>
      </c>
      <c r="J16" s="31">
        <f>SUM(J13:J15)</f>
        <v>12701420.5341741</v>
      </c>
      <c r="K16" s="31">
        <f>SUM(K13:K15)</f>
        <v>6978658.6366040148</v>
      </c>
      <c r="L16" s="31">
        <f>SUM(L13:L15)</f>
        <v>19680079.170778114</v>
      </c>
      <c r="M16" s="31"/>
      <c r="N16" s="27">
        <f>SUM(N13:N15)</f>
        <v>7935598000</v>
      </c>
      <c r="O16" s="28"/>
      <c r="P16" s="22">
        <f>ROUND(J16/$N16,6)</f>
        <v>1.601E-3</v>
      </c>
      <c r="Q16" s="22">
        <f t="shared" si="5"/>
        <v>8.7900000000000001E-4</v>
      </c>
      <c r="R16" s="22">
        <f>SUM(P16:Q16)</f>
        <v>2.48E-3</v>
      </c>
      <c r="T16" s="31">
        <f>SUM(T13:T15)</f>
        <v>-1594.0867781145498</v>
      </c>
      <c r="V16" s="39"/>
      <c r="W16" s="39"/>
      <c r="X16" s="39"/>
    </row>
    <row r="17" spans="1:24" ht="15" x14ac:dyDescent="0.25">
      <c r="A17" s="6">
        <f t="shared" si="1"/>
        <v>10</v>
      </c>
      <c r="D17" s="32"/>
      <c r="E17" s="42"/>
      <c r="G17" s="32"/>
      <c r="H17" s="42"/>
      <c r="J17" s="32"/>
      <c r="K17" s="32"/>
      <c r="L17" s="32"/>
      <c r="M17" s="32"/>
      <c r="N17" s="28"/>
      <c r="O17" s="28"/>
      <c r="P17" s="23"/>
      <c r="Q17" s="23"/>
      <c r="R17" s="23"/>
      <c r="T17" s="32"/>
      <c r="V17" s="39"/>
      <c r="W17" s="39"/>
      <c r="X17" s="39"/>
    </row>
    <row r="18" spans="1:24" ht="15" x14ac:dyDescent="0.25">
      <c r="A18" s="6">
        <f t="shared" si="1"/>
        <v>11</v>
      </c>
      <c r="B18" s="4" t="s">
        <v>14</v>
      </c>
      <c r="D18" s="32"/>
      <c r="E18" s="42"/>
      <c r="G18" s="32"/>
      <c r="H18" s="42"/>
      <c r="J18" s="32"/>
      <c r="K18" s="32"/>
      <c r="L18" s="32"/>
      <c r="M18" s="32"/>
      <c r="N18" s="28"/>
      <c r="O18" s="28"/>
      <c r="P18" s="23"/>
      <c r="Q18" s="23"/>
      <c r="R18" s="23"/>
      <c r="T18" s="32"/>
      <c r="V18" s="39"/>
      <c r="W18" s="39"/>
      <c r="X18" s="39"/>
    </row>
    <row r="19" spans="1:24" ht="15" x14ac:dyDescent="0.25">
      <c r="A19" s="6">
        <f t="shared" si="1"/>
        <v>12</v>
      </c>
      <c r="B19" s="10" t="s">
        <v>24</v>
      </c>
      <c r="C19" s="52" t="s">
        <v>42</v>
      </c>
      <c r="D19" s="25">
        <v>446875030.39957529</v>
      </c>
      <c r="E19" s="40">
        <f t="shared" ref="E19:E21" si="8">+D19/$D$35</f>
        <v>4.701126164575832E-2</v>
      </c>
      <c r="G19" s="25">
        <v>347606412</v>
      </c>
      <c r="H19" s="40">
        <f t="shared" ref="H19:H21" si="9">+G19/$G$35</f>
        <v>4.7113321487313731E-2</v>
      </c>
      <c r="J19" s="25">
        <f t="shared" ref="J19:J20" si="10">+E19*$J$37</f>
        <v>1911240.9218955538</v>
      </c>
      <c r="K19" s="25">
        <f>+H19*$K$37</f>
        <v>1068232.6181573919</v>
      </c>
      <c r="L19" s="25">
        <f>SUM(J19:K19)</f>
        <v>2979473.5400529457</v>
      </c>
      <c r="M19" s="25"/>
      <c r="N19" s="26">
        <v>1321833000</v>
      </c>
      <c r="O19" s="26"/>
      <c r="P19" s="21">
        <f>ROUND(J19/$N19,6)</f>
        <v>1.446E-3</v>
      </c>
      <c r="Q19" s="21">
        <f t="shared" ref="Q19:Q31" si="11">ROUND((K19)/$N19,6)</f>
        <v>8.0800000000000002E-4</v>
      </c>
      <c r="R19" s="21">
        <f t="shared" ref="R19:R20" si="12">SUM(P19:Q19)</f>
        <v>2.2539999999999999E-3</v>
      </c>
      <c r="T19" s="25">
        <f t="shared" ref="T19:T20" si="13">+R19*N19-L19</f>
        <v>-61.95805294578895</v>
      </c>
      <c r="U19" s="36"/>
      <c r="V19" s="39"/>
      <c r="W19" s="39"/>
      <c r="X19" s="39"/>
    </row>
    <row r="20" spans="1:24" ht="15" x14ac:dyDescent="0.25">
      <c r="A20" s="6">
        <f t="shared" si="1"/>
        <v>13</v>
      </c>
      <c r="B20" s="9" t="s">
        <v>15</v>
      </c>
      <c r="C20" s="51">
        <v>43</v>
      </c>
      <c r="D20" s="25">
        <v>56760978.767045557</v>
      </c>
      <c r="E20" s="40">
        <f t="shared" si="8"/>
        <v>5.971256039302408E-3</v>
      </c>
      <c r="G20" s="25">
        <v>53124070</v>
      </c>
      <c r="H20" s="40">
        <f t="shared" si="9"/>
        <v>7.2002451687357217E-3</v>
      </c>
      <c r="J20" s="25">
        <f t="shared" si="10"/>
        <v>242761.17036438739</v>
      </c>
      <c r="K20" s="25">
        <f>+H20*$K$37</f>
        <v>163256.09201730305</v>
      </c>
      <c r="L20" s="25">
        <f>SUM(J20:K20)</f>
        <v>406017.26238169044</v>
      </c>
      <c r="M20" s="25"/>
      <c r="N20" s="26">
        <v>123190000</v>
      </c>
      <c r="O20" s="26"/>
      <c r="P20" s="21">
        <f>ROUND(J20/$N20,6)</f>
        <v>1.9710000000000001E-3</v>
      </c>
      <c r="Q20" s="21">
        <f t="shared" si="11"/>
        <v>1.325E-3</v>
      </c>
      <c r="R20" s="21">
        <f t="shared" si="12"/>
        <v>3.2960000000000003E-3</v>
      </c>
      <c r="T20" s="25">
        <f t="shared" si="13"/>
        <v>16.977618309610989</v>
      </c>
      <c r="U20" s="36"/>
      <c r="V20" s="39"/>
      <c r="W20" s="39"/>
      <c r="X20" s="39"/>
    </row>
    <row r="21" spans="1:24" ht="15" x14ac:dyDescent="0.25">
      <c r="A21" s="6">
        <f t="shared" si="1"/>
        <v>14</v>
      </c>
      <c r="B21" s="8" t="s">
        <v>16</v>
      </c>
      <c r="D21" s="31">
        <f>SUM(D19:D20)</f>
        <v>503636009.16662085</v>
      </c>
      <c r="E21" s="41">
        <f t="shared" si="8"/>
        <v>5.2982517685060723E-2</v>
      </c>
      <c r="G21" s="31">
        <f>SUM(G19:G20)</f>
        <v>400730482</v>
      </c>
      <c r="H21" s="41">
        <f t="shared" si="9"/>
        <v>5.4313566656049451E-2</v>
      </c>
      <c r="J21" s="31">
        <f>SUM(J19:J20)</f>
        <v>2154002.0922599412</v>
      </c>
      <c r="K21" s="31">
        <f>SUM(K19:K20)</f>
        <v>1231488.7101746949</v>
      </c>
      <c r="L21" s="31">
        <f>SUM(L19:L20)</f>
        <v>3385490.8024346363</v>
      </c>
      <c r="M21" s="31"/>
      <c r="N21" s="27">
        <f>SUM(N19:N20)</f>
        <v>1445023000</v>
      </c>
      <c r="O21" s="28"/>
      <c r="P21" s="22">
        <f>ROUND(J21/$N21,6)</f>
        <v>1.4909999999999999E-3</v>
      </c>
      <c r="Q21" s="22">
        <f t="shared" si="11"/>
        <v>8.52E-4</v>
      </c>
      <c r="R21" s="22">
        <f>SUM(P21:Q21)</f>
        <v>2.343E-3</v>
      </c>
      <c r="T21" s="31">
        <f>SUM(T19:T20)</f>
        <v>-44.980434636177961</v>
      </c>
      <c r="V21" s="39"/>
      <c r="W21" s="39"/>
      <c r="X21" s="39"/>
    </row>
    <row r="22" spans="1:24" ht="15" x14ac:dyDescent="0.25">
      <c r="A22" s="6">
        <f t="shared" si="1"/>
        <v>15</v>
      </c>
      <c r="D22" s="19"/>
      <c r="E22" s="43"/>
      <c r="G22" s="19"/>
      <c r="H22" s="43"/>
      <c r="J22" s="19"/>
      <c r="K22" s="19"/>
      <c r="L22" s="19"/>
      <c r="M22" s="19"/>
      <c r="N22" s="29"/>
      <c r="O22" s="29"/>
      <c r="P22" s="20"/>
      <c r="Q22" s="20"/>
      <c r="R22" s="20"/>
      <c r="T22" s="19"/>
      <c r="V22" s="39"/>
      <c r="W22" s="39"/>
      <c r="X22" s="39"/>
    </row>
    <row r="23" spans="1:24" ht="15" x14ac:dyDescent="0.25">
      <c r="A23" s="6">
        <f t="shared" si="1"/>
        <v>16</v>
      </c>
      <c r="B23" s="4" t="s">
        <v>17</v>
      </c>
      <c r="C23" s="51">
        <v>40</v>
      </c>
      <c r="D23" s="31">
        <v>203194457.72693482</v>
      </c>
      <c r="E23" s="41">
        <f>+D23/$D$35</f>
        <v>2.13760607940604E-2</v>
      </c>
      <c r="G23" s="31">
        <v>182181512.15497708</v>
      </c>
      <c r="H23" s="41">
        <f>+G23/$G$35</f>
        <v>2.4692226192888495E-2</v>
      </c>
      <c r="J23" s="31">
        <f>+E23*$J$37</f>
        <v>869042.87841467874</v>
      </c>
      <c r="K23" s="31">
        <f>+H23*$K$37</f>
        <v>559863.76255103108</v>
      </c>
      <c r="L23" s="31">
        <f>SUM(J23:K23)</f>
        <v>1428906.6409657099</v>
      </c>
      <c r="M23" s="31"/>
      <c r="N23" s="27">
        <v>679072000</v>
      </c>
      <c r="O23" s="28"/>
      <c r="P23" s="22">
        <f>ROUND(J23/$N23,6)</f>
        <v>1.2800000000000001E-3</v>
      </c>
      <c r="Q23" s="22">
        <f t="shared" si="11"/>
        <v>8.2399999999999997E-4</v>
      </c>
      <c r="R23" s="22">
        <f>SUM(P23:Q23)</f>
        <v>2.104E-3</v>
      </c>
      <c r="T23" s="31">
        <f>+R23*N23-L23</f>
        <v>-139.15296571003273</v>
      </c>
      <c r="U23" s="36"/>
      <c r="V23" s="39"/>
      <c r="W23" s="39"/>
      <c r="X23" s="39"/>
    </row>
    <row r="24" spans="1:24" ht="15" x14ac:dyDescent="0.25">
      <c r="A24" s="6">
        <f t="shared" si="1"/>
        <v>17</v>
      </c>
      <c r="D24" s="19"/>
      <c r="E24" s="43"/>
      <c r="G24" s="19"/>
      <c r="H24" s="43"/>
      <c r="J24" s="19"/>
      <c r="K24" s="19"/>
      <c r="L24" s="19"/>
      <c r="M24" s="19"/>
      <c r="N24" s="29"/>
      <c r="O24" s="29"/>
      <c r="P24" s="20"/>
      <c r="Q24" s="20"/>
      <c r="R24" s="20"/>
      <c r="T24" s="19"/>
      <c r="V24" s="39"/>
      <c r="W24" s="39"/>
      <c r="X24" s="39"/>
    </row>
    <row r="25" spans="1:24" ht="15" x14ac:dyDescent="0.25">
      <c r="A25" s="6">
        <f t="shared" si="1"/>
        <v>18</v>
      </c>
      <c r="B25" s="4" t="s">
        <v>25</v>
      </c>
      <c r="C25" s="52" t="s">
        <v>32</v>
      </c>
      <c r="D25" s="31">
        <v>168505770.75160074</v>
      </c>
      <c r="E25" s="41">
        <f>+D25/$D$35</f>
        <v>1.7726810268500516E-2</v>
      </c>
      <c r="G25" s="31">
        <v>118613433.2227883</v>
      </c>
      <c r="H25" s="41">
        <f>+G25/$G$35</f>
        <v>1.6076437658288204E-2</v>
      </c>
      <c r="J25" s="31">
        <f>+E25*$J$37</f>
        <v>720682.74736237375</v>
      </c>
      <c r="K25" s="31">
        <f>+H25*$K$37</f>
        <v>364512.08592842676</v>
      </c>
      <c r="L25" s="31">
        <f>SUM(J25:K25)</f>
        <v>1085194.8332908005</v>
      </c>
      <c r="M25" s="31"/>
      <c r="N25" s="27">
        <v>656783000</v>
      </c>
      <c r="O25" s="28"/>
      <c r="P25" s="22">
        <f>ROUND(J25/$N25,6)</f>
        <v>1.0970000000000001E-3</v>
      </c>
      <c r="Q25" s="22">
        <f t="shared" si="11"/>
        <v>5.5500000000000005E-4</v>
      </c>
      <c r="R25" s="22">
        <f>SUM(P25:Q25)</f>
        <v>1.6520000000000003E-3</v>
      </c>
      <c r="T25" s="31">
        <f>+R25*N25-L25</f>
        <v>-189.31729080039077</v>
      </c>
      <c r="U25" s="36"/>
      <c r="V25" s="39"/>
      <c r="W25" s="39"/>
      <c r="X25" s="39"/>
    </row>
    <row r="26" spans="1:24" ht="15" x14ac:dyDescent="0.25">
      <c r="A26" s="6">
        <f t="shared" si="1"/>
        <v>19</v>
      </c>
      <c r="D26" s="19"/>
      <c r="E26" s="43"/>
      <c r="G26" s="19"/>
      <c r="H26" s="43"/>
      <c r="J26" s="19"/>
      <c r="K26" s="19"/>
      <c r="L26" s="19"/>
      <c r="M26" s="19"/>
      <c r="N26" s="29"/>
      <c r="O26" s="29"/>
      <c r="P26" s="20"/>
      <c r="Q26" s="20"/>
      <c r="R26" s="20"/>
      <c r="T26" s="19"/>
      <c r="V26" s="39"/>
      <c r="W26" s="39"/>
      <c r="X26" s="39"/>
    </row>
    <row r="27" spans="1:24" ht="15" x14ac:dyDescent="0.25">
      <c r="A27" s="6">
        <f t="shared" si="1"/>
        <v>20</v>
      </c>
      <c r="B27" s="4" t="s">
        <v>18</v>
      </c>
      <c r="C27" s="51" t="s">
        <v>19</v>
      </c>
      <c r="D27" s="31">
        <v>103623580.21183598</v>
      </c>
      <c r="E27" s="41">
        <f>+D27/$D$35</f>
        <v>1.0901202597184708E-2</v>
      </c>
      <c r="G27" s="31">
        <v>86896433.930976748</v>
      </c>
      <c r="H27" s="41">
        <f>+G27/$G$35</f>
        <v>1.1777629774824824E-2</v>
      </c>
      <c r="J27" s="31">
        <f>+E27*$J$37</f>
        <v>443187.94629697769</v>
      </c>
      <c r="K27" s="31">
        <f>+H27*$K$37</f>
        <v>267042.26942346542</v>
      </c>
      <c r="L27" s="31">
        <f>SUM(J27:K27)</f>
        <v>710230.21572044306</v>
      </c>
      <c r="M27" s="31"/>
      <c r="N27" s="27">
        <v>76506000</v>
      </c>
      <c r="O27" s="28"/>
      <c r="P27" s="22">
        <f>ROUND(J27/$N27,6)</f>
        <v>5.7930000000000004E-3</v>
      </c>
      <c r="Q27" s="22">
        <f t="shared" si="11"/>
        <v>3.49E-3</v>
      </c>
      <c r="R27" s="22">
        <f>SUM(P27:Q27)</f>
        <v>9.2829999999999996E-3</v>
      </c>
      <c r="T27" s="31">
        <f>+R27*N27-L27</f>
        <v>-25.017720443080179</v>
      </c>
      <c r="U27" s="36"/>
      <c r="V27" s="39"/>
      <c r="W27" s="39"/>
      <c r="X27" s="39"/>
    </row>
    <row r="28" spans="1:24" ht="15" x14ac:dyDescent="0.25">
      <c r="A28" s="6">
        <f t="shared" si="1"/>
        <v>21</v>
      </c>
      <c r="C28" s="51"/>
      <c r="D28" s="19"/>
      <c r="E28" s="43"/>
      <c r="G28" s="19"/>
      <c r="H28" s="43"/>
      <c r="J28" s="19"/>
      <c r="K28" s="19"/>
      <c r="L28" s="19"/>
      <c r="M28" s="19"/>
      <c r="N28" s="29"/>
      <c r="O28" s="29"/>
      <c r="P28" s="20"/>
      <c r="Q28" s="20"/>
      <c r="R28" s="20"/>
      <c r="T28" s="19"/>
      <c r="V28" s="39"/>
      <c r="W28" s="39"/>
      <c r="X28" s="39"/>
    </row>
    <row r="29" spans="1:24" ht="15" x14ac:dyDescent="0.25">
      <c r="A29" s="6">
        <f t="shared" si="1"/>
        <v>22</v>
      </c>
      <c r="B29" s="8" t="s">
        <v>23</v>
      </c>
      <c r="C29" s="52" t="s">
        <v>33</v>
      </c>
      <c r="D29" s="31">
        <v>8251261.5867248578</v>
      </c>
      <c r="E29" s="41">
        <f>+D29/$D$35</f>
        <v>8.6803287490525645E-4</v>
      </c>
      <c r="G29" s="31">
        <v>8616676.2544703893</v>
      </c>
      <c r="H29" s="41">
        <f>+G29/$G$35</f>
        <v>1.1678732742391581E-3</v>
      </c>
      <c r="J29" s="31">
        <f>+E29*$J$37</f>
        <v>35289.84107192661</v>
      </c>
      <c r="K29" s="31">
        <f>+H29*$K$37</f>
        <v>26479.990924700011</v>
      </c>
      <c r="L29" s="31">
        <f>SUM(J29:K29)</f>
        <v>61769.831996626621</v>
      </c>
      <c r="M29" s="31"/>
      <c r="N29" s="27">
        <v>2088697000</v>
      </c>
      <c r="O29" s="28"/>
      <c r="P29" s="22">
        <f>ROUND(J29/$N29,6)</f>
        <v>1.7E-5</v>
      </c>
      <c r="Q29" s="22">
        <f t="shared" si="11"/>
        <v>1.2999999999999999E-5</v>
      </c>
      <c r="R29" s="22">
        <f>SUM(P29:Q29)</f>
        <v>2.9999999999999997E-5</v>
      </c>
      <c r="T29" s="31">
        <f>+R29*N29-L29</f>
        <v>891.0780033733754</v>
      </c>
      <c r="U29" s="36"/>
      <c r="V29" s="39"/>
      <c r="W29" s="39"/>
      <c r="X29" s="39"/>
    </row>
    <row r="30" spans="1:24" ht="15" x14ac:dyDescent="0.25">
      <c r="A30" s="6">
        <f t="shared" si="1"/>
        <v>23</v>
      </c>
      <c r="D30" s="19"/>
      <c r="E30" s="43"/>
      <c r="G30" s="19"/>
      <c r="H30" s="43"/>
      <c r="J30" s="19"/>
      <c r="K30" s="19"/>
      <c r="L30" s="19"/>
      <c r="M30" s="19"/>
      <c r="N30" s="29"/>
      <c r="O30" s="29"/>
      <c r="P30" s="20"/>
      <c r="Q30" s="20"/>
      <c r="R30" s="20"/>
      <c r="T30" s="19"/>
      <c r="V30" s="39"/>
      <c r="W30" s="39"/>
      <c r="X30" s="39"/>
    </row>
    <row r="31" spans="1:24" ht="15.75" thickBot="1" x14ac:dyDescent="0.3">
      <c r="A31" s="6">
        <f t="shared" si="1"/>
        <v>24</v>
      </c>
      <c r="B31" s="5" t="s">
        <v>20</v>
      </c>
      <c r="D31" s="33">
        <f>SUM(D10,D16,D21,D23,D25,D27,D29)</f>
        <v>9502439475.7574692</v>
      </c>
      <c r="E31" s="44">
        <f>+D31/$D$35</f>
        <v>0.99965681248374683</v>
      </c>
      <c r="G31" s="33">
        <f>SUM(G10,G16,G21,G23,G25,G27,G29)</f>
        <v>7368288414.672368</v>
      </c>
      <c r="H31" s="44">
        <f>+G31/$G$35</f>
        <v>0.99867128139082928</v>
      </c>
      <c r="J31" s="33">
        <f>SUM(J10,J16,J21,J23,J25,J27,J29)</f>
        <v>40641006.87761467</v>
      </c>
      <c r="K31" s="33">
        <f>SUM(K10,K16,K21,K23,K25,K27,K29)</f>
        <v>22643558.210727837</v>
      </c>
      <c r="L31" s="33">
        <f>SUM(L10,L16,L21,L23,L25,L27,L29)</f>
        <v>63284565.088342503</v>
      </c>
      <c r="M31" s="33"/>
      <c r="N31" s="30">
        <f>SUM(N10,N16,N21,N23,N25,N27,N29)</f>
        <v>23518981000</v>
      </c>
      <c r="O31" s="28"/>
      <c r="P31" s="24">
        <f>ROUND(J31/$N31,6)</f>
        <v>1.7279999999999999E-3</v>
      </c>
      <c r="Q31" s="24">
        <f t="shared" si="11"/>
        <v>9.6299999999999999E-4</v>
      </c>
      <c r="R31" s="24">
        <f>SUM(P31:Q31)</f>
        <v>2.6909999999999998E-3</v>
      </c>
      <c r="T31" s="33">
        <f>SUM(T10,T16,T21,T23,T25,T27,T29)</f>
        <v>-1282.5263425049197</v>
      </c>
      <c r="V31" s="39"/>
      <c r="W31" s="39"/>
      <c r="X31" s="39"/>
    </row>
    <row r="32" spans="1:24" ht="15.75" thickTop="1" x14ac:dyDescent="0.25">
      <c r="A32" s="6">
        <f t="shared" si="1"/>
        <v>25</v>
      </c>
      <c r="D32" s="7"/>
      <c r="E32" s="45"/>
      <c r="G32" s="7"/>
      <c r="H32" s="45"/>
      <c r="J32" s="7"/>
      <c r="K32" s="7"/>
      <c r="L32" s="7"/>
      <c r="M32" s="7"/>
      <c r="N32" s="18"/>
      <c r="O32" s="28"/>
      <c r="P32" s="38"/>
      <c r="Q32" s="38"/>
      <c r="R32" s="38"/>
      <c r="T32" s="7"/>
      <c r="V32" s="39"/>
      <c r="W32" s="39"/>
      <c r="X32" s="39"/>
    </row>
    <row r="33" spans="1:24" ht="15" x14ac:dyDescent="0.25">
      <c r="A33" s="6">
        <f t="shared" si="1"/>
        <v>26</v>
      </c>
      <c r="B33" s="5" t="s">
        <v>22</v>
      </c>
      <c r="D33" s="31">
        <v>3262238.1614442412</v>
      </c>
      <c r="E33" s="41">
        <f>+D33/$D$35</f>
        <v>3.4318751625326557E-4</v>
      </c>
      <c r="G33" s="31">
        <v>9803407.9048292413</v>
      </c>
      <c r="H33" s="41">
        <f>+G33/$G$35</f>
        <v>1.3287186091708021E-3</v>
      </c>
      <c r="J33" s="31">
        <f>+E33*$J$37</f>
        <v>13952.274454776682</v>
      </c>
      <c r="K33" s="31">
        <f>+H33*$K$37</f>
        <v>30126.947408095028</v>
      </c>
      <c r="L33" s="31">
        <f>SUM(J33:K33)</f>
        <v>44079.221862871709</v>
      </c>
      <c r="M33" s="31"/>
      <c r="N33" s="27">
        <v>0</v>
      </c>
      <c r="O33" s="28"/>
      <c r="P33" s="22"/>
      <c r="Q33" s="22"/>
      <c r="R33" s="22"/>
      <c r="T33" s="31"/>
      <c r="U33" s="36"/>
      <c r="V33" s="39"/>
      <c r="W33" s="39"/>
      <c r="X33" s="39"/>
    </row>
    <row r="34" spans="1:24" ht="15" x14ac:dyDescent="0.25">
      <c r="A34" s="6">
        <f t="shared" si="1"/>
        <v>27</v>
      </c>
      <c r="D34" s="19"/>
      <c r="E34" s="43"/>
      <c r="G34" s="19"/>
      <c r="H34" s="43"/>
      <c r="J34" s="19"/>
      <c r="K34" s="19"/>
      <c r="L34" s="19"/>
      <c r="M34" s="19"/>
      <c r="N34" s="29"/>
      <c r="O34" s="29"/>
      <c r="P34" s="20"/>
      <c r="Q34" s="20"/>
      <c r="R34" s="20"/>
      <c r="T34" s="19"/>
      <c r="V34" s="39"/>
      <c r="W34" s="39"/>
      <c r="X34" s="39"/>
    </row>
    <row r="35" spans="1:24" ht="15.75" thickBot="1" x14ac:dyDescent="0.3">
      <c r="A35" s="6">
        <f t="shared" si="1"/>
        <v>28</v>
      </c>
      <c r="B35" s="5" t="s">
        <v>21</v>
      </c>
      <c r="D35" s="33">
        <f>SUM(D31,D33)</f>
        <v>9505701713.9189129</v>
      </c>
      <c r="E35" s="44">
        <f>SUM(E31,E33)</f>
        <v>1</v>
      </c>
      <c r="G35" s="33">
        <f>SUM(G31,G33)</f>
        <v>7378091822.5771971</v>
      </c>
      <c r="H35" s="44">
        <f>SUM(H31,H33)</f>
        <v>1</v>
      </c>
      <c r="J35" s="33">
        <f>SUM(J31,J33)</f>
        <v>40654959.152069449</v>
      </c>
      <c r="K35" s="33">
        <f>SUM(K31,K33)</f>
        <v>22673685.158135932</v>
      </c>
      <c r="L35" s="33">
        <f>SUM(L31,L33)</f>
        <v>63328644.310205378</v>
      </c>
      <c r="M35" s="33"/>
      <c r="N35" s="30">
        <f>SUM(N31,N33)</f>
        <v>23518981000</v>
      </c>
      <c r="O35" s="28"/>
      <c r="P35" s="24">
        <f>ROUND(J35/$N35,6)</f>
        <v>1.7290000000000001E-3</v>
      </c>
      <c r="Q35" s="24">
        <f t="shared" ref="Q35" si="14">ROUND((K35)/$N35,6)</f>
        <v>9.6400000000000001E-4</v>
      </c>
      <c r="R35" s="24">
        <f>SUM(P35:Q35)</f>
        <v>2.6930000000000001E-3</v>
      </c>
      <c r="S35" s="36"/>
      <c r="T35" s="33">
        <f>SUM(T31,T33)</f>
        <v>-1282.5263425049197</v>
      </c>
      <c r="U35" s="36"/>
      <c r="V35" s="39"/>
      <c r="W35" s="39"/>
      <c r="X35" s="39"/>
    </row>
    <row r="36" spans="1:24" ht="13.5" thickTop="1" x14ac:dyDescent="0.2">
      <c r="A36" s="6">
        <f t="shared" si="1"/>
        <v>29</v>
      </c>
      <c r="S36" s="37"/>
      <c r="U36" s="36"/>
    </row>
    <row r="37" spans="1:24" ht="13.5" thickBot="1" x14ac:dyDescent="0.25">
      <c r="A37" s="6">
        <f t="shared" si="1"/>
        <v>30</v>
      </c>
      <c r="B37" s="4" t="s">
        <v>37</v>
      </c>
      <c r="D37" s="19"/>
      <c r="G37" s="19"/>
      <c r="J37" s="35">
        <v>40654959.152069449</v>
      </c>
      <c r="K37" s="35">
        <v>22673685.158135928</v>
      </c>
      <c r="L37" s="35">
        <f>SUM(J37:K37)</f>
        <v>63328644.310205378</v>
      </c>
    </row>
    <row r="38" spans="1:24" ht="13.5" thickTop="1" x14ac:dyDescent="0.2">
      <c r="J38" s="34" t="s">
        <v>6</v>
      </c>
      <c r="K38" s="34" t="s">
        <v>7</v>
      </c>
    </row>
  </sheetData>
  <mergeCells count="3">
    <mergeCell ref="A1:R1"/>
    <mergeCell ref="A2:R2"/>
    <mergeCell ref="A3:R3"/>
  </mergeCells>
  <printOptions horizontalCentered="1"/>
  <pageMargins left="0.7" right="0.7" top="0.75" bottom="0.75" header="0.3" footer="0.3"/>
  <pageSetup scale="60" fitToHeight="0" orientation="landscape" r:id="rId1"/>
  <headerFooter alignWithMargins="0">
    <oddFooter>&amp;L&amp;F
&amp;A&amp;R&amp;D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C262D2D393DA745AE415C1C1D5F0DF4" ma:contentTypeVersion="76" ma:contentTypeDescription="" ma:contentTypeScope="" ma:versionID="65d3031264a7e2a7fa293f0aad4370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2018-08-09T07:00:00+00:00</OpenedDate>
    <SignificantOrder xmlns="dc463f71-b30c-4ab2-9473-d307f9d35888">false</SignificantOrder>
    <Date1 xmlns="dc463f71-b30c-4ab2-9473-d307f9d35888">2018-08-21T07:00:00+00:00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180679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39990A4-4CCA-49F1-BDC6-E5194BB0BA4B}"/>
</file>

<file path=customXml/itemProps2.xml><?xml version="1.0" encoding="utf-8"?>
<ds:datastoreItem xmlns:ds="http://schemas.openxmlformats.org/officeDocument/2006/customXml" ds:itemID="{6C169D1F-CB60-4AF8-BF1E-60131C765D13}"/>
</file>

<file path=customXml/itemProps3.xml><?xml version="1.0" encoding="utf-8"?>
<ds:datastoreItem xmlns:ds="http://schemas.openxmlformats.org/officeDocument/2006/customXml" ds:itemID="{62BCB573-56F4-4906-834D-A27A33A4E9CC}"/>
</file>

<file path=customXml/itemProps4.xml><?xml version="1.0" encoding="utf-8"?>
<ds:datastoreItem xmlns:ds="http://schemas.openxmlformats.org/officeDocument/2006/customXml" ds:itemID="{8A1C7164-9AD6-43BE-9EC7-2E5337042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Docket UE180679 Sch 449-459 RD</vt:lpstr>
      <vt:lpstr>UE-180257 Compliance WP======&gt;</vt:lpstr>
      <vt:lpstr>UE-180257 Prop Tax Rate Design</vt:lpstr>
      <vt:lpstr>'Docket UE180679 Sch 449-459 RD'!Print_Area</vt:lpstr>
      <vt:lpstr>'UE-180257 Prop Tax Rate Design'!Print_Area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2018-08-16T16:30:21Z</cp:lastPrinted>
  <dcterms:created xsi:type="dcterms:W3CDTF">2014-04-04T17:25:38Z</dcterms:created>
  <dcterms:modified xsi:type="dcterms:W3CDTF">2018-08-20T17:55:22Z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0x0101006E56B4D1795A2E4DB2F0B01679ED314A006C262D2D393DA745AE415C1C1D5F0DF4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