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WA Sch 92 LIRAP Rate Adjustmetnt Filing\"/>
    </mc:Choice>
  </mc:AlternateContent>
  <bookViews>
    <workbookView xWindow="0" yWindow="0" windowWidth="25200" windowHeight="12555" activeTab="2"/>
  </bookViews>
  <sheets>
    <sheet name=" Elec" sheetId="2" r:id="rId1"/>
    <sheet name="E Rev Conv" sheetId="3" r:id="rId2"/>
    <sheet name="Natural Gas" sheetId="1" r:id="rId3"/>
    <sheet name="G Rev Conv" sheetId="4" r:id="rId4"/>
    <sheet name="Forecast BD" sheetId="5" r:id="rId5"/>
    <sheet name="Prior Balances" sheetId="7" r:id="rId6"/>
  </sheets>
  <externalReferences>
    <externalReference r:id="rId7"/>
    <externalReference r:id="rId8"/>
  </externalReferences>
  <definedNames>
    <definedName name="Base1_Billing2" localSheetId="0">'[1]Pres &amp; Prop Rev'!$N$8</definedName>
    <definedName name="Base1_Billing2">'[2]Pres &amp; Prop Rev'!$O$8</definedName>
    <definedName name="_xlnm.Print_Area" localSheetId="0">' Elec'!$B$5:$P$26</definedName>
    <definedName name="_xlnm.Print_Area" localSheetId="2">'Natural Gas'!$B$6:$P$22</definedName>
    <definedName name="SL_RateIncr">'[1]St Lts'!$AD$1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2" l="1"/>
  <c r="K34" i="2"/>
  <c r="N30" i="2" l="1"/>
  <c r="L30" i="2"/>
  <c r="K30" i="2"/>
  <c r="L17" i="1" l="1"/>
  <c r="K17" i="1"/>
  <c r="S14" i="1" l="1"/>
  <c r="S15" i="1"/>
  <c r="S16" i="1"/>
  <c r="S17" i="1"/>
  <c r="S18" i="1"/>
  <c r="S19" i="1"/>
  <c r="S13" i="1"/>
  <c r="N21" i="1"/>
  <c r="S14" i="2"/>
  <c r="S16" i="2"/>
  <c r="S18" i="2"/>
  <c r="S20" i="2"/>
  <c r="S22" i="2"/>
  <c r="S24" i="2"/>
  <c r="S12" i="2"/>
  <c r="R12" i="2"/>
  <c r="N12" i="2"/>
  <c r="G12" i="2"/>
  <c r="G22" i="2"/>
  <c r="R22" i="2"/>
  <c r="R20" i="2"/>
  <c r="R18" i="2"/>
  <c r="R16" i="2"/>
  <c r="R14" i="2"/>
  <c r="I12" i="2" l="1"/>
  <c r="L36" i="1" l="1"/>
  <c r="K40" i="2"/>
  <c r="H24" i="7"/>
  <c r="C24" i="7"/>
  <c r="B34" i="7"/>
  <c r="W32" i="7"/>
  <c r="P32" i="7"/>
  <c r="H32" i="7"/>
  <c r="I32" i="7" s="1"/>
  <c r="C32" i="7"/>
  <c r="D32" i="7" s="1"/>
  <c r="W31" i="7"/>
  <c r="P31" i="7"/>
  <c r="H31" i="7"/>
  <c r="C31" i="7"/>
  <c r="W30" i="7"/>
  <c r="P30" i="7"/>
  <c r="H30" i="7"/>
  <c r="C30" i="7"/>
  <c r="W29" i="7"/>
  <c r="P29" i="7"/>
  <c r="H29" i="7"/>
  <c r="C29" i="7"/>
  <c r="W28" i="7"/>
  <c r="P28" i="7"/>
  <c r="H28" i="7"/>
  <c r="C28" i="7"/>
  <c r="W27" i="7"/>
  <c r="P27" i="7"/>
  <c r="H27" i="7"/>
  <c r="C27" i="7"/>
  <c r="W26" i="7"/>
  <c r="P26" i="7"/>
  <c r="H26" i="7"/>
  <c r="C26" i="7"/>
  <c r="W25" i="7"/>
  <c r="P25" i="7"/>
  <c r="H25" i="7"/>
  <c r="C25" i="7"/>
  <c r="W24" i="7"/>
  <c r="X24" i="7" s="1"/>
  <c r="X25" i="7" s="1"/>
  <c r="X26" i="7" s="1"/>
  <c r="X27" i="7" s="1"/>
  <c r="X28" i="7" s="1"/>
  <c r="X29" i="7" s="1"/>
  <c r="X30" i="7" s="1"/>
  <c r="X31" i="7" s="1"/>
  <c r="X32" i="7" s="1"/>
  <c r="P24" i="7"/>
  <c r="Q24" i="7" s="1"/>
  <c r="W21" i="7"/>
  <c r="P21" i="7"/>
  <c r="W20" i="7"/>
  <c r="P20" i="7"/>
  <c r="W19" i="7"/>
  <c r="P19" i="7"/>
  <c r="W18" i="7"/>
  <c r="P18" i="7"/>
  <c r="W17" i="7"/>
  <c r="P17" i="7"/>
  <c r="W16" i="7"/>
  <c r="P16" i="7"/>
  <c r="W15" i="7"/>
  <c r="P15" i="7"/>
  <c r="W14" i="7"/>
  <c r="P14" i="7"/>
  <c r="W13" i="7"/>
  <c r="P13" i="7"/>
  <c r="W12" i="7"/>
  <c r="P12" i="7"/>
  <c r="W11" i="7"/>
  <c r="P11" i="7"/>
  <c r="H11" i="7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C11" i="7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W10" i="7"/>
  <c r="X10" i="7" s="1"/>
  <c r="X11" i="7" s="1"/>
  <c r="X12" i="7" s="1"/>
  <c r="X13" i="7" s="1"/>
  <c r="X14" i="7" s="1"/>
  <c r="X15" i="7" s="1"/>
  <c r="X16" i="7" s="1"/>
  <c r="X17" i="7" s="1"/>
  <c r="X18" i="7" s="1"/>
  <c r="X19" i="7" s="1"/>
  <c r="X20" i="7" s="1"/>
  <c r="X21" i="7" s="1"/>
  <c r="P10" i="7"/>
  <c r="Q10" i="7" s="1"/>
  <c r="H10" i="7"/>
  <c r="C10" i="7"/>
  <c r="W9" i="7"/>
  <c r="P9" i="7"/>
  <c r="C9" i="7"/>
  <c r="Q25" i="7" l="1"/>
  <c r="Q26" i="7" s="1"/>
  <c r="Q27" i="7" s="1"/>
  <c r="Q28" i="7" s="1"/>
  <c r="Q29" i="7" s="1"/>
  <c r="Q30" i="7" s="1"/>
  <c r="Q31" i="7" s="1"/>
  <c r="Q32" i="7" s="1"/>
  <c r="D21" i="7"/>
  <c r="Q12" i="7"/>
  <c r="Q13" i="7" s="1"/>
  <c r="Q14" i="7" s="1"/>
  <c r="Q15" i="7" s="1"/>
  <c r="Q16" i="7" s="1"/>
  <c r="Q17" i="7" s="1"/>
  <c r="Q18" i="7" s="1"/>
  <c r="Q19" i="7" s="1"/>
  <c r="Q20" i="7" s="1"/>
  <c r="Q21" i="7" s="1"/>
  <c r="G34" i="7"/>
  <c r="I21" i="7"/>
  <c r="Q11" i="7"/>
  <c r="G13" i="1" l="1"/>
  <c r="L29" i="1"/>
  <c r="C23" i="4" l="1"/>
  <c r="C25" i="4" s="1"/>
  <c r="C29" i="4" s="1"/>
  <c r="D14" i="1" l="1"/>
  <c r="N29" i="5"/>
  <c r="C30" i="1" l="1"/>
  <c r="H17" i="1" s="1"/>
  <c r="U12" i="2" l="1"/>
  <c r="F22" i="2" l="1"/>
  <c r="U22" i="2" l="1"/>
  <c r="U14" i="2"/>
  <c r="U16" i="2"/>
  <c r="U18" i="2"/>
  <c r="U20" i="2"/>
  <c r="U13" i="1"/>
  <c r="U14" i="1"/>
  <c r="U15" i="1"/>
  <c r="U16" i="1"/>
  <c r="U17" i="1"/>
  <c r="G31" i="2" l="1"/>
  <c r="C26" i="5" l="1"/>
  <c r="D26" i="5"/>
  <c r="E26" i="5"/>
  <c r="F26" i="5"/>
  <c r="G26" i="5"/>
  <c r="H26" i="5"/>
  <c r="I26" i="5"/>
  <c r="J26" i="5"/>
  <c r="K26" i="5"/>
  <c r="L26" i="5"/>
  <c r="M26" i="5"/>
  <c r="B26" i="5"/>
  <c r="N22" i="5"/>
  <c r="G15" i="2" l="1"/>
  <c r="N28" i="5" l="1"/>
  <c r="N30" i="5"/>
  <c r="D15" i="1" s="1"/>
  <c r="N31" i="5"/>
  <c r="D16" i="1" s="1"/>
  <c r="N32" i="5"/>
  <c r="D17" i="1" s="1"/>
  <c r="N33" i="5"/>
  <c r="D18" i="1" s="1"/>
  <c r="N27" i="5"/>
  <c r="N34" i="5" l="1"/>
  <c r="D13" i="1"/>
  <c r="F13" i="1" s="1"/>
  <c r="N12" i="5"/>
  <c r="N13" i="5"/>
  <c r="N14" i="5"/>
  <c r="N15" i="5"/>
  <c r="N16" i="5"/>
  <c r="N17" i="5"/>
  <c r="N18" i="5"/>
  <c r="N19" i="5"/>
  <c r="D22" i="2" s="1"/>
  <c r="N11" i="5"/>
  <c r="D14" i="2" l="1"/>
  <c r="D16" i="2"/>
  <c r="D20" i="2"/>
  <c r="N20" i="5"/>
  <c r="N23" i="5" s="1"/>
  <c r="D12" i="2"/>
  <c r="F12" i="2" s="1"/>
  <c r="D18" i="2"/>
  <c r="G26" i="1" l="1"/>
  <c r="R24" i="2" l="1"/>
  <c r="R19" i="1"/>
  <c r="F20" i="2" l="1"/>
  <c r="F18" i="2"/>
  <c r="F16" i="2"/>
  <c r="F14" i="2"/>
  <c r="G20" i="2" l="1"/>
  <c r="G14" i="2"/>
  <c r="G16" i="2"/>
  <c r="G18" i="2"/>
  <c r="H22" i="2"/>
  <c r="F24" i="2"/>
  <c r="D24" i="2"/>
  <c r="H16" i="2" l="1"/>
  <c r="K16" i="2"/>
  <c r="L16" i="2" s="1"/>
  <c r="K12" i="2"/>
  <c r="L12" i="2" s="1"/>
  <c r="I16" i="2"/>
  <c r="I22" i="2"/>
  <c r="K18" i="2"/>
  <c r="L18" i="2" s="1"/>
  <c r="F26" i="2"/>
  <c r="K22" i="2"/>
  <c r="L22" i="2" s="1"/>
  <c r="K20" i="2"/>
  <c r="L20" i="2" s="1"/>
  <c r="K14" i="2"/>
  <c r="L14" i="2" s="1"/>
  <c r="H18" i="2"/>
  <c r="H20" i="2"/>
  <c r="H14" i="2"/>
  <c r="H12" i="2"/>
  <c r="G24" i="2"/>
  <c r="N16" i="2" l="1"/>
  <c r="G26" i="2"/>
  <c r="G27" i="2" s="1"/>
  <c r="O16" i="2"/>
  <c r="P16" i="2" s="1"/>
  <c r="O22" i="2"/>
  <c r="P22" i="2" s="1"/>
  <c r="I20" i="2"/>
  <c r="O20" i="2" s="1"/>
  <c r="P20" i="2" s="1"/>
  <c r="N20" i="2"/>
  <c r="I18" i="2"/>
  <c r="O18" i="2" s="1"/>
  <c r="P18" i="2" s="1"/>
  <c r="N18" i="2"/>
  <c r="N22" i="2"/>
  <c r="N14" i="2"/>
  <c r="I14" i="2"/>
  <c r="O14" i="2" s="1"/>
  <c r="P14" i="2" s="1"/>
  <c r="O12" i="2"/>
  <c r="P12" i="2" s="1"/>
  <c r="K24" i="2"/>
  <c r="K26" i="2" s="1"/>
  <c r="H24" i="2"/>
  <c r="H26" i="2" s="1"/>
  <c r="K36" i="2" l="1"/>
  <c r="L36" i="2" s="1"/>
  <c r="N24" i="2"/>
  <c r="F18" i="1"/>
  <c r="F17" i="1"/>
  <c r="G17" i="1" s="1"/>
  <c r="F16" i="1"/>
  <c r="F15" i="1"/>
  <c r="F14" i="1"/>
  <c r="D19" i="1"/>
  <c r="N26" i="2" l="1"/>
  <c r="G18" i="1"/>
  <c r="G16" i="1"/>
  <c r="G15" i="1"/>
  <c r="G14" i="1"/>
  <c r="I17" i="1"/>
  <c r="H18" i="1" l="1"/>
  <c r="H15" i="1"/>
  <c r="H16" i="1"/>
  <c r="H14" i="1"/>
  <c r="H13" i="1"/>
  <c r="I13" i="1" s="1"/>
  <c r="G19" i="1"/>
  <c r="F19" i="1"/>
  <c r="I15" i="1" l="1"/>
  <c r="I14" i="1"/>
  <c r="I16" i="1"/>
  <c r="F21" i="1"/>
  <c r="L25" i="1" s="1"/>
  <c r="K16" i="1"/>
  <c r="K14" i="1"/>
  <c r="K15" i="1"/>
  <c r="K13" i="1"/>
  <c r="N13" i="1" s="1"/>
  <c r="K18" i="1"/>
  <c r="N18" i="1" s="1"/>
  <c r="G21" i="1"/>
  <c r="O21" i="1" s="1"/>
  <c r="H19" i="1"/>
  <c r="H21" i="1" s="1"/>
  <c r="G22" i="1" l="1"/>
  <c r="N14" i="1"/>
  <c r="L14" i="1"/>
  <c r="O14" i="1" s="1"/>
  <c r="P14" i="1" s="1"/>
  <c r="N17" i="1"/>
  <c r="O17" i="1"/>
  <c r="P17" i="1" s="1"/>
  <c r="L13" i="1"/>
  <c r="O13" i="1" s="1"/>
  <c r="P13" i="1" s="1"/>
  <c r="L30" i="1" s="1"/>
  <c r="K19" i="1"/>
  <c r="N16" i="1"/>
  <c r="L16" i="1"/>
  <c r="O16" i="1" s="1"/>
  <c r="P16" i="1" s="1"/>
  <c r="N15" i="1"/>
  <c r="L15" i="1"/>
  <c r="O15" i="1" s="1"/>
  <c r="P15" i="1" s="1"/>
  <c r="L31" i="1" l="1"/>
  <c r="N31" i="1" s="1"/>
  <c r="N19" i="1"/>
</calcChain>
</file>

<file path=xl/comments1.xml><?xml version="1.0" encoding="utf-8"?>
<comments xmlns="http://schemas.openxmlformats.org/spreadsheetml/2006/main">
  <authors>
    <author>Joe Miller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Present Billed Revenue from 2017 GRC plus the REC Revenue Rebate Adjustment effective 7.1.17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First two blocks only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2017 GRC (UE-170485) Base Revenue</t>
        </r>
      </text>
    </comment>
  </commentList>
</comments>
</file>

<file path=xl/comments2.xml><?xml version="1.0" encoding="utf-8"?>
<comments xmlns="http://schemas.openxmlformats.org/spreadsheetml/2006/main">
  <authors>
    <author>Joe Miller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Last Approved GRC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Set at 1% per 2014 GRC Settlement Agreement
</t>
        </r>
      </text>
    </comment>
  </commentList>
</comments>
</file>

<file path=xl/sharedStrings.xml><?xml version="1.0" encoding="utf-8"?>
<sst xmlns="http://schemas.openxmlformats.org/spreadsheetml/2006/main" count="241" uniqueCount="134">
  <si>
    <t xml:space="preserve">Present </t>
  </si>
  <si>
    <t>Present</t>
  </si>
  <si>
    <t>Increased</t>
  </si>
  <si>
    <t>Proposed</t>
  </si>
  <si>
    <t>Type of</t>
  </si>
  <si>
    <t>Schedule</t>
  </si>
  <si>
    <t xml:space="preserve">Billing </t>
  </si>
  <si>
    <t xml:space="preserve">LIRAP </t>
  </si>
  <si>
    <t>LIRAP</t>
  </si>
  <si>
    <t>Service</t>
  </si>
  <si>
    <t>Number</t>
  </si>
  <si>
    <t>Determinants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</si>
  <si>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</si>
  <si>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</si>
  <si>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</si>
  <si>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</si>
  <si>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</si>
  <si>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</si>
  <si>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</si>
  <si>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</si>
  <si>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</si>
  <si>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</si>
  <si>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General Service</t>
  </si>
  <si>
    <t>Large General Service</t>
  </si>
  <si>
    <t>111/112</t>
  </si>
  <si>
    <t>Large General Svc.-High Annual Load Factor</t>
  </si>
  <si>
    <t>121/122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</si>
  <si>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</si>
  <si>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</si>
  <si>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</si>
  <si>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</si>
  <si>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</si>
  <si>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</si>
  <si>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Total</t>
  </si>
  <si>
    <t xml:space="preserve">Proposed </t>
  </si>
  <si>
    <t>Billing</t>
  </si>
  <si>
    <t>Increase</t>
  </si>
  <si>
    <t>Residential</t>
  </si>
  <si>
    <t>11/12</t>
  </si>
  <si>
    <t>21/22</t>
  </si>
  <si>
    <t>Extra Large General Service</t>
  </si>
  <si>
    <t>Pumping Service</t>
  </si>
  <si>
    <t>30/31/32</t>
  </si>
  <si>
    <t>Street &amp; Area Lights</t>
  </si>
  <si>
    <t>41-48</t>
  </si>
  <si>
    <t xml:space="preserve">Incremental </t>
  </si>
  <si>
    <t>Change</t>
  </si>
  <si>
    <t>(i)</t>
  </si>
  <si>
    <t>change</t>
  </si>
  <si>
    <t>Present Bill</t>
  </si>
  <si>
    <t>Proposed Bill</t>
  </si>
  <si>
    <t>Bill Change</t>
  </si>
  <si>
    <t>Billed</t>
  </si>
  <si>
    <t>Present Street &amp; Area Light Revenue</t>
  </si>
  <si>
    <t>Net Funding Increase</t>
  </si>
  <si>
    <t>Revenue Conversion Factor</t>
  </si>
  <si>
    <t>AVISTA UTILITIES</t>
  </si>
  <si>
    <t>Washington - Electric System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</si>
  <si>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</si>
  <si>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</si>
  <si>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</si>
  <si>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</si>
  <si>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</si>
  <si>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</si>
  <si>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</si>
  <si>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</si>
  <si>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</si>
  <si>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Franchise Fees</t>
  </si>
  <si>
    <t xml:space="preserve">    Total Expense</t>
  </si>
  <si>
    <t>Net Operating Income Before FIT</t>
  </si>
  <si>
    <t>REVENUE CONVERSION FACTOR</t>
  </si>
  <si>
    <t xml:space="preserve">  Uncollectibles  </t>
  </si>
  <si>
    <t xml:space="preserve">  Commission Fees </t>
  </si>
  <si>
    <t xml:space="preserve">  Washington Excise Tax  </t>
  </si>
  <si>
    <t xml:space="preserve">  Franchise Fees  (City of Millwood Expired in 2004)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</si>
  <si>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</si>
  <si>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</si>
  <si>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</si>
  <si>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</si>
  <si>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</si>
  <si>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</si>
  <si>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</si>
  <si>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</si>
  <si>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</si>
  <si>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WA101</t>
  </si>
  <si>
    <t>WA111</t>
  </si>
  <si>
    <t>WA121</t>
  </si>
  <si>
    <t>WA132</t>
  </si>
  <si>
    <t>WA146</t>
  </si>
  <si>
    <t>WA148</t>
  </si>
  <si>
    <t>Forecasted</t>
  </si>
  <si>
    <t>Net Funding</t>
  </si>
  <si>
    <t>3rd Block Schedule 25</t>
  </si>
  <si>
    <t>938 kWh's</t>
  </si>
  <si>
    <t>65 Therms</t>
  </si>
  <si>
    <t>WA025 (3rd Block)</t>
  </si>
  <si>
    <t xml:space="preserve">Prior LIRAP </t>
  </si>
  <si>
    <t>Year</t>
  </si>
  <si>
    <t>True-up Balance</t>
  </si>
  <si>
    <t>True-up</t>
  </si>
  <si>
    <t>Prior LIRAP Year True-up Balance</t>
  </si>
  <si>
    <t>LIRAP Funding</t>
  </si>
  <si>
    <t>(j)</t>
  </si>
  <si>
    <t>(k)</t>
  </si>
  <si>
    <t>(l)</t>
  </si>
  <si>
    <t>(m)</t>
  </si>
  <si>
    <t xml:space="preserve"> </t>
  </si>
  <si>
    <t>101/102</t>
  </si>
  <si>
    <t>1/2</t>
  </si>
  <si>
    <t>Electric</t>
  </si>
  <si>
    <t>Sch 92</t>
  </si>
  <si>
    <t>Prior Year True-up Balance</t>
  </si>
  <si>
    <t>GL/Database Balance</t>
  </si>
  <si>
    <t>Annual Budget Balance</t>
  </si>
  <si>
    <t>Over Collected</t>
  </si>
  <si>
    <t>Natural Gas</t>
  </si>
  <si>
    <t>Sch 192</t>
  </si>
  <si>
    <t>Under Collected</t>
  </si>
  <si>
    <t>Under-collected</t>
  </si>
  <si>
    <t>Over-collected</t>
  </si>
  <si>
    <t>Schedule 146 Calculation</t>
  </si>
  <si>
    <t>Net Funding Increase (101 - 132)</t>
  </si>
  <si>
    <t>Proposed LIRAP Revenue</t>
  </si>
  <si>
    <t>WA112</t>
  </si>
  <si>
    <t>Base Revenue (UG-170485)</t>
  </si>
  <si>
    <t>TWELVE MONTHS ENDED DECEMBER 31, 2016</t>
  </si>
  <si>
    <t xml:space="preserve">  Federal Income Tax @ 21%</t>
  </si>
  <si>
    <t>Source:  UE-170485</t>
  </si>
  <si>
    <t>WASHINGTON NATURAL GAS</t>
  </si>
  <si>
    <t>From UG-170486</t>
  </si>
  <si>
    <t>Tariff</t>
  </si>
  <si>
    <t>SNAP RDP</t>
  </si>
  <si>
    <t>RR RDP</t>
  </si>
  <si>
    <t>Cum LIRAP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</si>
</sst>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_(&quot;$&quot;* #,##0_);_(&quot;$&quot;* \(#,##0\);_(&quot;$&quot;* &quot;-&quot;??_);_(@_)"/>
    <numFmt numFmtId="167" formatCode="0.0%"/>
    <numFmt numFmtId="168" formatCode="_(&quot;$&quot;* #,##0.000000_);_(&quot;$&quot;* \(#,##0.000000\);_(&quot;$&quot;* &quot;-&quot;??_);_(@_)"/>
    <numFmt numFmtId="169" formatCode="0.000000"/>
    <numFmt numFmtId="170" formatCode="0.00000"/>
    <numFmt numFmtId="171" formatCode="mmm\ yy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12"/>
      <name val="Times New Roman"/>
      <family val="1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quotePrefix="1" applyFont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166" fontId="0" fillId="0" borderId="0" xfId="2" applyNumberFormat="1" applyFont="1"/>
    <xf numFmtId="166" fontId="0" fillId="0" borderId="0" xfId="0" applyNumberFormat="1"/>
    <xf numFmtId="165" fontId="2" fillId="0" borderId="0" xfId="2" applyNumberFormat="1" applyFont="1"/>
    <xf numFmtId="0" fontId="1" fillId="0" borderId="0" xfId="0" applyFont="1" applyAlignment="1">
      <alignment wrapText="1"/>
    </xf>
    <xf numFmtId="164" fontId="3" fillId="0" borderId="0" xfId="1" applyNumberFormat="1" applyFont="1"/>
    <xf numFmtId="166" fontId="3" fillId="0" borderId="0" xfId="2" applyNumberFormat="1" applyFont="1"/>
    <xf numFmtId="166" fontId="3" fillId="0" borderId="0" xfId="0" applyNumberFormat="1" applyFont="1"/>
    <xf numFmtId="0" fontId="1" fillId="0" borderId="0" xfId="0" applyFont="1" applyAlignment="1">
      <alignment horizontal="left" indent="3"/>
    </xf>
    <xf numFmtId="10" fontId="0" fillId="0" borderId="0" xfId="3" applyNumberFormat="1" applyFont="1"/>
    <xf numFmtId="37" fontId="0" fillId="0" borderId="0" xfId="0" applyNumberFormat="1"/>
    <xf numFmtId="165" fontId="0" fillId="0" borderId="0" xfId="0" applyNumberFormat="1"/>
    <xf numFmtId="16" fontId="1" fillId="0" borderId="0" xfId="0" quotePrefix="1" applyNumberFormat="1" applyFont="1" applyAlignment="1">
      <alignment horizontal="center"/>
    </xf>
    <xf numFmtId="0" fontId="2" fillId="0" borderId="0" xfId="0" applyFont="1"/>
    <xf numFmtId="10" fontId="2" fillId="0" borderId="0" xfId="3" applyNumberFormat="1" applyFont="1"/>
    <xf numFmtId="167" fontId="0" fillId="0" borderId="0" xfId="3" applyNumberFormat="1" applyFon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44" fontId="0" fillId="0" borderId="0" xfId="0" applyNumberFormat="1"/>
    <xf numFmtId="166" fontId="6" fillId="0" borderId="0" xfId="2" applyNumberFormat="1" applyFont="1"/>
    <xf numFmtId="168" fontId="0" fillId="0" borderId="0" xfId="2" applyNumberFormat="1" applyFont="1"/>
    <xf numFmtId="0" fontId="7" fillId="0" borderId="0" xfId="4" applyFont="1" applyAlignment="1">
      <alignment horizontal="centerContinuous"/>
    </xf>
    <xf numFmtId="0" fontId="8" fillId="0" borderId="0" xfId="4" applyFont="1" applyAlignment="1">
      <alignment horizontal="centerContinuous"/>
    </xf>
    <xf numFmtId="0" fontId="1" fillId="0" borderId="0" xfId="4"/>
    <xf numFmtId="0" fontId="7" fillId="0" borderId="0" xfId="4" applyFont="1" applyAlignment="1">
      <alignment horizontal="center"/>
    </xf>
    <xf numFmtId="0" fontId="8" fillId="0" borderId="0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7" fillId="0" borderId="0" xfId="4" applyFont="1"/>
    <xf numFmtId="169" fontId="10" fillId="0" borderId="0" xfId="4" applyNumberFormat="1" applyFont="1"/>
    <xf numFmtId="169" fontId="7" fillId="0" borderId="0" xfId="4" applyNumberFormat="1" applyFont="1"/>
    <xf numFmtId="169" fontId="9" fillId="0" borderId="0" xfId="4" applyNumberFormat="1" applyFont="1"/>
    <xf numFmtId="169" fontId="10" fillId="0" borderId="0" xfId="5" applyNumberFormat="1" applyFont="1"/>
    <xf numFmtId="169" fontId="10" fillId="0" borderId="0" xfId="4" applyNumberFormat="1" applyFont="1" applyBorder="1"/>
    <xf numFmtId="169" fontId="10" fillId="0" borderId="2" xfId="4" applyNumberFormat="1" applyFont="1" applyBorder="1"/>
    <xf numFmtId="10" fontId="11" fillId="0" borderId="0" xfId="4" applyNumberFormat="1" applyFont="1"/>
    <xf numFmtId="169" fontId="10" fillId="0" borderId="1" xfId="4" applyNumberFormat="1" applyFont="1" applyBorder="1"/>
    <xf numFmtId="170" fontId="10" fillId="0" borderId="3" xfId="4" applyNumberFormat="1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169" fontId="7" fillId="0" borderId="0" xfId="4" applyNumberFormat="1" applyFont="1" applyAlignment="1">
      <alignment horizontal="center"/>
    </xf>
    <xf numFmtId="14" fontId="7" fillId="0" borderId="0" xfId="4" applyNumberFormat="1" applyFont="1"/>
    <xf numFmtId="169" fontId="7" fillId="0" borderId="0" xfId="4" applyNumberFormat="1" applyFont="1" applyAlignment="1">
      <alignment horizontal="right"/>
    </xf>
    <xf numFmtId="169" fontId="7" fillId="0" borderId="0" xfId="4" applyNumberFormat="1" applyFont="1" applyAlignment="1"/>
    <xf numFmtId="0" fontId="13" fillId="0" borderId="0" xfId="4" applyFont="1" applyBorder="1" applyAlignment="1">
      <alignment horizontal="center"/>
    </xf>
    <xf numFmtId="169" fontId="14" fillId="0" borderId="0" xfId="4" applyNumberFormat="1" applyFont="1" applyAlignment="1">
      <alignment horizontal="center"/>
    </xf>
    <xf numFmtId="169" fontId="13" fillId="0" borderId="0" xfId="4" applyNumberFormat="1" applyFont="1" applyFill="1" applyAlignment="1">
      <alignment horizontal="center"/>
    </xf>
    <xf numFmtId="0" fontId="13" fillId="0" borderId="1" xfId="4" applyFont="1" applyBorder="1" applyAlignment="1">
      <alignment horizontal="center"/>
    </xf>
    <xf numFmtId="169" fontId="15" fillId="0" borderId="0" xfId="4" applyNumberFormat="1" applyFont="1"/>
    <xf numFmtId="169" fontId="9" fillId="0" borderId="2" xfId="4" applyNumberFormat="1" applyFont="1" applyBorder="1"/>
    <xf numFmtId="171" fontId="2" fillId="0" borderId="0" xfId="0" applyNumberFormat="1" applyFont="1" applyFill="1">
      <alignment readingOrder="1"/>
    </xf>
    <xf numFmtId="164" fontId="0" fillId="0" borderId="0" xfId="0" applyNumberFormat="1"/>
    <xf numFmtId="0" fontId="1" fillId="2" borderId="0" xfId="4" applyFont="1" applyFill="1" applyAlignment="1">
      <alignment horizontal="left" indent="1"/>
    </xf>
    <xf numFmtId="170" fontId="0" fillId="0" borderId="0" xfId="0" applyNumberFormat="1"/>
    <xf numFmtId="168" fontId="0" fillId="0" borderId="0" xfId="0" applyNumberFormat="1"/>
    <xf numFmtId="44" fontId="0" fillId="0" borderId="0" xfId="2" applyFont="1" applyFill="1"/>
    <xf numFmtId="0" fontId="2" fillId="0" borderId="0" xfId="0" applyFont="1" applyFill="1"/>
    <xf numFmtId="166" fontId="0" fillId="0" borderId="0" xfId="3" applyNumberFormat="1" applyFont="1"/>
    <xf numFmtId="14" fontId="0" fillId="0" borderId="0" xfId="0" applyNumberFormat="1"/>
    <xf numFmtId="44" fontId="0" fillId="0" borderId="4" xfId="0" applyNumberFormat="1" applyBorder="1"/>
    <xf numFmtId="0" fontId="0" fillId="0" borderId="5" xfId="0" applyBorder="1"/>
    <xf numFmtId="166" fontId="2" fillId="0" borderId="0" xfId="2" applyNumberFormat="1" applyFont="1"/>
    <xf numFmtId="44" fontId="2" fillId="0" borderId="4" xfId="0" applyNumberFormat="1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9" fontId="0" fillId="0" borderId="8" xfId="0" applyNumberFormat="1" applyBorder="1" applyAlignment="1">
      <alignment horizontal="right"/>
    </xf>
    <xf numFmtId="9" fontId="0" fillId="0" borderId="9" xfId="3" applyFont="1" applyBorder="1"/>
    <xf numFmtId="0" fontId="0" fillId="0" borderId="10" xfId="0" applyFill="1" applyBorder="1" applyAlignment="1">
      <alignment horizontal="right"/>
    </xf>
    <xf numFmtId="164" fontId="0" fillId="0" borderId="11" xfId="0" applyNumberFormat="1" applyFill="1" applyBorder="1"/>
    <xf numFmtId="0" fontId="16" fillId="0" borderId="6" xfId="0" applyFont="1" applyBorder="1" applyAlignment="1">
      <alignment horizontal="right"/>
    </xf>
    <xf numFmtId="164" fontId="0" fillId="0" borderId="9" xfId="1" applyNumberFormat="1" applyFont="1" applyFill="1" applyBorder="1"/>
    <xf numFmtId="169" fontId="7" fillId="0" borderId="0" xfId="4" applyNumberFormat="1" applyFont="1" applyAlignment="1">
      <alignment horizontal="left"/>
    </xf>
    <xf numFmtId="166" fontId="2" fillId="0" borderId="0" xfId="2" applyNumberFormat="1" applyFont="1" applyAlignment="1">
      <alignment horizontal="center"/>
    </xf>
    <xf numFmtId="166" fontId="0" fillId="0" borderId="0" xfId="2" applyNumberFormat="1" applyFont="1" applyFill="1"/>
    <xf numFmtId="166" fontId="0" fillId="0" borderId="4" xfId="2" applyNumberFormat="1" applyFont="1" applyBorder="1"/>
    <xf numFmtId="0" fontId="0" fillId="0" borderId="0" xfId="0" applyBorder="1"/>
    <xf numFmtId="166" fontId="6" fillId="0" borderId="0" xfId="2" applyNumberFormat="1" applyFont="1" applyFill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165" fontId="2" fillId="0" borderId="13" xfId="2" applyNumberFormat="1" applyFont="1" applyBorder="1"/>
    <xf numFmtId="10" fontId="2" fillId="0" borderId="15" xfId="3" applyNumberFormat="1" applyFont="1" applyBorder="1"/>
    <xf numFmtId="165" fontId="2" fillId="0" borderId="15" xfId="2" applyNumberFormat="1" applyFont="1" applyBorder="1"/>
  </cellXfs>
  <cellStyles count="6">
    <cellStyle name="Comma" xfId="1" builtinId="3"/>
    <cellStyle name="Currency" xfId="2" builtinId="4"/>
    <cellStyle name="Normal" xfId="0" builtinId="0"/>
    <cellStyle name="Normal 2" xfId="4"/>
    <cellStyle name="Percent" xfId="3" builtinId="5"/>
    <cellStyle name="Percent 2 2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Adder Schedule"/>
      <sheetName val="ERM"/>
      <sheetName val="LIRAP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SEPT2014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>
        <row r="11">
          <cell r="H11" t="e">
            <v>#DIV/0!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P49">
            <v>58008579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1"/>
      <sheetName val="Exh2"/>
      <sheetName val="Exh3"/>
      <sheetName val="LIRAP"/>
      <sheetName val="Rate Spread"/>
      <sheetName val="ROR"/>
      <sheetName val="BFG"/>
      <sheetName val="Bill Impact"/>
      <sheetName val="Bill Determ"/>
      <sheetName val="Block Usage"/>
      <sheetName val="Big Schedules"/>
      <sheetName val="Rev Runs CY"/>
    </sheetNames>
    <sheetDataSet>
      <sheetData sheetId="0">
        <row r="8">
          <cell r="O8">
            <v>1</v>
          </cell>
        </row>
      </sheetData>
      <sheetData sheetId="1"/>
      <sheetData sheetId="2"/>
      <sheetData sheetId="3"/>
      <sheetData sheetId="4">
        <row r="15">
          <cell r="E15">
            <v>0.38907000000000003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0">
          <cell r="O40">
            <v>665507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5:Y41"/>
  <sheetViews>
    <sheetView topLeftCell="A4" workbookViewId="0">
      <selection activeCell="P33" sqref="P33"/>
    </sheetView>
  </sheetViews>
  <sheetFormatPr defaultRowHeight="12.75" x14ac:dyDescent="0.2"/>
  <cols>
    <col min="1" max="1" width="4.42578125" customWidth="1"/>
    <col min="2" max="2" width="24.5703125" bestFit="1" customWidth="1"/>
    <col min="3" max="3" width="8.7109375" bestFit="1" customWidth="1"/>
    <col min="4" max="4" width="13.42578125" bestFit="1" customWidth="1"/>
    <col min="5" max="6" width="13.5703125" bestFit="1" customWidth="1"/>
    <col min="7" max="7" width="13.28515625" customWidth="1"/>
    <col min="8" max="8" width="13.42578125" customWidth="1"/>
    <col min="9" max="9" width="13.5703125" customWidth="1"/>
    <col min="10" max="10" width="4.7109375" customWidth="1"/>
    <col min="11" max="11" width="14" bestFit="1" customWidth="1"/>
    <col min="12" max="12" width="10.28515625" bestFit="1" customWidth="1"/>
    <col min="13" max="13" width="4.5703125" customWidth="1"/>
    <col min="14" max="14" width="11.28515625" bestFit="1" customWidth="1"/>
    <col min="15" max="15" width="9.7109375" bestFit="1" customWidth="1"/>
    <col min="16" max="16" width="11.140625" bestFit="1" customWidth="1"/>
    <col min="17" max="17" width="9.140625" customWidth="1"/>
    <col min="18" max="18" width="13.42578125" bestFit="1" customWidth="1"/>
  </cols>
  <sheetData>
    <row r="5" spans="2:25" ht="13.5" thickBot="1" x14ac:dyDescent="0.25"/>
    <row r="6" spans="2:25" x14ac:dyDescent="0.2">
      <c r="D6" s="1" t="s">
        <v>90</v>
      </c>
      <c r="N6" s="1" t="s">
        <v>33</v>
      </c>
      <c r="O6" s="92" t="s">
        <v>33</v>
      </c>
      <c r="P6" s="1" t="s">
        <v>33</v>
      </c>
    </row>
    <row r="7" spans="2:25" x14ac:dyDescent="0.2">
      <c r="D7" s="1" t="s">
        <v>8</v>
      </c>
      <c r="E7" s="1" t="s">
        <v>1</v>
      </c>
      <c r="F7" s="1" t="s">
        <v>0</v>
      </c>
      <c r="G7" s="1" t="s">
        <v>34</v>
      </c>
      <c r="H7" s="1" t="s">
        <v>3</v>
      </c>
      <c r="I7" s="1" t="s">
        <v>3</v>
      </c>
      <c r="J7" s="1"/>
      <c r="K7" s="1" t="s">
        <v>96</v>
      </c>
      <c r="L7" s="1" t="s">
        <v>3</v>
      </c>
      <c r="M7" s="1"/>
      <c r="N7" s="1" t="s">
        <v>3</v>
      </c>
      <c r="O7" s="93" t="s">
        <v>3</v>
      </c>
      <c r="P7" s="1" t="s">
        <v>45</v>
      </c>
      <c r="R7" s="1" t="s">
        <v>0</v>
      </c>
      <c r="S7" s="69"/>
      <c r="T7" s="69"/>
      <c r="U7" s="69"/>
      <c r="V7" s="69"/>
      <c r="W7" s="69"/>
      <c r="X7" s="69"/>
      <c r="Y7" s="27"/>
    </row>
    <row r="8" spans="2:25" x14ac:dyDescent="0.2">
      <c r="B8" s="2" t="s">
        <v>4</v>
      </c>
      <c r="C8" s="2" t="s">
        <v>5</v>
      </c>
      <c r="D8" s="1" t="s">
        <v>35</v>
      </c>
      <c r="E8" s="1" t="s">
        <v>101</v>
      </c>
      <c r="F8" s="1" t="s">
        <v>101</v>
      </c>
      <c r="G8" s="1" t="s">
        <v>101</v>
      </c>
      <c r="H8" s="1" t="s">
        <v>101</v>
      </c>
      <c r="I8" s="1" t="s">
        <v>101</v>
      </c>
      <c r="J8" s="1"/>
      <c r="K8" s="1" t="s">
        <v>97</v>
      </c>
      <c r="L8" s="1" t="s">
        <v>99</v>
      </c>
      <c r="M8" s="1"/>
      <c r="N8" s="1" t="s">
        <v>8</v>
      </c>
      <c r="O8" s="93" t="s">
        <v>8</v>
      </c>
      <c r="P8" s="1" t="s">
        <v>12</v>
      </c>
      <c r="R8" s="1" t="s">
        <v>6</v>
      </c>
    </row>
    <row r="9" spans="2:25" x14ac:dyDescent="0.2">
      <c r="B9" s="3" t="s">
        <v>9</v>
      </c>
      <c r="C9" s="3" t="s">
        <v>10</v>
      </c>
      <c r="D9" s="4" t="s">
        <v>11</v>
      </c>
      <c r="E9" s="4" t="s">
        <v>12</v>
      </c>
      <c r="F9" s="4" t="s">
        <v>13</v>
      </c>
      <c r="G9" s="4" t="s">
        <v>36</v>
      </c>
      <c r="H9" s="4" t="s">
        <v>13</v>
      </c>
      <c r="I9" s="4" t="s">
        <v>12</v>
      </c>
      <c r="J9" s="4"/>
      <c r="K9" s="4" t="s">
        <v>98</v>
      </c>
      <c r="L9" s="4" t="s">
        <v>12</v>
      </c>
      <c r="M9" s="4"/>
      <c r="N9" s="4" t="s">
        <v>13</v>
      </c>
      <c r="O9" s="94" t="s">
        <v>12</v>
      </c>
      <c r="P9" s="25" t="s">
        <v>48</v>
      </c>
      <c r="R9" s="24" t="s">
        <v>13</v>
      </c>
    </row>
    <row r="10" spans="2:25" x14ac:dyDescent="0.2">
      <c r="B10" s="2" t="s">
        <v>14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21</v>
      </c>
      <c r="J10" s="2"/>
      <c r="K10" s="2" t="s">
        <v>47</v>
      </c>
      <c r="L10" s="2" t="s">
        <v>102</v>
      </c>
      <c r="M10" s="2"/>
      <c r="N10" s="2" t="s">
        <v>103</v>
      </c>
      <c r="O10" s="95" t="s">
        <v>104</v>
      </c>
      <c r="P10" s="24" t="s">
        <v>105</v>
      </c>
    </row>
    <row r="11" spans="2:25" x14ac:dyDescent="0.2">
      <c r="B11" s="5"/>
      <c r="C11" s="2"/>
      <c r="O11" s="96"/>
    </row>
    <row r="12" spans="2:25" x14ac:dyDescent="0.2">
      <c r="B12" s="5" t="s">
        <v>37</v>
      </c>
      <c r="C12" s="20" t="s">
        <v>108</v>
      </c>
      <c r="D12" s="18">
        <f>'Forecast BD'!N11</f>
        <v>2385802950.2409496</v>
      </c>
      <c r="E12" s="8">
        <v>1.0499999999999999E-3</v>
      </c>
      <c r="F12" s="9">
        <f>D12*E12</f>
        <v>2505093.0977529972</v>
      </c>
      <c r="G12" s="9">
        <f>F12*$G$30</f>
        <v>175356.51684270983</v>
      </c>
      <c r="H12" s="10">
        <f>F12+G12</f>
        <v>2680449.614595707</v>
      </c>
      <c r="I12" s="11">
        <f>ROUND(H12/D12,5)</f>
        <v>1.1199999999999999E-3</v>
      </c>
      <c r="J12" s="11"/>
      <c r="K12" s="10">
        <f>(F12/$F$24)*-$K$40</f>
        <v>61381.344805383298</v>
      </c>
      <c r="L12" s="11">
        <f>ROUND(K12/D12,5)</f>
        <v>3.0000000000000001E-5</v>
      </c>
      <c r="M12" s="11"/>
      <c r="N12" s="10">
        <f>H12+K12</f>
        <v>2741830.9594010902</v>
      </c>
      <c r="O12" s="97">
        <f>I12+L12</f>
        <v>1.15E-3</v>
      </c>
      <c r="P12" s="19">
        <f>ROUND(O12-E12,5)</f>
        <v>1E-4</v>
      </c>
      <c r="R12" s="88">
        <f>232082000+558000-3355000</f>
        <v>229285000</v>
      </c>
      <c r="S12" s="17">
        <f>(G12+K12)/R12</f>
        <v>1.0325047938072405E-3</v>
      </c>
      <c r="U12" s="66">
        <f>E12*(1+$G$30)</f>
        <v>1.1234999999999999E-3</v>
      </c>
    </row>
    <row r="13" spans="2:25" x14ac:dyDescent="0.2">
      <c r="B13" s="5"/>
      <c r="C13" s="2"/>
      <c r="F13" s="9"/>
      <c r="G13" s="9"/>
      <c r="H13" s="10"/>
      <c r="I13" s="11"/>
      <c r="J13" s="11"/>
      <c r="K13" s="10"/>
      <c r="L13" s="11"/>
      <c r="M13" s="11"/>
      <c r="N13" s="10"/>
      <c r="O13" s="97"/>
      <c r="P13" s="19"/>
      <c r="R13" s="88"/>
      <c r="S13" s="17"/>
      <c r="U13" s="66"/>
    </row>
    <row r="14" spans="2:25" x14ac:dyDescent="0.2">
      <c r="B14" s="5" t="s">
        <v>22</v>
      </c>
      <c r="C14" s="20" t="s">
        <v>38</v>
      </c>
      <c r="D14" s="18">
        <f>'Forecast BD'!N12+'Forecast BD'!N13</f>
        <v>625432795.12278104</v>
      </c>
      <c r="E14" s="8">
        <v>1.5200000000000001E-3</v>
      </c>
      <c r="F14" s="9">
        <f t="shared" ref="F14:F20" si="0">D14*E14</f>
        <v>950657.84858662728</v>
      </c>
      <c r="G14" s="9">
        <f>F14*$G$30</f>
        <v>66546.049401063923</v>
      </c>
      <c r="H14" s="10">
        <f t="shared" ref="H14:H22" si="1">F14+G14</f>
        <v>1017203.8979876912</v>
      </c>
      <c r="I14" s="11">
        <f t="shared" ref="I14:I20" si="2">ROUND(H14/D14,5)</f>
        <v>1.6299999999999999E-3</v>
      </c>
      <c r="J14" s="11"/>
      <c r="K14" s="10">
        <f>(F14/$F$24)*-$K$40</f>
        <v>23293.608228923884</v>
      </c>
      <c r="L14" s="11">
        <f t="shared" ref="L14:L20" si="3">K14/D14</f>
        <v>3.7243982743743122E-5</v>
      </c>
      <c r="M14" s="11"/>
      <c r="N14" s="10">
        <f t="shared" ref="N14:N22" si="4">H14+K14</f>
        <v>1040497.5062166151</v>
      </c>
      <c r="O14" s="97">
        <f t="shared" ref="O14:O20" si="5">I14+L14</f>
        <v>1.667243982743743E-3</v>
      </c>
      <c r="P14" s="19">
        <f>O14-E14</f>
        <v>1.4724398274374296E-4</v>
      </c>
      <c r="R14" s="88">
        <f>78742000-1174000</f>
        <v>77568000</v>
      </c>
      <c r="S14" s="17">
        <f t="shared" ref="S14:S24" si="6">(G14+K14)/R14</f>
        <v>1.1582051571522769E-3</v>
      </c>
      <c r="U14" s="66">
        <f>E14*(1+$G$30)</f>
        <v>1.6264000000000003E-3</v>
      </c>
    </row>
    <row r="15" spans="2:25" x14ac:dyDescent="0.2">
      <c r="B15" s="5"/>
      <c r="C15" s="2"/>
      <c r="F15" s="9"/>
      <c r="G15" s="9">
        <f>F15*$G$30</f>
        <v>0</v>
      </c>
      <c r="H15" s="10"/>
      <c r="I15" s="11"/>
      <c r="J15" s="11"/>
      <c r="K15" s="10"/>
      <c r="L15" s="11"/>
      <c r="M15" s="11"/>
      <c r="N15" s="10"/>
      <c r="O15" s="97"/>
      <c r="P15" s="19"/>
      <c r="R15" s="88"/>
      <c r="S15" s="17"/>
      <c r="U15" s="66"/>
    </row>
    <row r="16" spans="2:25" x14ac:dyDescent="0.2">
      <c r="B16" s="5" t="s">
        <v>23</v>
      </c>
      <c r="C16" s="6" t="s">
        <v>39</v>
      </c>
      <c r="D16" s="18">
        <f>'Forecast BD'!N14+'Forecast BD'!N15</f>
        <v>1398378393.1507373</v>
      </c>
      <c r="E16" s="8">
        <v>1.1000000000000001E-3</v>
      </c>
      <c r="F16" s="9">
        <f t="shared" si="0"/>
        <v>1538216.2324658111</v>
      </c>
      <c r="G16" s="9">
        <f>F16*$G$30</f>
        <v>107675.13627260679</v>
      </c>
      <c r="H16" s="10">
        <f t="shared" si="1"/>
        <v>1645891.368738418</v>
      </c>
      <c r="I16" s="11">
        <f t="shared" si="2"/>
        <v>1.1800000000000001E-3</v>
      </c>
      <c r="J16" s="11"/>
      <c r="K16" s="10">
        <f>(F16/$F$24)*-$K$40</f>
        <v>37690.328169804096</v>
      </c>
      <c r="L16" s="11">
        <f t="shared" si="3"/>
        <v>2.6952882248761469E-5</v>
      </c>
      <c r="M16" s="11"/>
      <c r="N16" s="10">
        <f t="shared" si="4"/>
        <v>1683581.696908222</v>
      </c>
      <c r="O16" s="97">
        <f t="shared" si="5"/>
        <v>1.2069528822487615E-3</v>
      </c>
      <c r="P16" s="19">
        <f>O16-E16</f>
        <v>1.0695288224876146E-4</v>
      </c>
      <c r="R16" s="88">
        <f>135958000-2027000</f>
        <v>133931000</v>
      </c>
      <c r="S16" s="17">
        <f t="shared" si="6"/>
        <v>1.085375786355742E-3</v>
      </c>
      <c r="U16" s="66">
        <f>E16*(1+$G$30)</f>
        <v>1.1770000000000001E-3</v>
      </c>
    </row>
    <row r="17" spans="2:21" x14ac:dyDescent="0.2">
      <c r="B17" s="5"/>
      <c r="C17" s="2"/>
      <c r="F17" s="9"/>
      <c r="G17" s="9"/>
      <c r="H17" s="10"/>
      <c r="I17" s="11"/>
      <c r="J17" s="11"/>
      <c r="K17" s="10"/>
      <c r="L17" s="11"/>
      <c r="M17" s="11"/>
      <c r="N17" s="10"/>
      <c r="O17" s="97"/>
      <c r="P17" s="19"/>
      <c r="R17" s="88"/>
      <c r="S17" s="17"/>
      <c r="U17" s="66"/>
    </row>
    <row r="18" spans="2:21" x14ac:dyDescent="0.2">
      <c r="B18" s="5" t="s">
        <v>40</v>
      </c>
      <c r="C18" s="2">
        <v>25</v>
      </c>
      <c r="D18" s="18">
        <f>'Forecast BD'!N16-'Forecast BD'!N22</f>
        <v>727099281.03414249</v>
      </c>
      <c r="E18" s="8">
        <v>6.8999999999999997E-4</v>
      </c>
      <c r="F18" s="9">
        <f t="shared" si="0"/>
        <v>501698.50391355832</v>
      </c>
      <c r="G18" s="9">
        <f>F18*$G$30</f>
        <v>35118.895273949085</v>
      </c>
      <c r="H18" s="10">
        <f t="shared" si="1"/>
        <v>536817.39918750746</v>
      </c>
      <c r="I18" s="11">
        <f t="shared" si="2"/>
        <v>7.3999999999999999E-4</v>
      </c>
      <c r="J18" s="11"/>
      <c r="K18" s="10">
        <f>(F18/$F$24)*-$K$40</f>
        <v>12292.927909419937</v>
      </c>
      <c r="L18" s="11">
        <f t="shared" si="3"/>
        <v>1.6906807956041285E-5</v>
      </c>
      <c r="M18" s="11"/>
      <c r="N18" s="10">
        <f t="shared" si="4"/>
        <v>549110.32709692745</v>
      </c>
      <c r="O18" s="97">
        <f t="shared" si="5"/>
        <v>7.5690680795604127E-4</v>
      </c>
      <c r="P18" s="19">
        <f>O18-E18</f>
        <v>6.6906807956041304E-5</v>
      </c>
      <c r="R18" s="88">
        <f>68455000-1029000</f>
        <v>67426000</v>
      </c>
      <c r="S18" s="17">
        <f t="shared" si="6"/>
        <v>7.0316826125484263E-4</v>
      </c>
      <c r="U18" s="66">
        <f>E18*(1+$G$30)</f>
        <v>7.383E-4</v>
      </c>
    </row>
    <row r="19" spans="2:21" x14ac:dyDescent="0.2">
      <c r="B19" s="5"/>
      <c r="C19" s="2"/>
      <c r="F19" s="9"/>
      <c r="G19" s="9"/>
      <c r="H19" s="10"/>
      <c r="I19" s="11"/>
      <c r="J19" s="11"/>
      <c r="K19" s="10"/>
      <c r="L19" s="11"/>
      <c r="M19" s="11"/>
      <c r="N19" s="10"/>
      <c r="O19" s="97"/>
      <c r="P19" s="19"/>
      <c r="R19" s="88"/>
      <c r="S19" s="17"/>
      <c r="U19" s="66"/>
    </row>
    <row r="20" spans="2:21" x14ac:dyDescent="0.2">
      <c r="B20" s="5" t="s">
        <v>41</v>
      </c>
      <c r="C20" s="6" t="s">
        <v>42</v>
      </c>
      <c r="D20" s="18">
        <f>'Forecast BD'!N17+'Forecast BD'!N18</f>
        <v>141143508.16555178</v>
      </c>
      <c r="E20" s="8">
        <v>9.6000000000000002E-4</v>
      </c>
      <c r="F20" s="9">
        <f t="shared" si="0"/>
        <v>135497.76783892972</v>
      </c>
      <c r="G20" s="9">
        <f>F20*$G$30</f>
        <v>9484.8437487250812</v>
      </c>
      <c r="H20" s="10">
        <f t="shared" si="1"/>
        <v>144982.6115876548</v>
      </c>
      <c r="I20" s="11">
        <f t="shared" si="2"/>
        <v>1.0300000000000001E-3</v>
      </c>
      <c r="J20" s="11"/>
      <c r="K20" s="10">
        <f>(F20/$F$24)*-$K$40</f>
        <v>3320.0503468479014</v>
      </c>
      <c r="L20" s="11">
        <f t="shared" si="3"/>
        <v>2.3522515417100919E-5</v>
      </c>
      <c r="M20" s="11"/>
      <c r="N20" s="10">
        <f t="shared" si="4"/>
        <v>148302.66193450271</v>
      </c>
      <c r="O20" s="97">
        <f t="shared" si="5"/>
        <v>1.053522515417101E-3</v>
      </c>
      <c r="P20" s="19">
        <f>O20-E20</f>
        <v>9.3522515417100997E-5</v>
      </c>
      <c r="R20" s="88">
        <f>11682000-174000</f>
        <v>11508000</v>
      </c>
      <c r="S20" s="17">
        <f t="shared" si="6"/>
        <v>1.1126950030911525E-3</v>
      </c>
      <c r="U20" s="66">
        <f>E20*(1+$G$30)</f>
        <v>1.0272E-3</v>
      </c>
    </row>
    <row r="21" spans="2:21" x14ac:dyDescent="0.2">
      <c r="B21" s="5"/>
      <c r="C21" s="2"/>
      <c r="G21" s="9"/>
      <c r="H21" s="10"/>
      <c r="I21" s="21"/>
      <c r="J21" s="21"/>
      <c r="K21" s="10"/>
      <c r="L21" s="21"/>
      <c r="M21" s="21"/>
      <c r="N21" s="10"/>
      <c r="O21" s="97"/>
      <c r="P21" s="19"/>
      <c r="R21" s="88"/>
      <c r="S21" s="17"/>
      <c r="U21" s="66"/>
    </row>
    <row r="22" spans="2:21" ht="13.5" thickBot="1" x14ac:dyDescent="0.25">
      <c r="B22" s="5" t="s">
        <v>43</v>
      </c>
      <c r="C22" s="2" t="s">
        <v>44</v>
      </c>
      <c r="D22" s="18">
        <f>'Forecast BD'!N19</f>
        <v>14939199.088304283</v>
      </c>
      <c r="E22" s="17">
        <v>1.2999999999999999E-2</v>
      </c>
      <c r="F22" s="9">
        <f>K41*' Elec'!E22</f>
        <v>91273</v>
      </c>
      <c r="G22" s="9">
        <f>F22*$G$30</f>
        <v>6389.1100000000006</v>
      </c>
      <c r="H22" s="10">
        <f t="shared" si="1"/>
        <v>97662.11</v>
      </c>
      <c r="I22" s="22">
        <f>ROUND(H22/K41,4)</f>
        <v>1.3899999999999999E-2</v>
      </c>
      <c r="J22" s="22"/>
      <c r="K22" s="10">
        <f>(F22/$F$24)*-$K$40</f>
        <v>2236.4276559010959</v>
      </c>
      <c r="L22" s="22">
        <f>K22/K41</f>
        <v>3.1853406293990826E-4</v>
      </c>
      <c r="M22" s="22"/>
      <c r="N22" s="10">
        <f t="shared" si="4"/>
        <v>99898.537655901091</v>
      </c>
      <c r="O22" s="98">
        <f>I22+L22</f>
        <v>1.4218534062939908E-2</v>
      </c>
      <c r="P22" s="17">
        <f>O22-E22</f>
        <v>1.2185340629399088E-3</v>
      </c>
      <c r="R22" s="88">
        <f>7373000-110000</f>
        <v>7263000</v>
      </c>
      <c r="S22" s="17">
        <f t="shared" si="6"/>
        <v>1.1875998424757121E-3</v>
      </c>
      <c r="U22" s="17">
        <f>E22*(1+$G$30)</f>
        <v>1.391E-2</v>
      </c>
    </row>
    <row r="23" spans="2:21" x14ac:dyDescent="0.2">
      <c r="B23" s="5"/>
      <c r="C23" s="2"/>
      <c r="K23" s="10"/>
      <c r="R23" s="9"/>
      <c r="S23" s="17"/>
    </row>
    <row r="24" spans="2:21" x14ac:dyDescent="0.2">
      <c r="B24" s="16" t="s">
        <v>33</v>
      </c>
      <c r="C24" s="2"/>
      <c r="D24" s="18">
        <f>SUM(D12:D22)</f>
        <v>5292796126.8024664</v>
      </c>
      <c r="F24" s="10">
        <f>SUM(F12:F22)</f>
        <v>5722436.4505579229</v>
      </c>
      <c r="G24" s="10">
        <f>SUM(G12:G22)</f>
        <v>400570.55153905466</v>
      </c>
      <c r="H24" s="10">
        <f>SUM(H12:H22)</f>
        <v>6123007.002096978</v>
      </c>
      <c r="I24" s="10"/>
      <c r="J24" s="10"/>
      <c r="K24" s="10">
        <f>SUM(K12:K22)</f>
        <v>140214.68711628023</v>
      </c>
      <c r="L24" s="10"/>
      <c r="M24" s="10"/>
      <c r="N24" s="10">
        <f>SUM(N12:N22)</f>
        <v>6263221.6892132591</v>
      </c>
      <c r="R24" s="10">
        <f>SUM(R12:R22)</f>
        <v>526981000</v>
      </c>
      <c r="S24" s="17">
        <f t="shared" si="6"/>
        <v>1.0261949456533252E-3</v>
      </c>
    </row>
    <row r="25" spans="2:21" x14ac:dyDescent="0.2">
      <c r="K25" s="10"/>
      <c r="N25" s="10"/>
    </row>
    <row r="26" spans="2:21" x14ac:dyDescent="0.2">
      <c r="E26" s="67" t="s">
        <v>91</v>
      </c>
      <c r="F26" s="9">
        <f>F24*G31</f>
        <v>5455330.2843552306</v>
      </c>
      <c r="G26" s="10">
        <f>F26*G30</f>
        <v>381873.11990486621</v>
      </c>
      <c r="H26" s="9">
        <f>H24*G31</f>
        <v>5837203.404260098</v>
      </c>
      <c r="I26" s="9"/>
      <c r="J26" s="9"/>
      <c r="K26" s="9">
        <f>K24*G31</f>
        <v>133669.88616575362</v>
      </c>
      <c r="L26" s="9"/>
      <c r="M26" s="9"/>
      <c r="N26" s="9">
        <f>N24*G31</f>
        <v>5970873.2904258519</v>
      </c>
      <c r="O26" s="10"/>
    </row>
    <row r="27" spans="2:21" x14ac:dyDescent="0.2">
      <c r="G27" s="23">
        <f>G26/F26</f>
        <v>7.0000000000000007E-2</v>
      </c>
    </row>
    <row r="30" spans="2:21" x14ac:dyDescent="0.2">
      <c r="G30" s="23">
        <v>7.0000000000000007E-2</v>
      </c>
      <c r="H30" t="s">
        <v>54</v>
      </c>
      <c r="K30" s="10">
        <f>F26*G30</f>
        <v>381873.11990486621</v>
      </c>
      <c r="L30" s="23">
        <f>K30/F24</f>
        <v>6.6732610000000012E-2</v>
      </c>
      <c r="M30" s="23"/>
      <c r="N30" s="70">
        <f>N24-F24</f>
        <v>540785.2386553362</v>
      </c>
    </row>
    <row r="31" spans="2:21" x14ac:dyDescent="0.2">
      <c r="G31" s="30">
        <f>'E Rev Conv'!E22</f>
        <v>0.95332300000000003</v>
      </c>
      <c r="H31" t="s">
        <v>55</v>
      </c>
      <c r="K31" s="10"/>
      <c r="L31" s="23"/>
      <c r="M31" s="23"/>
      <c r="N31" s="23"/>
      <c r="O31" s="28"/>
    </row>
    <row r="32" spans="2:21" x14ac:dyDescent="0.2">
      <c r="G32" s="17"/>
      <c r="K32" s="9"/>
      <c r="L32" s="23"/>
      <c r="M32" s="23"/>
      <c r="N32" s="23"/>
    </row>
    <row r="34" spans="7:14" x14ac:dyDescent="0.2">
      <c r="I34" t="s">
        <v>49</v>
      </c>
      <c r="K34" s="68">
        <f>ROUND((800*0.0817),2)+ROUND((138*0.09402),2)+9</f>
        <v>87.33</v>
      </c>
      <c r="N34" s="27" t="s">
        <v>93</v>
      </c>
    </row>
    <row r="35" spans="7:14" x14ac:dyDescent="0.2">
      <c r="I35" t="s">
        <v>50</v>
      </c>
      <c r="K35" s="68">
        <f>ROUND((800*(0.0817+P12)),2)+ROUND((138*(0.09402+P12)),2)+9</f>
        <v>87.429999999999993</v>
      </c>
    </row>
    <row r="36" spans="7:14" x14ac:dyDescent="0.2">
      <c r="I36" t="s">
        <v>51</v>
      </c>
      <c r="K36" s="28">
        <f>K35-K34</f>
        <v>9.9999999999994316E-2</v>
      </c>
      <c r="L36" s="17">
        <f>K36/K34</f>
        <v>1.1450818733538797E-3</v>
      </c>
      <c r="M36" s="17"/>
    </row>
    <row r="40" spans="7:14" x14ac:dyDescent="0.2">
      <c r="G40" t="s">
        <v>100</v>
      </c>
      <c r="K40" s="91">
        <f>'Prior Balances'!B34</f>
        <v>-140214.6871162802</v>
      </c>
      <c r="L40" t="s">
        <v>118</v>
      </c>
    </row>
    <row r="41" spans="7:14" x14ac:dyDescent="0.2">
      <c r="G41" t="s">
        <v>53</v>
      </c>
      <c r="K41" s="29">
        <v>7021000</v>
      </c>
    </row>
  </sheetData>
  <pageMargins left="0.7" right="0.7" top="0.75" bottom="0.75" header="0.3" footer="0.3"/>
  <pageSetup scale="69" orientation="landscape" r:id="rId1"/>
  <headerFooter>
    <oddHeader>&amp;LAvista
Annual LIRAP Funding
2017</oddHead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9"/>
  <sheetViews>
    <sheetView workbookViewId="0">
      <selection activeCell="L24" sqref="L24"/>
    </sheetView>
  </sheetViews>
  <sheetFormatPr defaultRowHeight="12.75" x14ac:dyDescent="0.2"/>
  <cols>
    <col min="3" max="3" width="30" bestFit="1" customWidth="1"/>
    <col min="5" max="5" width="9" bestFit="1" customWidth="1"/>
  </cols>
  <sheetData>
    <row r="1" spans="1:5" ht="13.5" x14ac:dyDescent="0.25">
      <c r="A1" s="31" t="s">
        <v>56</v>
      </c>
      <c r="B1" s="31"/>
      <c r="C1" s="31"/>
      <c r="D1" s="31"/>
      <c r="E1" s="32"/>
    </row>
    <row r="2" spans="1:5" ht="13.5" x14ac:dyDescent="0.25">
      <c r="A2" s="31" t="s">
        <v>55</v>
      </c>
      <c r="B2" s="31"/>
      <c r="C2" s="31"/>
      <c r="D2" s="31"/>
      <c r="E2" s="32"/>
    </row>
    <row r="3" spans="1:5" ht="13.5" x14ac:dyDescent="0.25">
      <c r="A3" s="31" t="s">
        <v>57</v>
      </c>
      <c r="B3" s="31"/>
      <c r="C3" s="31"/>
      <c r="D3" s="31"/>
      <c r="E3" s="32"/>
    </row>
    <row r="4" spans="1:5" ht="13.5" x14ac:dyDescent="0.25">
      <c r="A4" s="31" t="s">
        <v>125</v>
      </c>
      <c r="B4" s="31"/>
      <c r="C4" s="31"/>
      <c r="D4" s="31"/>
      <c r="E4" s="32"/>
    </row>
    <row r="5" spans="1:5" x14ac:dyDescent="0.2">
      <c r="A5" s="33"/>
      <c r="B5" s="33"/>
      <c r="C5" s="33"/>
      <c r="D5" s="33"/>
      <c r="E5" s="33"/>
    </row>
    <row r="6" spans="1:5" ht="13.5" x14ac:dyDescent="0.25">
      <c r="A6" s="34" t="s">
        <v>58</v>
      </c>
      <c r="B6" s="34"/>
      <c r="C6" s="34"/>
      <c r="D6" s="34"/>
      <c r="E6" s="35"/>
    </row>
    <row r="7" spans="1:5" ht="13.5" x14ac:dyDescent="0.25">
      <c r="A7" s="36" t="s">
        <v>59</v>
      </c>
      <c r="B7" s="34"/>
      <c r="C7" s="36" t="s">
        <v>60</v>
      </c>
      <c r="D7" s="37"/>
      <c r="E7" s="38" t="s">
        <v>61</v>
      </c>
    </row>
    <row r="8" spans="1:5" x14ac:dyDescent="0.2">
      <c r="A8" s="33"/>
      <c r="B8" s="33"/>
      <c r="C8" s="33"/>
      <c r="D8" s="33"/>
      <c r="E8" s="33"/>
    </row>
    <row r="9" spans="1:5" x14ac:dyDescent="0.2">
      <c r="A9" s="39">
        <v>1</v>
      </c>
      <c r="B9" s="33"/>
      <c r="C9" s="40" t="s">
        <v>62</v>
      </c>
      <c r="D9" s="33"/>
      <c r="E9" s="41">
        <v>1</v>
      </c>
    </row>
    <row r="10" spans="1:5" x14ac:dyDescent="0.2">
      <c r="A10" s="39"/>
      <c r="B10" s="33"/>
      <c r="C10" s="33"/>
      <c r="D10" s="33"/>
      <c r="E10" s="41"/>
    </row>
    <row r="11" spans="1:5" x14ac:dyDescent="0.2">
      <c r="A11" s="39"/>
      <c r="B11" s="33"/>
      <c r="C11" s="42" t="s">
        <v>63</v>
      </c>
      <c r="D11" s="43"/>
      <c r="E11" s="41"/>
    </row>
    <row r="12" spans="1:5" x14ac:dyDescent="0.2">
      <c r="A12" s="39">
        <v>2</v>
      </c>
      <c r="B12" s="33"/>
      <c r="C12" s="43" t="s">
        <v>64</v>
      </c>
      <c r="D12" s="43"/>
      <c r="E12" s="44">
        <v>6.1824999999999996E-3</v>
      </c>
    </row>
    <row r="13" spans="1:5" x14ac:dyDescent="0.2">
      <c r="A13" s="39"/>
      <c r="B13" s="33"/>
      <c r="C13" s="43"/>
      <c r="D13" s="43"/>
      <c r="E13" s="41"/>
    </row>
    <row r="14" spans="1:5" x14ac:dyDescent="0.2">
      <c r="A14" s="39">
        <v>3</v>
      </c>
      <c r="B14" s="33"/>
      <c r="C14" s="43" t="s">
        <v>65</v>
      </c>
      <c r="D14" s="43"/>
      <c r="E14" s="41">
        <v>2E-3</v>
      </c>
    </row>
    <row r="15" spans="1:5" x14ac:dyDescent="0.2">
      <c r="A15" s="39"/>
      <c r="B15" s="33"/>
      <c r="C15" s="43"/>
      <c r="D15" s="43"/>
      <c r="E15" s="41"/>
    </row>
    <row r="16" spans="1:5" x14ac:dyDescent="0.2">
      <c r="A16" s="39">
        <v>4</v>
      </c>
      <c r="B16" s="33"/>
      <c r="C16" s="43" t="s">
        <v>66</v>
      </c>
      <c r="D16" s="43"/>
      <c r="E16" s="41">
        <v>3.8494500000000001E-2</v>
      </c>
    </row>
    <row r="17" spans="1:5" x14ac:dyDescent="0.2">
      <c r="A17" s="39"/>
      <c r="B17" s="33"/>
      <c r="C17" s="43"/>
      <c r="D17" s="43"/>
      <c r="E17" s="41"/>
    </row>
    <row r="18" spans="1:5" x14ac:dyDescent="0.2">
      <c r="A18" s="39">
        <v>5</v>
      </c>
      <c r="B18" s="33"/>
      <c r="C18" s="43" t="s">
        <v>67</v>
      </c>
      <c r="D18" s="43"/>
      <c r="E18" s="45">
        <v>0</v>
      </c>
    </row>
    <row r="19" spans="1:5" x14ac:dyDescent="0.2">
      <c r="A19" s="39"/>
      <c r="B19" s="33"/>
      <c r="C19" s="43"/>
      <c r="D19" s="43"/>
      <c r="E19" s="45"/>
    </row>
    <row r="20" spans="1:5" x14ac:dyDescent="0.2">
      <c r="A20" s="39">
        <v>6</v>
      </c>
      <c r="B20" s="33"/>
      <c r="C20" s="43" t="s">
        <v>68</v>
      </c>
      <c r="D20" s="43"/>
      <c r="E20" s="46">
        <v>4.6676999999999996E-2</v>
      </c>
    </row>
    <row r="21" spans="1:5" x14ac:dyDescent="0.2">
      <c r="A21" s="33"/>
      <c r="B21" s="33"/>
      <c r="C21" s="43"/>
      <c r="D21" s="43"/>
      <c r="E21" s="45"/>
    </row>
    <row r="22" spans="1:5" x14ac:dyDescent="0.2">
      <c r="A22" s="39">
        <v>7</v>
      </c>
      <c r="B22" s="33"/>
      <c r="C22" s="43" t="s">
        <v>69</v>
      </c>
      <c r="D22" s="43"/>
      <c r="E22" s="45">
        <v>0.95332300000000003</v>
      </c>
    </row>
    <row r="23" spans="1:5" x14ac:dyDescent="0.2">
      <c r="A23" s="33"/>
      <c r="B23" s="33"/>
      <c r="C23" s="43"/>
      <c r="D23" s="43"/>
      <c r="E23" s="45"/>
    </row>
    <row r="24" spans="1:5" x14ac:dyDescent="0.2">
      <c r="A24" s="39">
        <v>8</v>
      </c>
      <c r="B24" s="33"/>
      <c r="C24" s="43" t="s">
        <v>126</v>
      </c>
      <c r="D24" s="47"/>
      <c r="E24" s="48">
        <v>0.20019799999999999</v>
      </c>
    </row>
    <row r="25" spans="1:5" x14ac:dyDescent="0.2">
      <c r="A25" s="33"/>
      <c r="B25" s="33"/>
      <c r="C25" s="43"/>
      <c r="D25" s="43"/>
      <c r="E25" s="45"/>
    </row>
    <row r="26" spans="1:5" ht="13.5" thickBot="1" x14ac:dyDescent="0.25">
      <c r="A26" s="39">
        <v>9</v>
      </c>
      <c r="B26" s="33"/>
      <c r="C26" s="42" t="s">
        <v>70</v>
      </c>
      <c r="D26" s="43"/>
      <c r="E26" s="49">
        <v>0.75312500000000004</v>
      </c>
    </row>
    <row r="27" spans="1:5" ht="13.5" thickTop="1" x14ac:dyDescent="0.2">
      <c r="A27" s="50"/>
      <c r="B27" s="50"/>
      <c r="C27" s="50"/>
      <c r="D27" s="50"/>
      <c r="E27" s="51"/>
    </row>
    <row r="28" spans="1:5" x14ac:dyDescent="0.2">
      <c r="A28" s="50"/>
      <c r="B28" s="50"/>
      <c r="C28" s="50"/>
      <c r="D28" s="50"/>
      <c r="E28" s="51"/>
    </row>
    <row r="29" spans="1:5" ht="18.75" x14ac:dyDescent="0.3">
      <c r="A29" s="52" t="s">
        <v>127</v>
      </c>
      <c r="B29" s="50"/>
      <c r="C29" s="50"/>
      <c r="D29" s="50"/>
      <c r="E29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6:U36"/>
  <sheetViews>
    <sheetView tabSelected="1" workbookViewId="0">
      <selection activeCell="D28" sqref="D28"/>
    </sheetView>
  </sheetViews>
  <sheetFormatPr defaultRowHeight="12.75" x14ac:dyDescent="0.2"/>
  <cols>
    <col min="1" max="1" width="2.140625" customWidth="1"/>
    <col min="2" max="2" width="38.5703125" customWidth="1"/>
    <col min="3" max="3" width="10.28515625" bestFit="1" customWidth="1"/>
    <col min="4" max="4" width="12.28515625" bestFit="1" customWidth="1"/>
    <col min="5" max="7" width="13.5703125" bestFit="1" customWidth="1"/>
    <col min="8" max="8" width="13.42578125" customWidth="1"/>
    <col min="9" max="9" width="9.7109375" bestFit="1" customWidth="1"/>
    <col min="10" max="10" width="3.85546875" customWidth="1"/>
    <col min="11" max="11" width="14.5703125" bestFit="1" customWidth="1"/>
    <col min="12" max="12" width="10.28515625" bestFit="1" customWidth="1"/>
    <col min="13" max="13" width="3.85546875" customWidth="1"/>
    <col min="14" max="14" width="11.28515625" bestFit="1" customWidth="1"/>
    <col min="15" max="15" width="9.7109375" bestFit="1" customWidth="1"/>
    <col min="16" max="16" width="11.140625" bestFit="1" customWidth="1"/>
    <col min="17" max="17" width="9.140625" customWidth="1"/>
    <col min="18" max="18" width="13.42578125" bestFit="1" customWidth="1"/>
  </cols>
  <sheetData>
    <row r="6" spans="2:21" ht="13.5" thickBot="1" x14ac:dyDescent="0.25"/>
    <row r="7" spans="2:21" x14ac:dyDescent="0.2">
      <c r="N7" s="1" t="s">
        <v>33</v>
      </c>
      <c r="O7" s="92" t="s">
        <v>33</v>
      </c>
      <c r="P7" s="1" t="s">
        <v>33</v>
      </c>
    </row>
    <row r="8" spans="2:21" x14ac:dyDescent="0.2">
      <c r="D8" s="1" t="s">
        <v>90</v>
      </c>
      <c r="E8" s="1" t="s">
        <v>0</v>
      </c>
      <c r="F8" s="1" t="s">
        <v>1</v>
      </c>
      <c r="G8" s="1" t="s">
        <v>46</v>
      </c>
      <c r="H8" s="1" t="s">
        <v>3</v>
      </c>
      <c r="I8" s="1" t="s">
        <v>3</v>
      </c>
      <c r="J8" s="1"/>
      <c r="K8" s="1" t="s">
        <v>96</v>
      </c>
      <c r="L8" s="1" t="s">
        <v>3</v>
      </c>
      <c r="M8" s="1"/>
      <c r="N8" s="1" t="s">
        <v>3</v>
      </c>
      <c r="O8" s="93" t="s">
        <v>3</v>
      </c>
      <c r="P8" s="1" t="s">
        <v>45</v>
      </c>
      <c r="R8" s="1" t="s">
        <v>0</v>
      </c>
    </row>
    <row r="9" spans="2:21" x14ac:dyDescent="0.2">
      <c r="B9" s="2" t="s">
        <v>4</v>
      </c>
      <c r="C9" s="2" t="s">
        <v>5</v>
      </c>
      <c r="D9" s="1" t="s">
        <v>6</v>
      </c>
      <c r="E9" s="1" t="s">
        <v>101</v>
      </c>
      <c r="F9" s="1" t="s">
        <v>101</v>
      </c>
      <c r="G9" s="1" t="s">
        <v>101</v>
      </c>
      <c r="H9" s="1" t="s">
        <v>101</v>
      </c>
      <c r="I9" s="1" t="s">
        <v>7</v>
      </c>
      <c r="J9" s="1"/>
      <c r="K9" s="1" t="s">
        <v>97</v>
      </c>
      <c r="L9" s="1" t="s">
        <v>99</v>
      </c>
      <c r="M9" s="1"/>
      <c r="N9" s="1" t="s">
        <v>8</v>
      </c>
      <c r="O9" s="93" t="s">
        <v>7</v>
      </c>
      <c r="P9" s="1" t="s">
        <v>12</v>
      </c>
      <c r="R9" s="1" t="s">
        <v>52</v>
      </c>
    </row>
    <row r="10" spans="2:21" x14ac:dyDescent="0.2">
      <c r="B10" s="3" t="s">
        <v>9</v>
      </c>
      <c r="C10" s="3" t="s">
        <v>10</v>
      </c>
      <c r="D10" s="4" t="s">
        <v>11</v>
      </c>
      <c r="E10" s="4" t="s">
        <v>12</v>
      </c>
      <c r="F10" s="4" t="s">
        <v>13</v>
      </c>
      <c r="G10" s="4" t="s">
        <v>2</v>
      </c>
      <c r="H10" s="4" t="s">
        <v>13</v>
      </c>
      <c r="I10" s="4" t="s">
        <v>12</v>
      </c>
      <c r="J10" s="4"/>
      <c r="K10" s="4" t="s">
        <v>98</v>
      </c>
      <c r="L10" s="4" t="s">
        <v>12</v>
      </c>
      <c r="M10" s="4"/>
      <c r="N10" s="4" t="s">
        <v>13</v>
      </c>
      <c r="O10" s="94" t="s">
        <v>12</v>
      </c>
      <c r="P10" s="25" t="s">
        <v>46</v>
      </c>
      <c r="R10" s="24" t="s">
        <v>13</v>
      </c>
    </row>
    <row r="11" spans="2:21" x14ac:dyDescent="0.2"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/>
      <c r="K11" s="2" t="s">
        <v>47</v>
      </c>
      <c r="L11" s="2" t="s">
        <v>102</v>
      </c>
      <c r="M11" s="2"/>
      <c r="N11" s="2" t="s">
        <v>103</v>
      </c>
      <c r="O11" s="95" t="s">
        <v>104</v>
      </c>
      <c r="P11" s="26" t="s">
        <v>105</v>
      </c>
    </row>
    <row r="12" spans="2:21" x14ac:dyDescent="0.2">
      <c r="B12" s="5"/>
      <c r="C12" s="2"/>
      <c r="O12" s="96"/>
    </row>
    <row r="13" spans="2:21" x14ac:dyDescent="0.2">
      <c r="B13" s="5" t="s">
        <v>22</v>
      </c>
      <c r="C13" s="6" t="s">
        <v>107</v>
      </c>
      <c r="D13" s="7">
        <f>'Forecast BD'!N27</f>
        <v>126173911.86905484</v>
      </c>
      <c r="E13" s="8">
        <v>1.9099999999999999E-2</v>
      </c>
      <c r="F13" s="9">
        <f>D13*E13</f>
        <v>2409921.7166989474</v>
      </c>
      <c r="G13" s="10">
        <f>F13*$G$25</f>
        <v>168694.52016892633</v>
      </c>
      <c r="H13" s="10">
        <f>F13+G13</f>
        <v>2578616.2368678739</v>
      </c>
      <c r="I13" s="11">
        <f>ROUND(H13/D13,5)</f>
        <v>2.044E-2</v>
      </c>
      <c r="J13" s="11"/>
      <c r="K13" s="10">
        <f>(F13/$F$19)*-$L$36</f>
        <v>-106653.51009752118</v>
      </c>
      <c r="L13" s="11">
        <f>ROUND(K13/D13,5)</f>
        <v>-8.4999999999999995E-4</v>
      </c>
      <c r="M13" s="11"/>
      <c r="N13" s="10">
        <f>H13+K13</f>
        <v>2471962.7267703526</v>
      </c>
      <c r="O13" s="97">
        <f>I13+L13</f>
        <v>1.959E-2</v>
      </c>
      <c r="P13" s="8">
        <f>O13-E13</f>
        <v>4.9000000000000085E-4</v>
      </c>
      <c r="R13" s="88">
        <v>97675000</v>
      </c>
      <c r="S13" s="17">
        <f>(G13+K13)/R13</f>
        <v>6.3517798895730896E-4</v>
      </c>
      <c r="U13" s="66">
        <f>E13*(1+$G$25)</f>
        <v>2.0437E-2</v>
      </c>
    </row>
    <row r="14" spans="2:21" x14ac:dyDescent="0.2">
      <c r="B14" s="5" t="s">
        <v>23</v>
      </c>
      <c r="C14" s="6" t="s">
        <v>24</v>
      </c>
      <c r="D14" s="7">
        <f>'Forecast BD'!N28+'Forecast BD'!N29</f>
        <v>54969797.498789519</v>
      </c>
      <c r="E14" s="8">
        <v>1.6E-2</v>
      </c>
      <c r="F14" s="9">
        <f t="shared" ref="F14:F18" si="0">D14*E14</f>
        <v>879516.75998063234</v>
      </c>
      <c r="G14" s="10">
        <f>F14*$G$25</f>
        <v>61566.173198644268</v>
      </c>
      <c r="H14" s="10">
        <f t="shared" ref="H14:H18" si="1">F14+G14</f>
        <v>941082.93317927665</v>
      </c>
      <c r="I14" s="11">
        <f t="shared" ref="I14:I17" si="2">ROUND(H14/D14,5)</f>
        <v>1.712E-2</v>
      </c>
      <c r="J14" s="11"/>
      <c r="K14" s="10">
        <f t="shared" ref="K14:K18" si="3">(F14/$F$19)*-$L$36</f>
        <v>-38923.899059270407</v>
      </c>
      <c r="L14" s="11">
        <f>ROUND(K14/D14,5)</f>
        <v>-7.1000000000000002E-4</v>
      </c>
      <c r="M14" s="11"/>
      <c r="N14" s="10">
        <f t="shared" ref="N14:N18" si="4">H14+K14</f>
        <v>902159.03412000625</v>
      </c>
      <c r="O14" s="97">
        <f t="shared" ref="O14:O17" si="5">I14+L14</f>
        <v>1.6410000000000001E-2</v>
      </c>
      <c r="P14" s="8">
        <f>O14-E14</f>
        <v>4.1000000000000064E-4</v>
      </c>
      <c r="R14" s="88">
        <v>27366000</v>
      </c>
      <c r="S14" s="17">
        <f t="shared" ref="S14:S19" si="6">(G14+K14)/R14</f>
        <v>8.2738705471657758E-4</v>
      </c>
      <c r="U14" s="66">
        <f t="shared" ref="U14:U17" si="7">E14*(1+$G$25)</f>
        <v>1.712E-2</v>
      </c>
    </row>
    <row r="15" spans="2:21" ht="12.75" customHeight="1" x14ac:dyDescent="0.2">
      <c r="B15" s="12" t="s">
        <v>25</v>
      </c>
      <c r="C15" s="6" t="s">
        <v>26</v>
      </c>
      <c r="D15" s="7">
        <f>'Forecast BD'!N30</f>
        <v>4729515.4264328685</v>
      </c>
      <c r="E15" s="8">
        <v>1.4619999999999999E-2</v>
      </c>
      <c r="F15" s="9">
        <f t="shared" si="0"/>
        <v>69145.515534448539</v>
      </c>
      <c r="G15" s="10">
        <f>F15*$G$25</f>
        <v>4840.1860874113981</v>
      </c>
      <c r="H15" s="10">
        <f t="shared" si="1"/>
        <v>73985.701621859931</v>
      </c>
      <c r="I15" s="11">
        <f t="shared" si="2"/>
        <v>1.5640000000000001E-2</v>
      </c>
      <c r="J15" s="11"/>
      <c r="K15" s="10">
        <f t="shared" si="3"/>
        <v>-3060.1043544904774</v>
      </c>
      <c r="L15" s="11">
        <f>ROUND(K15/D15,5)</f>
        <v>-6.4999999999999997E-4</v>
      </c>
      <c r="M15" s="11"/>
      <c r="N15" s="10">
        <f t="shared" si="4"/>
        <v>70925.597267369449</v>
      </c>
      <c r="O15" s="97">
        <f t="shared" si="5"/>
        <v>1.4990000000000002E-2</v>
      </c>
      <c r="P15" s="8">
        <f>O15-E15</f>
        <v>3.7000000000000227E-4</v>
      </c>
      <c r="R15" s="88">
        <v>2208000</v>
      </c>
      <c r="S15" s="17">
        <f t="shared" si="6"/>
        <v>8.0619643701128655E-4</v>
      </c>
      <c r="U15" s="66">
        <f t="shared" si="7"/>
        <v>1.5643400000000002E-2</v>
      </c>
    </row>
    <row r="16" spans="2:21" x14ac:dyDescent="0.2">
      <c r="B16" s="5" t="s">
        <v>27</v>
      </c>
      <c r="C16" s="2" t="s">
        <v>28</v>
      </c>
      <c r="D16" s="7">
        <f>'Forecast BD'!N31</f>
        <v>938463.28597343725</v>
      </c>
      <c r="E16" s="8">
        <v>1.404E-2</v>
      </c>
      <c r="F16" s="9">
        <f t="shared" si="0"/>
        <v>13176.024535067059</v>
      </c>
      <c r="G16" s="10">
        <f>F16*$G$25</f>
        <v>922.32171745469429</v>
      </c>
      <c r="H16" s="10">
        <f t="shared" si="1"/>
        <v>14098.346252521753</v>
      </c>
      <c r="I16" s="11">
        <f t="shared" si="2"/>
        <v>1.502E-2</v>
      </c>
      <c r="J16" s="11"/>
      <c r="K16" s="10">
        <f t="shared" si="3"/>
        <v>-583.11822166608192</v>
      </c>
      <c r="L16" s="11">
        <f>ROUND(K16/D16,5)</f>
        <v>-6.2E-4</v>
      </c>
      <c r="M16" s="11"/>
      <c r="N16" s="10">
        <f t="shared" si="4"/>
        <v>13515.228030855671</v>
      </c>
      <c r="O16" s="97">
        <f t="shared" si="5"/>
        <v>1.44E-2</v>
      </c>
      <c r="P16" s="8">
        <f>O16-E16</f>
        <v>3.5999999999999921E-4</v>
      </c>
      <c r="R16" s="88">
        <v>419000</v>
      </c>
      <c r="S16" s="17">
        <f t="shared" si="6"/>
        <v>8.0955488255038757E-4</v>
      </c>
      <c r="U16" s="66">
        <f t="shared" si="7"/>
        <v>1.5022800000000001E-2</v>
      </c>
    </row>
    <row r="17" spans="2:21" ht="13.5" thickBot="1" x14ac:dyDescent="0.25">
      <c r="B17" s="5" t="s">
        <v>29</v>
      </c>
      <c r="C17" s="6" t="s">
        <v>30</v>
      </c>
      <c r="D17" s="7">
        <f>'Forecast BD'!N32</f>
        <v>36727436</v>
      </c>
      <c r="E17" s="8">
        <v>8.3000000000000001E-4</v>
      </c>
      <c r="F17" s="9">
        <f t="shared" si="0"/>
        <v>30483.77188</v>
      </c>
      <c r="G17" s="10">
        <f>H17-F17</f>
        <v>-1993.7718800000002</v>
      </c>
      <c r="H17" s="10">
        <f>C30</f>
        <v>28490</v>
      </c>
      <c r="I17" s="11">
        <f t="shared" si="2"/>
        <v>7.7999999999999999E-4</v>
      </c>
      <c r="J17" s="11"/>
      <c r="K17" s="10">
        <f>(F17/$F$19)*-$L$36</f>
        <v>-1349.0899930424002</v>
      </c>
      <c r="L17" s="11">
        <f>ROUND(K17/D17,5)</f>
        <v>-4.0000000000000003E-5</v>
      </c>
      <c r="M17" s="11"/>
      <c r="N17" s="10">
        <f t="shared" si="4"/>
        <v>27140.910006957602</v>
      </c>
      <c r="O17" s="99">
        <f t="shared" si="5"/>
        <v>7.3999999999999999E-4</v>
      </c>
      <c r="P17" s="8">
        <f>O17-E17</f>
        <v>-9.0000000000000019E-5</v>
      </c>
      <c r="R17" s="88">
        <v>2783000</v>
      </c>
      <c r="S17" s="17">
        <f t="shared" si="6"/>
        <v>-1.2011720708021562E-3</v>
      </c>
      <c r="U17" s="66">
        <f t="shared" si="7"/>
        <v>8.8810000000000007E-4</v>
      </c>
    </row>
    <row r="18" spans="2:21" ht="15" x14ac:dyDescent="0.35">
      <c r="B18" s="5" t="s">
        <v>31</v>
      </c>
      <c r="C18" s="6" t="s">
        <v>32</v>
      </c>
      <c r="D18" s="13">
        <f>'Forecast BD'!N33</f>
        <v>49125858</v>
      </c>
      <c r="E18" s="8"/>
      <c r="F18" s="14">
        <f t="shared" si="0"/>
        <v>0</v>
      </c>
      <c r="G18" s="15">
        <f t="shared" ref="G18" si="8">F18*$G$27</f>
        <v>0</v>
      </c>
      <c r="H18" s="15">
        <f t="shared" si="1"/>
        <v>0</v>
      </c>
      <c r="I18" s="11"/>
      <c r="J18" s="11"/>
      <c r="K18" s="15">
        <f t="shared" si="3"/>
        <v>0</v>
      </c>
      <c r="L18" s="11"/>
      <c r="M18" s="11"/>
      <c r="N18" s="15">
        <f t="shared" si="4"/>
        <v>0</v>
      </c>
      <c r="O18" s="11"/>
      <c r="R18" s="88">
        <v>1612000</v>
      </c>
      <c r="S18" s="17">
        <f t="shared" si="6"/>
        <v>0</v>
      </c>
      <c r="U18" s="66"/>
    </row>
    <row r="19" spans="2:21" x14ac:dyDescent="0.2">
      <c r="B19" s="16" t="s">
        <v>33</v>
      </c>
      <c r="C19" s="2"/>
      <c r="D19" s="7">
        <f>SUM(D13:D18)</f>
        <v>272664982.08025062</v>
      </c>
      <c r="F19" s="10">
        <f>SUM(F13:F18)</f>
        <v>3402243.7886290951</v>
      </c>
      <c r="G19" s="10">
        <f>SUM(G13:G18)</f>
        <v>234029.42929243669</v>
      </c>
      <c r="H19" s="10">
        <f>SUM(H13:H18)</f>
        <v>3636273.2179215322</v>
      </c>
      <c r="I19" s="10"/>
      <c r="J19" s="10"/>
      <c r="K19" s="10">
        <f>SUM(K13:K18)</f>
        <v>-150569.72172599053</v>
      </c>
      <c r="L19" s="10"/>
      <c r="M19" s="10"/>
      <c r="N19" s="10">
        <f>SUM(N13:N18)</f>
        <v>3485703.4961955417</v>
      </c>
      <c r="R19" s="9">
        <f>SUM(R13:R18)</f>
        <v>132063000</v>
      </c>
      <c r="S19" s="17">
        <f t="shared" si="6"/>
        <v>6.3196889035116693E-4</v>
      </c>
    </row>
    <row r="21" spans="2:21" x14ac:dyDescent="0.2">
      <c r="E21" t="s">
        <v>91</v>
      </c>
      <c r="F21" s="9">
        <f>F19*G26</f>
        <v>3244158.5309904441</v>
      </c>
      <c r="G21" s="9">
        <f>G19*G26</f>
        <v>223155.25186036361</v>
      </c>
      <c r="H21" s="9">
        <f>H19*G26</f>
        <v>3467313.7828508085</v>
      </c>
      <c r="I21" s="9"/>
      <c r="J21" s="9"/>
      <c r="K21" s="9"/>
      <c r="L21" s="9"/>
      <c r="M21" s="9"/>
      <c r="N21" s="9">
        <f>N19-F19</f>
        <v>83459.707566446625</v>
      </c>
      <c r="O21" s="10">
        <f>(G19*G26)-G21</f>
        <v>0</v>
      </c>
    </row>
    <row r="22" spans="2:21" x14ac:dyDescent="0.2">
      <c r="G22" s="23">
        <f>G21/F21</f>
        <v>6.8786790080888602E-2</v>
      </c>
    </row>
    <row r="24" spans="2:21" ht="13.5" thickBot="1" x14ac:dyDescent="0.25"/>
    <row r="25" spans="2:21" x14ac:dyDescent="0.2">
      <c r="B25" s="84" t="s">
        <v>120</v>
      </c>
      <c r="C25" s="77"/>
      <c r="G25" s="23">
        <v>7.0000000000000007E-2</v>
      </c>
      <c r="H25" t="s">
        <v>121</v>
      </c>
      <c r="L25" s="10">
        <f>F21*G25</f>
        <v>227091.0971693311</v>
      </c>
      <c r="M25" s="10"/>
    </row>
    <row r="26" spans="2:21" x14ac:dyDescent="0.2">
      <c r="B26" s="78"/>
      <c r="C26" s="79"/>
      <c r="G26" s="30">
        <f>'G Rev Conv'!C25</f>
        <v>0.95353500000000002</v>
      </c>
      <c r="H26" t="s">
        <v>55</v>
      </c>
      <c r="L26" s="10"/>
      <c r="M26" s="10"/>
    </row>
    <row r="27" spans="2:21" x14ac:dyDescent="0.2">
      <c r="B27" s="78" t="s">
        <v>124</v>
      </c>
      <c r="C27" s="85">
        <v>2849000</v>
      </c>
      <c r="G27" s="17"/>
      <c r="L27" s="9"/>
      <c r="M27" s="9"/>
    </row>
    <row r="28" spans="2:21" x14ac:dyDescent="0.2">
      <c r="B28" s="80"/>
      <c r="C28" s="81">
        <v>0.01</v>
      </c>
      <c r="H28" t="s">
        <v>106</v>
      </c>
    </row>
    <row r="29" spans="2:21" x14ac:dyDescent="0.2">
      <c r="B29" s="78"/>
      <c r="C29" s="79"/>
      <c r="K29" t="s">
        <v>49</v>
      </c>
      <c r="L29" s="68">
        <f>ROUND((65*0.63319),2)+9.5</f>
        <v>50.66</v>
      </c>
      <c r="M29" s="68"/>
      <c r="O29" s="27" t="s">
        <v>94</v>
      </c>
    </row>
    <row r="30" spans="2:21" ht="13.5" thickBot="1" x14ac:dyDescent="0.25">
      <c r="B30" s="82" t="s">
        <v>122</v>
      </c>
      <c r="C30" s="83">
        <f>C27*C28</f>
        <v>28490</v>
      </c>
      <c r="D30" s="27"/>
      <c r="E30" s="27"/>
      <c r="F30" s="27"/>
      <c r="G30" s="23"/>
      <c r="K30" t="s">
        <v>50</v>
      </c>
      <c r="L30" s="68">
        <f>ROUND((65*(0.63319+P13)),2)+9.5</f>
        <v>50.69</v>
      </c>
      <c r="M30" s="68"/>
    </row>
    <row r="31" spans="2:21" x14ac:dyDescent="0.2">
      <c r="K31" t="s">
        <v>51</v>
      </c>
      <c r="L31" s="28">
        <f>L30-L29</f>
        <v>3.0000000000001137E-2</v>
      </c>
      <c r="M31" s="28"/>
      <c r="N31" s="17">
        <f>L31/L29</f>
        <v>5.9218318199765374E-4</v>
      </c>
    </row>
    <row r="36" spans="7:14" x14ac:dyDescent="0.2">
      <c r="G36" t="s">
        <v>100</v>
      </c>
      <c r="L36" s="91">
        <f>'Prior Balances'!G34</f>
        <v>150569.72172599053</v>
      </c>
      <c r="M36" s="29"/>
      <c r="N36" t="s">
        <v>119</v>
      </c>
    </row>
  </sheetData>
  <pageMargins left="0.7" right="0.7" top="0.75" bottom="0.75" header="0.3" footer="0.3"/>
  <pageSetup scale="66" orientation="landscape" r:id="rId1"/>
  <headerFooter>
    <oddHeader>&amp;LAvista
Annual LIRAP Funding
2017</oddHeader>
    <oddFooter>&amp;L&amp;F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9"/>
  <sheetViews>
    <sheetView workbookViewId="0">
      <selection activeCell="I25" sqref="I25"/>
    </sheetView>
  </sheetViews>
  <sheetFormatPr defaultRowHeight="12.75" x14ac:dyDescent="0.2"/>
  <cols>
    <col min="1" max="1" width="42.42578125" bestFit="1" customWidth="1"/>
  </cols>
  <sheetData>
    <row r="1" spans="1:3" x14ac:dyDescent="0.2">
      <c r="A1" s="53" t="s">
        <v>56</v>
      </c>
      <c r="B1" s="42"/>
      <c r="C1" s="54"/>
    </row>
    <row r="2" spans="1:3" x14ac:dyDescent="0.2">
      <c r="A2" s="53" t="s">
        <v>70</v>
      </c>
      <c r="B2" s="42"/>
      <c r="C2" s="55"/>
    </row>
    <row r="3" spans="1:3" x14ac:dyDescent="0.2">
      <c r="A3" s="53" t="s">
        <v>128</v>
      </c>
      <c r="B3" s="42"/>
      <c r="C3" s="55"/>
    </row>
    <row r="4" spans="1:3" x14ac:dyDescent="0.2">
      <c r="A4" s="53" t="s">
        <v>125</v>
      </c>
      <c r="B4" s="56"/>
      <c r="C4" s="56"/>
    </row>
    <row r="5" spans="1:3" x14ac:dyDescent="0.2">
      <c r="A5" s="57"/>
      <c r="B5" s="43"/>
      <c r="C5" s="33"/>
    </row>
    <row r="6" spans="1:3" x14ac:dyDescent="0.2">
      <c r="A6" s="58"/>
      <c r="B6" s="43"/>
      <c r="C6" s="42"/>
    </row>
    <row r="7" spans="1:3" x14ac:dyDescent="0.2">
      <c r="A7" s="86" t="s">
        <v>129</v>
      </c>
      <c r="B7" s="43"/>
      <c r="C7" s="42"/>
    </row>
    <row r="8" spans="1:3" x14ac:dyDescent="0.2">
      <c r="A8" s="43"/>
      <c r="B8" s="43"/>
      <c r="C8" s="59"/>
    </row>
    <row r="9" spans="1:3" x14ac:dyDescent="0.2">
      <c r="A9" s="57"/>
      <c r="B9" s="43"/>
      <c r="C9" s="57"/>
    </row>
    <row r="10" spans="1:3" x14ac:dyDescent="0.2">
      <c r="A10" s="60" t="s">
        <v>60</v>
      </c>
      <c r="B10" s="43"/>
      <c r="C10" s="60" t="s">
        <v>61</v>
      </c>
    </row>
    <row r="11" spans="1:3" x14ac:dyDescent="0.2">
      <c r="A11" s="43"/>
      <c r="B11" s="43"/>
      <c r="C11" s="43"/>
    </row>
    <row r="12" spans="1:3" x14ac:dyDescent="0.2">
      <c r="A12" s="42" t="s">
        <v>62</v>
      </c>
      <c r="B12" s="43"/>
      <c r="C12" s="43">
        <v>1</v>
      </c>
    </row>
    <row r="13" spans="1:3" x14ac:dyDescent="0.2">
      <c r="A13" s="42"/>
      <c r="B13" s="43"/>
      <c r="C13" s="43"/>
    </row>
    <row r="14" spans="1:3" x14ac:dyDescent="0.2">
      <c r="A14" s="42" t="s">
        <v>63</v>
      </c>
      <c r="B14" s="43"/>
      <c r="C14" s="43"/>
    </row>
    <row r="15" spans="1:3" x14ac:dyDescent="0.2">
      <c r="A15" s="43" t="s">
        <v>71</v>
      </c>
      <c r="B15" s="43"/>
      <c r="C15" s="61">
        <v>6.1830000000000001E-3</v>
      </c>
    </row>
    <row r="16" spans="1:3" x14ac:dyDescent="0.2">
      <c r="A16" s="43"/>
      <c r="B16" s="43"/>
      <c r="C16" s="61"/>
    </row>
    <row r="17" spans="1:3" x14ac:dyDescent="0.2">
      <c r="A17" s="43" t="s">
        <v>72</v>
      </c>
      <c r="B17" s="43"/>
      <c r="C17" s="61">
        <v>2E-3</v>
      </c>
    </row>
    <row r="18" spans="1:3" x14ac:dyDescent="0.2">
      <c r="A18" s="43"/>
      <c r="B18" s="43"/>
      <c r="C18" s="61"/>
    </row>
    <row r="19" spans="1:3" x14ac:dyDescent="0.2">
      <c r="A19" s="43" t="s">
        <v>73</v>
      </c>
      <c r="B19" s="43"/>
      <c r="C19" s="61">
        <v>3.8281999999999997E-2</v>
      </c>
    </row>
    <row r="20" spans="1:3" x14ac:dyDescent="0.2">
      <c r="A20" s="43"/>
      <c r="B20" s="43"/>
      <c r="C20" s="61"/>
    </row>
    <row r="21" spans="1:3" x14ac:dyDescent="0.2">
      <c r="A21" s="43" t="s">
        <v>74</v>
      </c>
      <c r="B21" s="43"/>
      <c r="C21" s="61">
        <v>0</v>
      </c>
    </row>
    <row r="22" spans="1:3" x14ac:dyDescent="0.2">
      <c r="A22" s="43"/>
      <c r="B22" s="43"/>
      <c r="C22" s="61"/>
    </row>
    <row r="23" spans="1:3" x14ac:dyDescent="0.2">
      <c r="A23" s="43" t="s">
        <v>68</v>
      </c>
      <c r="B23" s="43"/>
      <c r="C23" s="62">
        <f>C15+C17+C19+C21</f>
        <v>4.6464999999999992E-2</v>
      </c>
    </row>
    <row r="24" spans="1:3" x14ac:dyDescent="0.2">
      <c r="A24" s="43"/>
      <c r="B24" s="43"/>
      <c r="C24" s="61"/>
    </row>
    <row r="25" spans="1:3" x14ac:dyDescent="0.2">
      <c r="A25" s="43" t="s">
        <v>69</v>
      </c>
      <c r="B25" s="43"/>
      <c r="C25" s="43">
        <f>C12-C23</f>
        <v>0.95353500000000002</v>
      </c>
    </row>
    <row r="26" spans="1:3" x14ac:dyDescent="0.2">
      <c r="A26" s="43"/>
      <c r="B26" s="43"/>
      <c r="C26" s="61"/>
    </row>
    <row r="27" spans="1:3" x14ac:dyDescent="0.2">
      <c r="A27" s="43" t="s">
        <v>126</v>
      </c>
      <c r="B27" s="47"/>
      <c r="C27" s="61">
        <v>0.200242</v>
      </c>
    </row>
    <row r="28" spans="1:3" x14ac:dyDescent="0.2">
      <c r="A28" s="43"/>
      <c r="B28" s="43"/>
      <c r="C28" s="61"/>
    </row>
    <row r="29" spans="1:3" x14ac:dyDescent="0.2">
      <c r="A29" s="43" t="s">
        <v>70</v>
      </c>
      <c r="B29" s="43"/>
      <c r="C29" s="43">
        <f>C25-C27</f>
        <v>0.75329299999999999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0:O34"/>
  <sheetViews>
    <sheetView workbookViewId="0">
      <selection activeCell="B40" sqref="B40"/>
    </sheetView>
  </sheetViews>
  <sheetFormatPr defaultRowHeight="12.75" x14ac:dyDescent="0.2"/>
  <cols>
    <col min="1" max="1" width="16.85546875" bestFit="1" customWidth="1"/>
    <col min="2" max="13" width="12.28515625" bestFit="1" customWidth="1"/>
    <col min="14" max="14" width="14" bestFit="1" customWidth="1"/>
  </cols>
  <sheetData>
    <row r="10" spans="1:14" x14ac:dyDescent="0.2">
      <c r="B10" s="63">
        <v>43374</v>
      </c>
      <c r="C10" s="63">
        <v>43405</v>
      </c>
      <c r="D10" s="63">
        <v>43435</v>
      </c>
      <c r="E10" s="63">
        <v>43466</v>
      </c>
      <c r="F10" s="63">
        <v>43497</v>
      </c>
      <c r="G10" s="63">
        <v>43525</v>
      </c>
      <c r="H10" s="63">
        <v>43556</v>
      </c>
      <c r="I10" s="63">
        <v>43586</v>
      </c>
      <c r="J10" s="63">
        <v>43617</v>
      </c>
      <c r="K10" s="63">
        <v>43647</v>
      </c>
      <c r="L10" s="63">
        <v>43678</v>
      </c>
      <c r="M10" s="63">
        <v>43709</v>
      </c>
      <c r="N10" t="s">
        <v>33</v>
      </c>
    </row>
    <row r="11" spans="1:14" x14ac:dyDescent="0.2">
      <c r="A11" t="s">
        <v>75</v>
      </c>
      <c r="B11" s="7">
        <v>177918259.81421155</v>
      </c>
      <c r="C11" s="7">
        <v>221885239.06378257</v>
      </c>
      <c r="D11" s="7">
        <v>281752864.9600153</v>
      </c>
      <c r="E11" s="7">
        <v>269096124.85328448</v>
      </c>
      <c r="F11" s="7">
        <v>220969040.82341322</v>
      </c>
      <c r="G11" s="7">
        <v>212731215.51071823</v>
      </c>
      <c r="H11" s="7">
        <v>170754523.24900281</v>
      </c>
      <c r="I11" s="7">
        <v>156360975.7966482</v>
      </c>
      <c r="J11" s="7">
        <v>148668087.39059395</v>
      </c>
      <c r="K11" s="7">
        <v>188439202.77841285</v>
      </c>
      <c r="L11" s="7">
        <v>180392735.78821561</v>
      </c>
      <c r="M11" s="7">
        <v>156834680.2126509</v>
      </c>
      <c r="N11" s="64">
        <f>SUM(B11:M11)</f>
        <v>2385802950.2409496</v>
      </c>
    </row>
    <row r="12" spans="1:14" x14ac:dyDescent="0.2">
      <c r="A12" t="s">
        <v>76</v>
      </c>
      <c r="B12" s="7">
        <v>44327460.785423934</v>
      </c>
      <c r="C12" s="7">
        <v>47406139.602476805</v>
      </c>
      <c r="D12" s="7">
        <v>54318048.63521602</v>
      </c>
      <c r="E12" s="7">
        <v>53700939.112151086</v>
      </c>
      <c r="F12" s="7">
        <v>46891492.759093083</v>
      </c>
      <c r="G12" s="7">
        <v>48217217.825882249</v>
      </c>
      <c r="H12" s="7">
        <v>42477006.797722019</v>
      </c>
      <c r="I12" s="7">
        <v>42442497.346628562</v>
      </c>
      <c r="J12" s="7">
        <v>42073885.89537698</v>
      </c>
      <c r="K12" s="7">
        <v>51161791.715529814</v>
      </c>
      <c r="L12" s="7">
        <v>48071894.983171813</v>
      </c>
      <c r="M12" s="7">
        <v>42609937.174266145</v>
      </c>
      <c r="N12" s="64">
        <f t="shared" ref="N12:N19" si="0">SUM(B12:M12)</f>
        <v>563698312.6329385</v>
      </c>
    </row>
    <row r="13" spans="1:14" x14ac:dyDescent="0.2">
      <c r="A13" t="s">
        <v>77</v>
      </c>
      <c r="B13" s="7">
        <v>4544135.4145603226</v>
      </c>
      <c r="C13" s="7">
        <v>5588555.7990103047</v>
      </c>
      <c r="D13" s="7">
        <v>6979847.6269938461</v>
      </c>
      <c r="E13" s="7">
        <v>7007443.9228768917</v>
      </c>
      <c r="F13" s="7">
        <v>5937441.3025396373</v>
      </c>
      <c r="G13" s="7">
        <v>5729738.3735474944</v>
      </c>
      <c r="H13" s="7">
        <v>4664116.0415253369</v>
      </c>
      <c r="I13" s="7">
        <v>4296994.9075845946</v>
      </c>
      <c r="J13" s="7">
        <v>3962626.6299576666</v>
      </c>
      <c r="K13" s="7">
        <v>4579280.0754368231</v>
      </c>
      <c r="L13" s="7">
        <v>4358502.1746083293</v>
      </c>
      <c r="M13" s="7">
        <v>4085800.2212012662</v>
      </c>
      <c r="N13" s="64">
        <f t="shared" si="0"/>
        <v>61734482.489842504</v>
      </c>
    </row>
    <row r="14" spans="1:14" x14ac:dyDescent="0.2">
      <c r="A14" t="s">
        <v>78</v>
      </c>
      <c r="B14" s="7">
        <v>114201384.98314969</v>
      </c>
      <c r="C14" s="7">
        <v>112604671.30723648</v>
      </c>
      <c r="D14" s="7">
        <v>121225414.9529402</v>
      </c>
      <c r="E14" s="7">
        <v>118228660.18634064</v>
      </c>
      <c r="F14" s="7">
        <v>105022856.50350273</v>
      </c>
      <c r="G14" s="7">
        <v>112622357.3904883</v>
      </c>
      <c r="H14" s="7">
        <v>105221235.60491721</v>
      </c>
      <c r="I14" s="7">
        <v>109955850.05098574</v>
      </c>
      <c r="J14" s="7">
        <v>109434500.60738356</v>
      </c>
      <c r="K14" s="7">
        <v>128648359.51082771</v>
      </c>
      <c r="L14" s="7">
        <v>120103566.14752185</v>
      </c>
      <c r="M14" s="7">
        <v>109472317.07103513</v>
      </c>
      <c r="N14" s="64">
        <f t="shared" si="0"/>
        <v>1366741174.3163292</v>
      </c>
    </row>
    <row r="15" spans="1:14" x14ac:dyDescent="0.2">
      <c r="A15" t="s">
        <v>79</v>
      </c>
      <c r="B15" s="7">
        <v>2419870.1136748288</v>
      </c>
      <c r="C15" s="7">
        <v>2720156.4003737248</v>
      </c>
      <c r="D15" s="7">
        <v>3266000.1827770555</v>
      </c>
      <c r="E15" s="7">
        <v>3274926.1309511657</v>
      </c>
      <c r="F15" s="7">
        <v>2785935.6656690561</v>
      </c>
      <c r="G15" s="7">
        <v>2777042.664239306</v>
      </c>
      <c r="H15" s="7">
        <v>2414480.5315774251</v>
      </c>
      <c r="I15" s="7">
        <v>2351173.3598491037</v>
      </c>
      <c r="J15" s="7">
        <v>2227671.4679230126</v>
      </c>
      <c r="K15" s="7">
        <v>2639886.0166443819</v>
      </c>
      <c r="L15" s="7">
        <v>2499677.4241502676</v>
      </c>
      <c r="M15" s="7">
        <v>2260398.8765786584</v>
      </c>
      <c r="N15" s="64">
        <f t="shared" si="0"/>
        <v>31637218.834407985</v>
      </c>
    </row>
    <row r="16" spans="1:14" x14ac:dyDescent="0.2">
      <c r="A16" t="s">
        <v>80</v>
      </c>
      <c r="B16" s="7">
        <v>96847816</v>
      </c>
      <c r="C16" s="7">
        <v>96232036</v>
      </c>
      <c r="D16" s="7">
        <v>93848005</v>
      </c>
      <c r="E16" s="7">
        <v>95200800</v>
      </c>
      <c r="F16" s="7">
        <v>95322333.416666657</v>
      </c>
      <c r="G16" s="7">
        <v>92097651.340277776</v>
      </c>
      <c r="H16" s="7">
        <v>95221310.400462955</v>
      </c>
      <c r="I16" s="7">
        <v>95100347.010513127</v>
      </c>
      <c r="J16" s="7">
        <v>96298346.169648603</v>
      </c>
      <c r="K16" s="7">
        <v>95172587.893913358</v>
      </c>
      <c r="L16" s="7">
        <v>98510934.395586789</v>
      </c>
      <c r="M16" s="7">
        <v>99552847.607073128</v>
      </c>
      <c r="N16" s="64">
        <f t="shared" si="0"/>
        <v>1149405015.2341425</v>
      </c>
    </row>
    <row r="17" spans="1:15" x14ac:dyDescent="0.2">
      <c r="A17" t="s">
        <v>81</v>
      </c>
      <c r="B17" s="7">
        <v>8562479.9844932929</v>
      </c>
      <c r="C17" s="7">
        <v>4107182.4517637021</v>
      </c>
      <c r="D17" s="7">
        <v>3738274.905414036</v>
      </c>
      <c r="E17" s="7">
        <v>3806208.902796831</v>
      </c>
      <c r="F17" s="7">
        <v>3627722.7855222886</v>
      </c>
      <c r="G17" s="7">
        <v>4556881.5749965915</v>
      </c>
      <c r="H17" s="7">
        <v>7176533.8352666423</v>
      </c>
      <c r="I17" s="7">
        <v>13141695.693785608</v>
      </c>
      <c r="J17" s="7">
        <v>17722518.825987853</v>
      </c>
      <c r="K17" s="7">
        <v>24698771.538410094</v>
      </c>
      <c r="L17" s="7">
        <v>24139091.041300911</v>
      </c>
      <c r="M17" s="7">
        <v>17137673.404026031</v>
      </c>
      <c r="N17" s="64">
        <f t="shared" si="0"/>
        <v>132415034.94376388</v>
      </c>
    </row>
    <row r="18" spans="1:15" x14ac:dyDescent="0.2">
      <c r="A18" t="s">
        <v>82</v>
      </c>
      <c r="B18" s="7">
        <v>537895.51483333355</v>
      </c>
      <c r="C18" s="7">
        <v>281765.11719908298</v>
      </c>
      <c r="D18" s="7">
        <v>286615.43257062446</v>
      </c>
      <c r="E18" s="7">
        <v>295075.51296918595</v>
      </c>
      <c r="F18" s="7">
        <v>255391.97274816537</v>
      </c>
      <c r="G18" s="7">
        <v>277172.86589721701</v>
      </c>
      <c r="H18" s="7">
        <v>451821.89953566127</v>
      </c>
      <c r="I18" s="7">
        <v>754125.55770002189</v>
      </c>
      <c r="J18" s="7">
        <v>1142943.7043939112</v>
      </c>
      <c r="K18" s="7">
        <v>1779228.093050943</v>
      </c>
      <c r="L18" s="7">
        <v>1625009.721977659</v>
      </c>
      <c r="M18" s="7">
        <v>1041427.8289120928</v>
      </c>
      <c r="N18" s="64">
        <f t="shared" si="0"/>
        <v>8728473.2217878979</v>
      </c>
    </row>
    <row r="19" spans="1:15" x14ac:dyDescent="0.2">
      <c r="A19" t="s">
        <v>83</v>
      </c>
      <c r="B19" s="7">
        <v>1373771.3133457596</v>
      </c>
      <c r="C19" s="7">
        <v>1290799.9649247518</v>
      </c>
      <c r="D19" s="7">
        <v>1384305.4186436597</v>
      </c>
      <c r="E19" s="7">
        <v>1395698.6063391431</v>
      </c>
      <c r="F19" s="7">
        <v>1275179.3102092501</v>
      </c>
      <c r="G19" s="7">
        <v>1244744.6911135332</v>
      </c>
      <c r="H19" s="7">
        <v>1228321.4036251963</v>
      </c>
      <c r="I19" s="7">
        <v>1181518.1785057436</v>
      </c>
      <c r="J19" s="7">
        <v>1071854.8331218716</v>
      </c>
      <c r="K19" s="7">
        <v>1219306.1121361735</v>
      </c>
      <c r="L19" s="7">
        <v>1138300.4244708719</v>
      </c>
      <c r="M19" s="7">
        <v>1135398.8318683293</v>
      </c>
      <c r="N19" s="64">
        <f t="shared" si="0"/>
        <v>14939199.088304283</v>
      </c>
    </row>
    <row r="20" spans="1:15" x14ac:dyDescent="0.2">
      <c r="N20" s="64">
        <f>SUM(N11:N19)</f>
        <v>5715101861.0024652</v>
      </c>
    </row>
    <row r="22" spans="1:15" x14ac:dyDescent="0.2">
      <c r="A22" t="s">
        <v>95</v>
      </c>
      <c r="B22" s="7">
        <v>35821357.600000001</v>
      </c>
      <c r="C22" s="7">
        <v>35732143</v>
      </c>
      <c r="D22" s="7">
        <v>34572201.600000001</v>
      </c>
      <c r="E22" s="7">
        <v>36113570</v>
      </c>
      <c r="F22" s="7">
        <v>32726690</v>
      </c>
      <c r="G22" s="7">
        <v>35200000</v>
      </c>
      <c r="H22" s="7">
        <v>34753100</v>
      </c>
      <c r="I22" s="7">
        <v>35551504</v>
      </c>
      <c r="J22" s="7">
        <v>34410688</v>
      </c>
      <c r="K22" s="7">
        <v>36445027</v>
      </c>
      <c r="L22" s="7">
        <v>36669177.000000007</v>
      </c>
      <c r="M22" s="7">
        <v>34310276</v>
      </c>
      <c r="N22" s="64">
        <f>SUM(B22:M22)</f>
        <v>422305734.19999999</v>
      </c>
      <c r="O22" t="s">
        <v>92</v>
      </c>
    </row>
    <row r="23" spans="1:15" x14ac:dyDescent="0.2">
      <c r="N23" s="64">
        <f>N20-N22</f>
        <v>5292796126.8024654</v>
      </c>
    </row>
    <row r="26" spans="1:15" x14ac:dyDescent="0.2">
      <c r="B26" s="63">
        <f>B10</f>
        <v>43374</v>
      </c>
      <c r="C26" s="63">
        <f t="shared" ref="C26:M26" si="1">C10</f>
        <v>43405</v>
      </c>
      <c r="D26" s="63">
        <f t="shared" si="1"/>
        <v>43435</v>
      </c>
      <c r="E26" s="63">
        <f t="shared" si="1"/>
        <v>43466</v>
      </c>
      <c r="F26" s="63">
        <f t="shared" si="1"/>
        <v>43497</v>
      </c>
      <c r="G26" s="63">
        <f t="shared" si="1"/>
        <v>43525</v>
      </c>
      <c r="H26" s="63">
        <f t="shared" si="1"/>
        <v>43556</v>
      </c>
      <c r="I26" s="63">
        <f t="shared" si="1"/>
        <v>43586</v>
      </c>
      <c r="J26" s="63">
        <f t="shared" si="1"/>
        <v>43617</v>
      </c>
      <c r="K26" s="63">
        <f t="shared" si="1"/>
        <v>43647</v>
      </c>
      <c r="L26" s="63">
        <f t="shared" si="1"/>
        <v>43678</v>
      </c>
      <c r="M26" s="63">
        <f t="shared" si="1"/>
        <v>43709</v>
      </c>
      <c r="N26" t="s">
        <v>33</v>
      </c>
    </row>
    <row r="27" spans="1:15" x14ac:dyDescent="0.2">
      <c r="A27" s="65" t="s">
        <v>84</v>
      </c>
      <c r="B27" s="7">
        <v>7701763.1214809753</v>
      </c>
      <c r="C27" s="7">
        <v>15387691.504134728</v>
      </c>
      <c r="D27" s="7">
        <v>22977493.401407786</v>
      </c>
      <c r="E27" s="7">
        <v>22572392.86993093</v>
      </c>
      <c r="F27" s="7">
        <v>18044864.179383673</v>
      </c>
      <c r="G27" s="7">
        <v>14969819.097326754</v>
      </c>
      <c r="H27" s="7">
        <v>9451270.1405688021</v>
      </c>
      <c r="I27" s="7">
        <v>5030517.7530769575</v>
      </c>
      <c r="J27" s="7">
        <v>2846316.8900918099</v>
      </c>
      <c r="K27" s="7">
        <v>2184405.0037857783</v>
      </c>
      <c r="L27" s="7">
        <v>2479637.8087541997</v>
      </c>
      <c r="M27" s="7">
        <v>2527740.0991124446</v>
      </c>
      <c r="N27" s="64">
        <f>SUM(B27:M27)</f>
        <v>126173911.86905484</v>
      </c>
    </row>
    <row r="28" spans="1:15" x14ac:dyDescent="0.2">
      <c r="A28" s="65" t="s">
        <v>85</v>
      </c>
      <c r="B28" s="7">
        <v>4600352.463120956</v>
      </c>
      <c r="C28" s="7">
        <v>7040097.6445452003</v>
      </c>
      <c r="D28" s="7">
        <v>8732477.825096678</v>
      </c>
      <c r="E28" s="7">
        <v>8920007.4445206318</v>
      </c>
      <c r="F28" s="7">
        <v>6634971.6214978471</v>
      </c>
      <c r="G28" s="7">
        <v>6017313.563422624</v>
      </c>
      <c r="H28" s="7">
        <v>3791211.0725946939</v>
      </c>
      <c r="I28" s="7">
        <v>2298888.3189190407</v>
      </c>
      <c r="J28" s="7">
        <v>1559495.2425886882</v>
      </c>
      <c r="K28" s="7">
        <v>1647738.073337218</v>
      </c>
      <c r="L28" s="7">
        <v>1400019.9269831663</v>
      </c>
      <c r="M28" s="7">
        <v>2188198.1012131041</v>
      </c>
      <c r="N28" s="64">
        <f t="shared" ref="N28:N33" si="2">SUM(B28:M28)</f>
        <v>54830771.297839858</v>
      </c>
    </row>
    <row r="29" spans="1:15" x14ac:dyDescent="0.2">
      <c r="A29" s="65" t="s">
        <v>123</v>
      </c>
      <c r="B29" s="7">
        <v>15929.298371941417</v>
      </c>
      <c r="C29" s="7">
        <v>21992.030217143711</v>
      </c>
      <c r="D29" s="7">
        <v>23429.017060866798</v>
      </c>
      <c r="E29" s="7">
        <v>20250.577434154729</v>
      </c>
      <c r="F29" s="7">
        <v>13010.31202546327</v>
      </c>
      <c r="G29" s="7">
        <v>11499.712882920985</v>
      </c>
      <c r="H29" s="7">
        <v>7665.597121790709</v>
      </c>
      <c r="I29" s="7">
        <v>4650.3698735219668</v>
      </c>
      <c r="J29" s="7">
        <v>3604.0537165676715</v>
      </c>
      <c r="K29" s="7">
        <v>4665.8219570081774</v>
      </c>
      <c r="L29" s="7">
        <v>4479.8291330914062</v>
      </c>
      <c r="M29" s="7">
        <v>7849.5811551929464</v>
      </c>
      <c r="N29" s="64">
        <f t="shared" si="2"/>
        <v>139026.20094966376</v>
      </c>
    </row>
    <row r="30" spans="1:15" x14ac:dyDescent="0.2">
      <c r="A30" s="65" t="s">
        <v>86</v>
      </c>
      <c r="B30" s="7">
        <v>473496.58980237989</v>
      </c>
      <c r="C30" s="7">
        <v>620911.20834802766</v>
      </c>
      <c r="D30" s="7">
        <v>527349.55100157659</v>
      </c>
      <c r="E30" s="7">
        <v>575525.41371634277</v>
      </c>
      <c r="F30" s="7">
        <v>472333.13873360242</v>
      </c>
      <c r="G30" s="7">
        <v>434669.27177471819</v>
      </c>
      <c r="H30" s="7">
        <v>313430.15285417554</v>
      </c>
      <c r="I30" s="7">
        <v>252835.90419457926</v>
      </c>
      <c r="J30" s="7">
        <v>211227.15637691299</v>
      </c>
      <c r="K30" s="7">
        <v>281350.79628296639</v>
      </c>
      <c r="L30" s="7">
        <v>238625.7694304933</v>
      </c>
      <c r="M30" s="7">
        <v>327760.47391709295</v>
      </c>
      <c r="N30" s="64">
        <f t="shared" si="2"/>
        <v>4729515.4264328685</v>
      </c>
    </row>
    <row r="31" spans="1:15" x14ac:dyDescent="0.2">
      <c r="A31" s="65" t="s">
        <v>87</v>
      </c>
      <c r="B31" s="7">
        <v>76529.620442368046</v>
      </c>
      <c r="C31" s="7">
        <v>118749.25838562621</v>
      </c>
      <c r="D31" s="7">
        <v>130308.81651723117</v>
      </c>
      <c r="E31" s="7">
        <v>138402.46382919731</v>
      </c>
      <c r="F31" s="7">
        <v>110424.38526851442</v>
      </c>
      <c r="G31" s="7">
        <v>100573.31351941936</v>
      </c>
      <c r="H31" s="7">
        <v>69932.360650378381</v>
      </c>
      <c r="I31" s="7">
        <v>51173.851866115787</v>
      </c>
      <c r="J31" s="7">
        <v>38319.32726484086</v>
      </c>
      <c r="K31" s="7">
        <v>44255.702001881873</v>
      </c>
      <c r="L31" s="7">
        <v>24592.75146685561</v>
      </c>
      <c r="M31" s="7">
        <v>35201.434761008131</v>
      </c>
      <c r="N31" s="64">
        <f t="shared" si="2"/>
        <v>938463.28597343725</v>
      </c>
    </row>
    <row r="32" spans="1:15" x14ac:dyDescent="0.2">
      <c r="A32" s="65" t="s">
        <v>88</v>
      </c>
      <c r="B32" s="7">
        <v>2306410</v>
      </c>
      <c r="C32" s="7">
        <v>3148266</v>
      </c>
      <c r="D32" s="7">
        <v>3495864</v>
      </c>
      <c r="E32" s="7">
        <v>4016476</v>
      </c>
      <c r="F32" s="7">
        <v>4194866</v>
      </c>
      <c r="G32" s="7">
        <v>3611777</v>
      </c>
      <c r="H32" s="7">
        <v>3565969</v>
      </c>
      <c r="I32" s="7">
        <v>3017941</v>
      </c>
      <c r="J32" s="7">
        <v>2601293</v>
      </c>
      <c r="K32" s="7">
        <v>2341923</v>
      </c>
      <c r="L32" s="7">
        <v>2192880</v>
      </c>
      <c r="M32" s="7">
        <v>2233771</v>
      </c>
      <c r="N32" s="64">
        <f t="shared" si="2"/>
        <v>36727436</v>
      </c>
    </row>
    <row r="33" spans="1:14" x14ac:dyDescent="0.2">
      <c r="A33" s="65" t="s">
        <v>89</v>
      </c>
      <c r="B33" s="7">
        <v>3573856</v>
      </c>
      <c r="C33" s="7">
        <v>4093119</v>
      </c>
      <c r="D33" s="7">
        <v>4472132</v>
      </c>
      <c r="E33" s="7">
        <v>4859180</v>
      </c>
      <c r="F33" s="7">
        <v>4952310</v>
      </c>
      <c r="G33" s="7">
        <v>4425620</v>
      </c>
      <c r="H33" s="7">
        <v>4424842</v>
      </c>
      <c r="I33" s="7">
        <v>4047057</v>
      </c>
      <c r="J33" s="7">
        <v>3733720</v>
      </c>
      <c r="K33" s="7">
        <v>3592927</v>
      </c>
      <c r="L33" s="7">
        <v>3413044</v>
      </c>
      <c r="M33" s="7">
        <v>3538051</v>
      </c>
      <c r="N33" s="64">
        <f t="shared" si="2"/>
        <v>49125858</v>
      </c>
    </row>
    <row r="34" spans="1:14" x14ac:dyDescent="0.2">
      <c r="N34" s="64">
        <f>SUM(N27:N33)</f>
        <v>272664982.08025068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X39"/>
  <sheetViews>
    <sheetView workbookViewId="0">
      <selection activeCell="E15" sqref="E15"/>
    </sheetView>
  </sheetViews>
  <sheetFormatPr defaultRowHeight="12.75" x14ac:dyDescent="0.2"/>
  <cols>
    <col min="1" max="1" width="12.140625" customWidth="1"/>
    <col min="2" max="2" width="19.42578125" bestFit="1" customWidth="1"/>
    <col min="3" max="3" width="20.7109375" bestFit="1" customWidth="1"/>
    <col min="4" max="4" width="11.85546875" bestFit="1" customWidth="1"/>
    <col min="5" max="5" width="14.28515625" bestFit="1" customWidth="1"/>
    <col min="6" max="6" width="11.140625" customWidth="1"/>
    <col min="7" max="7" width="19.42578125" bestFit="1" customWidth="1"/>
    <col min="8" max="8" width="20.7109375" bestFit="1" customWidth="1"/>
    <col min="9" max="9" width="12.28515625" bestFit="1" customWidth="1"/>
    <col min="10" max="10" width="14.28515625" bestFit="1" customWidth="1"/>
    <col min="11" max="11" width="14.28515625" customWidth="1"/>
    <col min="12" max="12" width="10.140625" bestFit="1" customWidth="1"/>
    <col min="13" max="13" width="12.28515625" bestFit="1" customWidth="1"/>
    <col min="14" max="14" width="11.5703125" bestFit="1" customWidth="1"/>
    <col min="15" max="15" width="10.42578125" bestFit="1" customWidth="1"/>
    <col min="16" max="16" width="9.7109375" bestFit="1" customWidth="1"/>
    <col min="17" max="17" width="11.28515625" bestFit="1" customWidth="1"/>
    <col min="18" max="18" width="11.28515625" customWidth="1"/>
    <col min="19" max="19" width="10.140625" bestFit="1" customWidth="1"/>
    <col min="20" max="20" width="12.28515625" bestFit="1" customWidth="1"/>
    <col min="21" max="21" width="11.5703125" bestFit="1" customWidth="1"/>
    <col min="22" max="22" width="10.42578125" bestFit="1" customWidth="1"/>
    <col min="23" max="23" width="9.7109375" bestFit="1" customWidth="1"/>
    <col min="24" max="24" width="11.28515625" bestFit="1" customWidth="1"/>
  </cols>
  <sheetData>
    <row r="3" spans="1:24" x14ac:dyDescent="0.2">
      <c r="A3" t="s">
        <v>109</v>
      </c>
      <c r="F3" t="s">
        <v>115</v>
      </c>
    </row>
    <row r="4" spans="1:24" x14ac:dyDescent="0.2">
      <c r="A4" t="s">
        <v>110</v>
      </c>
      <c r="F4" t="s">
        <v>116</v>
      </c>
    </row>
    <row r="5" spans="1:24" x14ac:dyDescent="0.2">
      <c r="A5" t="s">
        <v>111</v>
      </c>
      <c r="F5" t="s">
        <v>111</v>
      </c>
    </row>
    <row r="6" spans="1:24" x14ac:dyDescent="0.2"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x14ac:dyDescent="0.2"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4" x14ac:dyDescent="0.2">
      <c r="B8" t="s">
        <v>112</v>
      </c>
      <c r="C8" t="s">
        <v>113</v>
      </c>
      <c r="G8" t="s">
        <v>112</v>
      </c>
      <c r="H8" t="s">
        <v>113</v>
      </c>
      <c r="M8" s="87" t="s">
        <v>130</v>
      </c>
      <c r="N8" s="87" t="s">
        <v>131</v>
      </c>
      <c r="O8" s="87" t="s">
        <v>132</v>
      </c>
      <c r="P8" s="87" t="s">
        <v>8</v>
      </c>
      <c r="Q8" s="87" t="s">
        <v>133</v>
      </c>
      <c r="R8" s="87"/>
      <c r="S8" s="87"/>
      <c r="T8" s="87" t="s">
        <v>130</v>
      </c>
      <c r="U8" s="87" t="s">
        <v>131</v>
      </c>
      <c r="V8" s="87" t="s">
        <v>132</v>
      </c>
      <c r="W8" s="87" t="s">
        <v>8</v>
      </c>
      <c r="X8" s="87" t="s">
        <v>133</v>
      </c>
    </row>
    <row r="9" spans="1:24" x14ac:dyDescent="0.2">
      <c r="A9" s="71">
        <v>42643</v>
      </c>
      <c r="B9" s="9">
        <v>0</v>
      </c>
      <c r="C9" s="74">
        <f>4934334</f>
        <v>4934334</v>
      </c>
      <c r="F9" s="71">
        <v>42643</v>
      </c>
      <c r="G9" s="9">
        <v>0</v>
      </c>
      <c r="H9" s="74">
        <v>2794541</v>
      </c>
      <c r="L9" s="71">
        <v>42643</v>
      </c>
      <c r="M9" s="9">
        <v>0</v>
      </c>
      <c r="N9" s="9"/>
      <c r="O9" s="9"/>
      <c r="P9" s="9">
        <f>M9-N9-O9</f>
        <v>0</v>
      </c>
      <c r="Q9" s="9"/>
      <c r="R9" s="9"/>
      <c r="S9" s="71">
        <v>42643</v>
      </c>
      <c r="T9" s="9">
        <v>0</v>
      </c>
      <c r="U9" s="9"/>
      <c r="V9" s="9"/>
      <c r="W9" s="9">
        <f>T9-U9-V9</f>
        <v>0</v>
      </c>
    </row>
    <row r="10" spans="1:24" x14ac:dyDescent="0.2">
      <c r="A10" s="71">
        <v>42674</v>
      </c>
      <c r="B10" s="9">
        <v>334041.53884413</v>
      </c>
      <c r="C10" s="9">
        <f>C9</f>
        <v>4934334</v>
      </c>
      <c r="F10" s="71">
        <v>42674</v>
      </c>
      <c r="G10" s="9">
        <v>111990.24454741999</v>
      </c>
      <c r="H10" s="9">
        <f>H9</f>
        <v>2794541</v>
      </c>
      <c r="L10" s="71">
        <v>42674</v>
      </c>
      <c r="M10" s="9">
        <v>345862.52884412999</v>
      </c>
      <c r="N10" s="9">
        <v>10339.94</v>
      </c>
      <c r="O10" s="9">
        <v>1481.05</v>
      </c>
      <c r="P10" s="9">
        <f t="shared" ref="P10:P32" si="0">M10-N10-O10</f>
        <v>334041.53884413</v>
      </c>
      <c r="Q10" s="9">
        <f>P10</f>
        <v>334041.53884413</v>
      </c>
      <c r="R10" s="9"/>
      <c r="S10" s="71">
        <v>42674</v>
      </c>
      <c r="T10" s="9">
        <v>116144.05454741999</v>
      </c>
      <c r="U10" s="9">
        <v>3638.04</v>
      </c>
      <c r="V10" s="9">
        <v>515.77</v>
      </c>
      <c r="W10" s="9">
        <f t="shared" ref="W10:W32" si="1">T10-U10-V10</f>
        <v>111990.24454741999</v>
      </c>
      <c r="X10" s="10">
        <f>W10</f>
        <v>111990.24454741999</v>
      </c>
    </row>
    <row r="11" spans="1:24" x14ac:dyDescent="0.2">
      <c r="A11" s="71">
        <v>42704</v>
      </c>
      <c r="B11" s="9">
        <v>692064.90867512999</v>
      </c>
      <c r="C11" s="9">
        <f t="shared" ref="C11:C21" si="2">C10</f>
        <v>4934334</v>
      </c>
      <c r="F11" s="71">
        <v>42704</v>
      </c>
      <c r="G11" s="9">
        <v>308675.28941341996</v>
      </c>
      <c r="H11" s="9">
        <f t="shared" ref="H11:H21" si="3">H10</f>
        <v>2794541</v>
      </c>
      <c r="L11" s="71">
        <v>42704</v>
      </c>
      <c r="M11" s="9">
        <v>370693.02983099996</v>
      </c>
      <c r="N11" s="9">
        <v>11082.28</v>
      </c>
      <c r="O11" s="9">
        <v>1587.38</v>
      </c>
      <c r="P11" s="9">
        <f t="shared" si="0"/>
        <v>358023.36983099993</v>
      </c>
      <c r="Q11" s="9">
        <f>P11+Q10</f>
        <v>692064.90867512999</v>
      </c>
      <c r="R11" s="9"/>
      <c r="S11" s="71">
        <v>42704</v>
      </c>
      <c r="T11" s="9">
        <v>203980.26486599998</v>
      </c>
      <c r="U11" s="9">
        <v>6389.38</v>
      </c>
      <c r="V11" s="9">
        <v>905.84</v>
      </c>
      <c r="W11" s="9">
        <f t="shared" si="1"/>
        <v>196685.04486599998</v>
      </c>
      <c r="X11" s="10">
        <f>X10+W11</f>
        <v>308675.28941341996</v>
      </c>
    </row>
    <row r="12" spans="1:24" x14ac:dyDescent="0.2">
      <c r="A12" s="71">
        <v>42735</v>
      </c>
      <c r="B12" s="9">
        <v>1147216.2895299799</v>
      </c>
      <c r="C12" s="9">
        <f t="shared" si="2"/>
        <v>4934334</v>
      </c>
      <c r="F12" s="71">
        <v>42735</v>
      </c>
      <c r="G12" s="9">
        <v>707036.95447679993</v>
      </c>
      <c r="H12" s="9">
        <f t="shared" si="3"/>
        <v>2794541</v>
      </c>
      <c r="L12" s="71">
        <v>42735</v>
      </c>
      <c r="M12" s="9">
        <v>471258.18085484998</v>
      </c>
      <c r="N12" s="9">
        <v>14088.78</v>
      </c>
      <c r="O12" s="9">
        <v>2018.02</v>
      </c>
      <c r="P12" s="9">
        <f t="shared" si="0"/>
        <v>455151.38085484994</v>
      </c>
      <c r="Q12" s="9">
        <f t="shared" ref="Q12:Q32" si="4">P12+Q11</f>
        <v>1147216.2895299799</v>
      </c>
      <c r="R12" s="9"/>
      <c r="S12" s="71">
        <v>42735</v>
      </c>
      <c r="T12" s="88">
        <v>413137.22506337997</v>
      </c>
      <c r="U12" s="9">
        <v>12940.9</v>
      </c>
      <c r="V12" s="9">
        <v>1834.66</v>
      </c>
      <c r="W12" s="9">
        <f t="shared" si="1"/>
        <v>398361.66506337997</v>
      </c>
      <c r="X12" s="10">
        <f t="shared" ref="X12:X32" si="5">X11+W12</f>
        <v>707036.95447679993</v>
      </c>
    </row>
    <row r="13" spans="1:24" x14ac:dyDescent="0.2">
      <c r="A13" s="71">
        <v>42766</v>
      </c>
      <c r="B13" s="9">
        <v>1702566.8416162499</v>
      </c>
      <c r="C13" s="9">
        <f t="shared" si="2"/>
        <v>4934334</v>
      </c>
      <c r="F13" s="71">
        <v>42766</v>
      </c>
      <c r="G13" s="9">
        <v>1325062.2925519999</v>
      </c>
      <c r="H13" s="9">
        <f t="shared" si="3"/>
        <v>2794541</v>
      </c>
      <c r="L13" s="71">
        <v>42766</v>
      </c>
      <c r="M13" s="9">
        <v>575003.18208626995</v>
      </c>
      <c r="N13" s="9">
        <v>17190.349999999999</v>
      </c>
      <c r="O13" s="9">
        <v>2462.2800000000002</v>
      </c>
      <c r="P13" s="9">
        <f t="shared" si="0"/>
        <v>555350.55208626995</v>
      </c>
      <c r="Q13" s="9">
        <f t="shared" si="4"/>
        <v>1702566.8416162499</v>
      </c>
      <c r="R13" s="9"/>
      <c r="S13" s="71">
        <v>42766</v>
      </c>
      <c r="T13" s="88">
        <v>640948.40807519993</v>
      </c>
      <c r="U13" s="9">
        <v>20076.75</v>
      </c>
      <c r="V13" s="9">
        <v>2846.32</v>
      </c>
      <c r="W13" s="9">
        <f t="shared" si="1"/>
        <v>618025.33807519998</v>
      </c>
      <c r="X13" s="10">
        <f t="shared" si="5"/>
        <v>1325062.2925519999</v>
      </c>
    </row>
    <row r="14" spans="1:24" x14ac:dyDescent="0.2">
      <c r="A14" s="71">
        <v>42794</v>
      </c>
      <c r="B14" s="9">
        <v>2186546.88763039</v>
      </c>
      <c r="C14" s="9">
        <f t="shared" si="2"/>
        <v>4934334</v>
      </c>
      <c r="F14" s="71">
        <v>42794</v>
      </c>
      <c r="G14" s="9">
        <v>1837237.5405154601</v>
      </c>
      <c r="H14" s="9">
        <f t="shared" si="3"/>
        <v>2794541</v>
      </c>
      <c r="L14" s="71">
        <v>42794</v>
      </c>
      <c r="M14" s="9">
        <v>501107.03601414</v>
      </c>
      <c r="N14" s="9">
        <v>14981.15</v>
      </c>
      <c r="O14" s="9">
        <v>2145.84</v>
      </c>
      <c r="P14" s="9">
        <f t="shared" si="0"/>
        <v>483980.04601413995</v>
      </c>
      <c r="Q14" s="9">
        <f t="shared" si="4"/>
        <v>2186546.88763039</v>
      </c>
      <c r="R14" s="9"/>
      <c r="S14" s="71">
        <v>42794</v>
      </c>
      <c r="T14" s="88">
        <v>531172.24796346005</v>
      </c>
      <c r="U14" s="9">
        <v>16638.169999999998</v>
      </c>
      <c r="V14" s="9">
        <v>2358.83</v>
      </c>
      <c r="W14" s="9">
        <f t="shared" si="1"/>
        <v>512175.24796346005</v>
      </c>
      <c r="X14" s="10">
        <f t="shared" si="5"/>
        <v>1837237.5405154601</v>
      </c>
    </row>
    <row r="15" spans="1:24" x14ac:dyDescent="0.2">
      <c r="A15" s="71">
        <v>42825</v>
      </c>
      <c r="B15" s="9">
        <v>2612980.64938216</v>
      </c>
      <c r="C15" s="9">
        <f t="shared" si="2"/>
        <v>4934334</v>
      </c>
      <c r="F15" s="71">
        <v>42825</v>
      </c>
      <c r="G15" s="9">
        <v>2226553.6894426201</v>
      </c>
      <c r="H15" s="9">
        <f t="shared" si="3"/>
        <v>2794541</v>
      </c>
      <c r="L15" s="71">
        <v>42825</v>
      </c>
      <c r="M15" s="9">
        <v>441524.33175176999</v>
      </c>
      <c r="N15" s="9">
        <v>13199.87</v>
      </c>
      <c r="O15" s="9">
        <v>1890.7</v>
      </c>
      <c r="P15" s="9">
        <f t="shared" si="0"/>
        <v>426433.76175176998</v>
      </c>
      <c r="Q15" s="9">
        <f t="shared" si="4"/>
        <v>2612980.64938216</v>
      </c>
      <c r="R15" s="9"/>
      <c r="S15" s="71">
        <v>42825</v>
      </c>
      <c r="T15" s="9">
        <v>403756.20892716001</v>
      </c>
      <c r="U15" s="9">
        <v>12647.06</v>
      </c>
      <c r="V15" s="9">
        <v>1793</v>
      </c>
      <c r="W15" s="9">
        <f t="shared" si="1"/>
        <v>389316.14892716001</v>
      </c>
      <c r="X15" s="10">
        <f t="shared" si="5"/>
        <v>2226553.6894426201</v>
      </c>
    </row>
    <row r="16" spans="1:24" x14ac:dyDescent="0.2">
      <c r="A16" s="71">
        <v>42855</v>
      </c>
      <c r="B16" s="9">
        <v>2995171.56788777</v>
      </c>
      <c r="C16" s="9">
        <f t="shared" si="2"/>
        <v>4934334</v>
      </c>
      <c r="F16" s="71">
        <v>42855</v>
      </c>
      <c r="G16" s="9">
        <v>2497613.9934062604</v>
      </c>
      <c r="H16" s="9">
        <f t="shared" si="3"/>
        <v>2794541</v>
      </c>
      <c r="L16" s="71">
        <v>42855</v>
      </c>
      <c r="M16" s="9">
        <v>395715.80850560998</v>
      </c>
      <c r="N16" s="9">
        <v>11830.36</v>
      </c>
      <c r="O16" s="9">
        <v>1694.53</v>
      </c>
      <c r="P16" s="9">
        <f t="shared" si="0"/>
        <v>382190.91850560997</v>
      </c>
      <c r="Q16" s="9">
        <f t="shared" si="4"/>
        <v>2995171.56788777</v>
      </c>
      <c r="R16" s="9"/>
      <c r="S16" s="71">
        <v>42855</v>
      </c>
      <c r="T16" s="9">
        <v>281114.15396363998</v>
      </c>
      <c r="U16" s="9">
        <v>8805.48</v>
      </c>
      <c r="V16" s="9">
        <v>1248.3699999999999</v>
      </c>
      <c r="W16" s="9">
        <f t="shared" si="1"/>
        <v>271060.30396364001</v>
      </c>
      <c r="X16" s="10">
        <f t="shared" si="5"/>
        <v>2497613.9934062604</v>
      </c>
    </row>
    <row r="17" spans="1:24" x14ac:dyDescent="0.2">
      <c r="A17" s="71">
        <v>42886</v>
      </c>
      <c r="B17" s="9">
        <v>3348436.1532775601</v>
      </c>
      <c r="C17" s="9">
        <f t="shared" si="2"/>
        <v>4934334</v>
      </c>
      <c r="F17" s="71">
        <v>42886</v>
      </c>
      <c r="G17" s="9">
        <v>2680844.0625255005</v>
      </c>
      <c r="H17" s="9">
        <f t="shared" si="3"/>
        <v>2794541</v>
      </c>
      <c r="L17" s="71">
        <v>42886</v>
      </c>
      <c r="M17" s="9">
        <v>365765.83538978995</v>
      </c>
      <c r="N17" s="9">
        <v>10934.97</v>
      </c>
      <c r="O17" s="9">
        <v>1566.28</v>
      </c>
      <c r="P17" s="9">
        <f t="shared" si="0"/>
        <v>353264.58538978995</v>
      </c>
      <c r="Q17" s="9">
        <f t="shared" si="4"/>
        <v>3348436.1532775601</v>
      </c>
      <c r="R17" s="9"/>
      <c r="S17" s="71">
        <v>42886</v>
      </c>
      <c r="T17" s="9">
        <v>190026.22911924002</v>
      </c>
      <c r="U17" s="9">
        <v>5952.29</v>
      </c>
      <c r="V17" s="9">
        <v>843.87</v>
      </c>
      <c r="W17" s="9">
        <f t="shared" si="1"/>
        <v>183230.06911924001</v>
      </c>
      <c r="X17" s="10">
        <f t="shared" si="5"/>
        <v>2680844.0625255005</v>
      </c>
    </row>
    <row r="18" spans="1:24" x14ac:dyDescent="0.2">
      <c r="A18" s="71">
        <v>42916</v>
      </c>
      <c r="B18" s="9">
        <v>3707308.4204939399</v>
      </c>
      <c r="C18" s="9">
        <f t="shared" si="2"/>
        <v>4934334</v>
      </c>
      <c r="F18" s="71">
        <v>42916</v>
      </c>
      <c r="G18" s="9">
        <v>2779479.9279839206</v>
      </c>
      <c r="H18" s="9">
        <f t="shared" si="3"/>
        <v>2794541</v>
      </c>
      <c r="L18" s="71">
        <v>42916</v>
      </c>
      <c r="M18" s="9">
        <v>371571.96721638</v>
      </c>
      <c r="N18" s="9">
        <v>11108.55</v>
      </c>
      <c r="O18" s="9">
        <v>1591.15</v>
      </c>
      <c r="P18" s="9">
        <f t="shared" si="0"/>
        <v>358872.26721637999</v>
      </c>
      <c r="Q18" s="9">
        <f t="shared" si="4"/>
        <v>3707308.4204939399</v>
      </c>
      <c r="R18" s="9"/>
      <c r="S18" s="71">
        <v>42916</v>
      </c>
      <c r="T18" s="9">
        <v>102294.35545841999</v>
      </c>
      <c r="U18" s="9">
        <v>3204.22</v>
      </c>
      <c r="V18" s="9">
        <v>454.27</v>
      </c>
      <c r="W18" s="9">
        <f t="shared" si="1"/>
        <v>98635.865458419983</v>
      </c>
      <c r="X18" s="10">
        <f t="shared" si="5"/>
        <v>2779479.9279839206</v>
      </c>
    </row>
    <row r="19" spans="1:24" x14ac:dyDescent="0.2">
      <c r="A19" s="71">
        <v>42947</v>
      </c>
      <c r="B19" s="9">
        <v>4066064.1834599399</v>
      </c>
      <c r="C19" s="9">
        <f t="shared" si="2"/>
        <v>4934334</v>
      </c>
      <c r="F19" s="71">
        <v>42947</v>
      </c>
      <c r="G19" s="9">
        <v>2846309.3025539205</v>
      </c>
      <c r="H19" s="9">
        <f t="shared" si="3"/>
        <v>2794541</v>
      </c>
      <c r="I19" s="9"/>
      <c r="L19" s="71">
        <v>42947</v>
      </c>
      <c r="M19" s="9">
        <v>371451.34296599997</v>
      </c>
      <c r="N19" s="9">
        <v>11104.95</v>
      </c>
      <c r="O19" s="9">
        <v>1590.63</v>
      </c>
      <c r="P19" s="9">
        <f t="shared" si="0"/>
        <v>358755.76296599995</v>
      </c>
      <c r="Q19" s="9">
        <f t="shared" si="4"/>
        <v>4066064.1834599399</v>
      </c>
      <c r="R19" s="9"/>
      <c r="S19" s="71">
        <v>42947</v>
      </c>
      <c r="T19" s="9">
        <v>69308.12457</v>
      </c>
      <c r="U19" s="9">
        <v>2170.9699999999998</v>
      </c>
      <c r="V19" s="9">
        <v>307.77999999999997</v>
      </c>
      <c r="W19" s="9">
        <f t="shared" si="1"/>
        <v>66829.37457</v>
      </c>
      <c r="X19" s="10">
        <f t="shared" si="5"/>
        <v>2846309.3025539205</v>
      </c>
    </row>
    <row r="20" spans="1:24" ht="13.5" thickBot="1" x14ac:dyDescent="0.25">
      <c r="A20" s="71">
        <v>42978</v>
      </c>
      <c r="B20" s="9">
        <v>4492358.7866390003</v>
      </c>
      <c r="C20" s="9">
        <f t="shared" si="2"/>
        <v>4934334</v>
      </c>
      <c r="F20" s="71">
        <v>42978</v>
      </c>
      <c r="G20" s="9">
        <v>2910678.6015300206</v>
      </c>
      <c r="H20" s="9">
        <f t="shared" si="3"/>
        <v>2794541</v>
      </c>
      <c r="I20" s="9"/>
      <c r="L20" s="71">
        <v>42978</v>
      </c>
      <c r="M20" s="9">
        <v>441380.23317905999</v>
      </c>
      <c r="N20" s="9">
        <v>13195.55</v>
      </c>
      <c r="O20" s="9">
        <v>1890.08</v>
      </c>
      <c r="P20" s="9">
        <f t="shared" si="0"/>
        <v>426294.60317905998</v>
      </c>
      <c r="Q20" s="9">
        <f t="shared" si="4"/>
        <v>4492358.7866390003</v>
      </c>
      <c r="R20" s="9"/>
      <c r="S20" s="71">
        <v>42978</v>
      </c>
      <c r="T20" s="9">
        <v>66756.808976100001</v>
      </c>
      <c r="U20" s="9">
        <v>2091.06</v>
      </c>
      <c r="V20" s="9">
        <v>296.45</v>
      </c>
      <c r="W20" s="9">
        <f t="shared" si="1"/>
        <v>64369.298976100006</v>
      </c>
      <c r="X20" s="10">
        <f t="shared" si="5"/>
        <v>2910678.6015300206</v>
      </c>
    </row>
    <row r="21" spans="1:24" ht="13.5" thickBot="1" x14ac:dyDescent="0.25">
      <c r="A21" s="71">
        <v>43008</v>
      </c>
      <c r="B21" s="9">
        <v>4904377.4261897504</v>
      </c>
      <c r="C21" s="9">
        <f t="shared" si="2"/>
        <v>4934334</v>
      </c>
      <c r="D21" s="72">
        <f>B21-C21</f>
        <v>-29956.573810249567</v>
      </c>
      <c r="E21" s="73" t="s">
        <v>117</v>
      </c>
      <c r="F21" s="71">
        <v>43008</v>
      </c>
      <c r="G21" s="9">
        <v>2980686.6031058608</v>
      </c>
      <c r="H21" s="9">
        <f t="shared" si="3"/>
        <v>2794541</v>
      </c>
      <c r="I21" s="89">
        <f>G21-H21</f>
        <v>186145.60310586076</v>
      </c>
      <c r="J21" s="73" t="s">
        <v>114</v>
      </c>
      <c r="K21" s="90"/>
      <c r="L21" s="71">
        <v>43008</v>
      </c>
      <c r="M21" s="9">
        <v>426599.06955074996</v>
      </c>
      <c r="N21" s="9">
        <v>12753.65</v>
      </c>
      <c r="O21" s="9">
        <v>1826.78</v>
      </c>
      <c r="P21" s="9">
        <f t="shared" si="0"/>
        <v>412018.63955074991</v>
      </c>
      <c r="Q21" s="9">
        <f t="shared" si="4"/>
        <v>4904377.4261897504</v>
      </c>
      <c r="R21" s="9"/>
      <c r="S21" s="71">
        <v>43008</v>
      </c>
      <c r="T21" s="9">
        <v>72604.651575840006</v>
      </c>
      <c r="U21" s="9">
        <v>2274.23</v>
      </c>
      <c r="V21" s="9">
        <v>322.42</v>
      </c>
      <c r="W21" s="9">
        <f t="shared" si="1"/>
        <v>70008.001575840011</v>
      </c>
      <c r="X21" s="10">
        <f t="shared" si="5"/>
        <v>2980686.6031058608</v>
      </c>
    </row>
    <row r="22" spans="1:24" x14ac:dyDescent="0.2">
      <c r="I22" s="9"/>
      <c r="M22" s="9"/>
      <c r="N22" s="9"/>
      <c r="O22" s="9"/>
      <c r="P22" s="9"/>
      <c r="Q22" s="9"/>
      <c r="R22" s="9"/>
      <c r="T22" s="9"/>
      <c r="U22" s="9"/>
      <c r="V22" s="9"/>
      <c r="W22" s="9"/>
      <c r="X22" s="10"/>
    </row>
    <row r="23" spans="1:24" x14ac:dyDescent="0.2">
      <c r="A23" s="71"/>
      <c r="B23" s="9"/>
      <c r="C23" s="74">
        <v>5266978</v>
      </c>
      <c r="F23" s="71"/>
      <c r="G23" s="9"/>
      <c r="H23" s="74">
        <v>3093965</v>
      </c>
      <c r="I23" s="9"/>
      <c r="L23" s="71"/>
      <c r="M23" s="9"/>
      <c r="N23" s="9"/>
      <c r="O23" s="9"/>
      <c r="P23" s="9"/>
      <c r="Q23" s="9"/>
      <c r="R23" s="9"/>
      <c r="S23" s="71"/>
      <c r="T23" s="9"/>
      <c r="U23" s="9"/>
      <c r="V23" s="9"/>
      <c r="W23" s="9"/>
      <c r="X23" s="10"/>
    </row>
    <row r="24" spans="1:24" x14ac:dyDescent="0.2">
      <c r="A24" s="71">
        <v>43039</v>
      </c>
      <c r="B24" s="9">
        <v>359893.21013799997</v>
      </c>
      <c r="C24" s="9">
        <f>$C$23*0.757</f>
        <v>3987102.3459999999</v>
      </c>
      <c r="F24" s="71">
        <v>43039</v>
      </c>
      <c r="G24" s="7">
        <v>134379.48037599999</v>
      </c>
      <c r="H24" s="9">
        <f>$H$23*0.928</f>
        <v>2871199.52</v>
      </c>
      <c r="L24" s="71">
        <v>43039</v>
      </c>
      <c r="M24" s="9">
        <v>371378.85013799998</v>
      </c>
      <c r="N24" s="9">
        <v>10042.57</v>
      </c>
      <c r="O24" s="9">
        <v>1443.07</v>
      </c>
      <c r="P24" s="9">
        <f t="shared" si="0"/>
        <v>359893.21013799997</v>
      </c>
      <c r="Q24" s="9">
        <f t="shared" si="4"/>
        <v>359893.21013799997</v>
      </c>
      <c r="R24" s="9"/>
      <c r="S24" s="71">
        <v>43039</v>
      </c>
      <c r="T24" s="9">
        <v>137419.85037599999</v>
      </c>
      <c r="U24" s="9">
        <v>2658.96</v>
      </c>
      <c r="V24" s="9">
        <v>381.41</v>
      </c>
      <c r="W24" s="9">
        <f t="shared" si="1"/>
        <v>134379.48037599999</v>
      </c>
      <c r="X24" s="10">
        <f t="shared" si="5"/>
        <v>134379.48037599999</v>
      </c>
    </row>
    <row r="25" spans="1:24" x14ac:dyDescent="0.2">
      <c r="A25" s="71">
        <v>43069</v>
      </c>
      <c r="B25" s="9">
        <v>786829.57759539993</v>
      </c>
      <c r="C25" s="9">
        <f t="shared" ref="C25:C32" si="6">$C$23*0.757</f>
        <v>3987102.3459999999</v>
      </c>
      <c r="F25" s="71">
        <v>43069</v>
      </c>
      <c r="G25" s="7">
        <v>423229.01505113993</v>
      </c>
      <c r="H25" s="9">
        <f t="shared" ref="H25:H32" si="7">$H$23*0.928</f>
        <v>2871199.52</v>
      </c>
      <c r="L25" s="71">
        <v>43069</v>
      </c>
      <c r="M25" s="9">
        <v>440561.61745739996</v>
      </c>
      <c r="N25" s="9">
        <v>11913.36</v>
      </c>
      <c r="O25" s="9">
        <v>1711.89</v>
      </c>
      <c r="P25" s="9">
        <f t="shared" si="0"/>
        <v>426936.36745739996</v>
      </c>
      <c r="Q25" s="9">
        <f t="shared" si="4"/>
        <v>786829.57759539993</v>
      </c>
      <c r="R25" s="9"/>
      <c r="S25" s="71">
        <v>43069</v>
      </c>
      <c r="T25" s="9">
        <v>295384.83467513998</v>
      </c>
      <c r="U25" s="9">
        <v>5715.46</v>
      </c>
      <c r="V25" s="9">
        <v>819.84</v>
      </c>
      <c r="W25" s="9">
        <f t="shared" si="1"/>
        <v>288849.53467513993</v>
      </c>
      <c r="X25" s="10">
        <f t="shared" si="5"/>
        <v>423229.01505113993</v>
      </c>
    </row>
    <row r="26" spans="1:24" x14ac:dyDescent="0.2">
      <c r="A26" s="71">
        <v>43100</v>
      </c>
      <c r="B26" s="9">
        <v>1243252.7871372099</v>
      </c>
      <c r="C26" s="9">
        <f t="shared" si="6"/>
        <v>3987102.3459999999</v>
      </c>
      <c r="F26" s="71">
        <v>43100</v>
      </c>
      <c r="G26" s="7">
        <v>855258.08086265996</v>
      </c>
      <c r="H26" s="9">
        <f t="shared" si="7"/>
        <v>2871199.52</v>
      </c>
      <c r="L26" s="71">
        <v>43100</v>
      </c>
      <c r="M26" s="9">
        <v>470989.49954181002</v>
      </c>
      <c r="N26" s="9">
        <v>12736.17</v>
      </c>
      <c r="O26" s="9">
        <v>1830.12</v>
      </c>
      <c r="P26" s="9">
        <f t="shared" si="0"/>
        <v>456423.20954181004</v>
      </c>
      <c r="Q26" s="9">
        <f t="shared" si="4"/>
        <v>1243252.7871372099</v>
      </c>
      <c r="R26" s="9"/>
      <c r="S26" s="71">
        <v>43100</v>
      </c>
      <c r="T26" s="9">
        <v>441803.84581151995</v>
      </c>
      <c r="U26" s="9">
        <v>8548.5499999999993</v>
      </c>
      <c r="V26" s="9">
        <v>1226.23</v>
      </c>
      <c r="W26" s="9">
        <f t="shared" si="1"/>
        <v>432029.06581151998</v>
      </c>
      <c r="X26" s="10">
        <f t="shared" si="5"/>
        <v>855258.08086265996</v>
      </c>
    </row>
    <row r="27" spans="1:24" x14ac:dyDescent="0.2">
      <c r="A27" s="71">
        <v>43131</v>
      </c>
      <c r="B27" s="9">
        <v>1787803.2407716298</v>
      </c>
      <c r="C27" s="9">
        <f t="shared" si="6"/>
        <v>3987102.3459999999</v>
      </c>
      <c r="F27" s="71">
        <v>43131</v>
      </c>
      <c r="G27" s="7">
        <v>1413355.3605485198</v>
      </c>
      <c r="H27" s="9">
        <f t="shared" si="7"/>
        <v>2871199.52</v>
      </c>
      <c r="L27" s="71">
        <v>43131</v>
      </c>
      <c r="M27" s="9">
        <v>561929.24363441998</v>
      </c>
      <c r="N27" s="9">
        <v>15195.3</v>
      </c>
      <c r="O27" s="9">
        <v>2183.4899999999998</v>
      </c>
      <c r="P27" s="9">
        <f t="shared" si="0"/>
        <v>544550.45363441994</v>
      </c>
      <c r="Q27" s="9">
        <f t="shared" si="4"/>
        <v>1787803.2407716298</v>
      </c>
      <c r="R27" s="9"/>
      <c r="S27" s="71">
        <v>43131</v>
      </c>
      <c r="T27" s="9">
        <v>570724.3896858599</v>
      </c>
      <c r="U27" s="9">
        <v>11043.06</v>
      </c>
      <c r="V27" s="9">
        <v>1584.05</v>
      </c>
      <c r="W27" s="9">
        <f t="shared" si="1"/>
        <v>558097.2796858598</v>
      </c>
      <c r="X27" s="10">
        <f t="shared" si="5"/>
        <v>1413355.3605485198</v>
      </c>
    </row>
    <row r="28" spans="1:24" x14ac:dyDescent="0.2">
      <c r="A28" s="71">
        <v>43159</v>
      </c>
      <c r="B28" s="9">
        <v>2244676.9401115198</v>
      </c>
      <c r="C28" s="9">
        <f t="shared" si="6"/>
        <v>3987102.3459999999</v>
      </c>
      <c r="F28" s="71">
        <v>43159</v>
      </c>
      <c r="G28" s="7">
        <v>1832061.9179086196</v>
      </c>
      <c r="H28" s="9">
        <f t="shared" si="7"/>
        <v>2871199.52</v>
      </c>
      <c r="L28" s="71">
        <v>43159</v>
      </c>
      <c r="M28" s="9">
        <v>471454.36933988996</v>
      </c>
      <c r="N28" s="9">
        <v>12748.74</v>
      </c>
      <c r="O28" s="9">
        <v>1831.93</v>
      </c>
      <c r="P28" s="9">
        <f t="shared" si="0"/>
        <v>456873.69933988998</v>
      </c>
      <c r="Q28" s="9">
        <f t="shared" si="4"/>
        <v>2244676.9401115198</v>
      </c>
      <c r="R28" s="9"/>
      <c r="S28" s="71">
        <v>43159</v>
      </c>
      <c r="T28" s="9">
        <v>428179.90736009995</v>
      </c>
      <c r="U28" s="9">
        <v>8284.94</v>
      </c>
      <c r="V28" s="9">
        <v>1188.4100000000001</v>
      </c>
      <c r="W28" s="9">
        <f t="shared" si="1"/>
        <v>418706.55736009998</v>
      </c>
      <c r="X28" s="10">
        <f t="shared" si="5"/>
        <v>1832061.9179086196</v>
      </c>
    </row>
    <row r="29" spans="1:24" x14ac:dyDescent="0.2">
      <c r="A29" s="71">
        <v>43190</v>
      </c>
      <c r="B29" s="9">
        <v>2709923.2873089295</v>
      </c>
      <c r="C29" s="9">
        <f t="shared" si="6"/>
        <v>3987102.3459999999</v>
      </c>
      <c r="F29" s="71">
        <v>43190</v>
      </c>
      <c r="G29" s="7">
        <v>2278757.8912775596</v>
      </c>
      <c r="H29" s="9">
        <f t="shared" si="7"/>
        <v>2871199.52</v>
      </c>
      <c r="L29" s="71">
        <v>43190</v>
      </c>
      <c r="M29" s="9">
        <v>480094.21719740995</v>
      </c>
      <c r="N29" s="9">
        <v>12982.37</v>
      </c>
      <c r="O29" s="9">
        <v>1865.5</v>
      </c>
      <c r="P29" s="9">
        <f t="shared" si="0"/>
        <v>465246.34719740995</v>
      </c>
      <c r="Q29" s="9">
        <f t="shared" si="4"/>
        <v>2709923.2873089295</v>
      </c>
      <c r="R29" s="9"/>
      <c r="S29" s="71">
        <v>43190</v>
      </c>
      <c r="T29" s="9">
        <v>456802.59336894</v>
      </c>
      <c r="U29" s="9">
        <v>8838.76</v>
      </c>
      <c r="V29" s="9">
        <v>1267.8599999999999</v>
      </c>
      <c r="W29" s="9">
        <f t="shared" si="1"/>
        <v>446695.97336894</v>
      </c>
      <c r="X29" s="10">
        <f t="shared" si="5"/>
        <v>2278757.8912775596</v>
      </c>
    </row>
    <row r="30" spans="1:24" x14ac:dyDescent="0.2">
      <c r="A30" s="71">
        <v>43220</v>
      </c>
      <c r="B30" s="9">
        <v>3130944.1384919393</v>
      </c>
      <c r="C30" s="9">
        <f t="shared" si="6"/>
        <v>3987102.3459999999</v>
      </c>
      <c r="F30" s="71">
        <v>43220</v>
      </c>
      <c r="G30" s="7">
        <v>2593465.5272658598</v>
      </c>
      <c r="H30" s="9">
        <f t="shared" si="7"/>
        <v>2871199.52</v>
      </c>
      <c r="L30" s="71">
        <v>43220</v>
      </c>
      <c r="M30" s="9">
        <v>434457.31118300994</v>
      </c>
      <c r="N30" s="9">
        <v>11748.29</v>
      </c>
      <c r="O30" s="9">
        <v>1688.17</v>
      </c>
      <c r="P30" s="9">
        <f t="shared" si="0"/>
        <v>421020.85118300997</v>
      </c>
      <c r="Q30" s="9">
        <f t="shared" si="4"/>
        <v>3130944.1384919393</v>
      </c>
      <c r="R30" s="9"/>
      <c r="S30" s="71">
        <v>43220</v>
      </c>
      <c r="T30" s="9">
        <v>321827.97598829999</v>
      </c>
      <c r="U30" s="9">
        <v>6227.11</v>
      </c>
      <c r="V30" s="9">
        <v>893.23</v>
      </c>
      <c r="W30" s="9">
        <f t="shared" si="1"/>
        <v>314707.63598830003</v>
      </c>
      <c r="X30" s="10">
        <f t="shared" si="5"/>
        <v>2593465.5272658598</v>
      </c>
    </row>
    <row r="31" spans="1:24" x14ac:dyDescent="0.2">
      <c r="A31" s="71">
        <v>43251</v>
      </c>
      <c r="B31" s="9">
        <v>3491940.3097572094</v>
      </c>
      <c r="C31" s="9">
        <f t="shared" si="6"/>
        <v>3987102.3459999999</v>
      </c>
      <c r="F31" s="71">
        <v>43251</v>
      </c>
      <c r="G31" s="7">
        <v>2757142.8086201297</v>
      </c>
      <c r="H31" s="9">
        <f t="shared" si="7"/>
        <v>2871199.52</v>
      </c>
      <c r="L31" s="71">
        <v>43251</v>
      </c>
      <c r="M31" s="9">
        <v>372517.00126527</v>
      </c>
      <c r="N31" s="9">
        <v>10073.34</v>
      </c>
      <c r="O31" s="9">
        <v>1447.49</v>
      </c>
      <c r="P31" s="9">
        <f t="shared" si="0"/>
        <v>360996.17126526998</v>
      </c>
      <c r="Q31" s="9">
        <f t="shared" si="4"/>
        <v>3491940.3097572094</v>
      </c>
      <c r="R31" s="9"/>
      <c r="S31" s="71">
        <v>43251</v>
      </c>
      <c r="T31" s="9">
        <v>167380.52135427002</v>
      </c>
      <c r="U31" s="9">
        <v>3238.68</v>
      </c>
      <c r="V31" s="9">
        <v>464.56</v>
      </c>
      <c r="W31" s="9">
        <f t="shared" si="1"/>
        <v>163677.28135427003</v>
      </c>
      <c r="X31" s="10">
        <f t="shared" si="5"/>
        <v>2757142.8086201297</v>
      </c>
    </row>
    <row r="32" spans="1:24" x14ac:dyDescent="0.2">
      <c r="A32" s="71">
        <v>43281</v>
      </c>
      <c r="B32" s="9">
        <v>3876844.2326939693</v>
      </c>
      <c r="C32" s="9">
        <f t="shared" si="6"/>
        <v>3987102.3459999999</v>
      </c>
      <c r="D32" s="10">
        <f>B32-C32</f>
        <v>-110258.11330603063</v>
      </c>
      <c r="F32" s="71">
        <v>43281</v>
      </c>
      <c r="G32" s="7">
        <v>2835623.6386201298</v>
      </c>
      <c r="H32" s="9">
        <f t="shared" si="7"/>
        <v>2871199.52</v>
      </c>
      <c r="I32" s="9">
        <f>G32-H32</f>
        <v>-35575.881379870232</v>
      </c>
      <c r="L32" s="71">
        <v>43281</v>
      </c>
      <c r="M32" s="9">
        <v>398685.51293676003</v>
      </c>
      <c r="N32" s="9">
        <v>12050.06</v>
      </c>
      <c r="O32" s="9">
        <v>1731.53</v>
      </c>
      <c r="P32" s="9">
        <f t="shared" si="0"/>
        <v>384903.92293676001</v>
      </c>
      <c r="Q32" s="9">
        <f t="shared" si="4"/>
        <v>3876844.2326939693</v>
      </c>
      <c r="R32" s="9"/>
      <c r="S32" s="71">
        <v>43281</v>
      </c>
      <c r="T32" s="9">
        <v>80256.479999999996</v>
      </c>
      <c r="U32" s="9">
        <v>1552.9</v>
      </c>
      <c r="V32" s="9">
        <v>222.75</v>
      </c>
      <c r="W32" s="9">
        <f t="shared" si="1"/>
        <v>78480.83</v>
      </c>
      <c r="X32" s="10">
        <f t="shared" si="5"/>
        <v>2835623.6386201298</v>
      </c>
    </row>
    <row r="33" spans="2:23" ht="13.5" thickBot="1" x14ac:dyDescent="0.25"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2:23" ht="13.5" thickBot="1" x14ac:dyDescent="0.25">
      <c r="B34" s="75">
        <f>B21-C21+B32-C32</f>
        <v>-140214.6871162802</v>
      </c>
      <c r="C34" s="76" t="s">
        <v>117</v>
      </c>
      <c r="G34" s="75">
        <f>G21-H21+G32-H32</f>
        <v>150569.72172599053</v>
      </c>
      <c r="H34" s="76" t="s">
        <v>114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2:23" x14ac:dyDescent="0.2"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2:23" x14ac:dyDescent="0.2"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2:23" x14ac:dyDescent="0.2"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2:23" x14ac:dyDescent="0.2"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2:23" x14ac:dyDescent="0.2"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9B0AE4C2E36C43AFC238A7EE463BC1" ma:contentTypeVersion="76" ma:contentTypeDescription="" ma:contentTypeScope="" ma:versionID="7704fe79fb138b5036d44178a932ef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2018-07-31T07:00:00+00:00</OpenedDate>
    <SignificantOrder xmlns="dc463f71-b30c-4ab2-9473-d307f9d35888">false</SignificantOrder>
    <Date1 xmlns="dc463f71-b30c-4ab2-9473-d307f9d35888">2018-07-31T07:00:00+00:00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180654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2CF61CA-A0E8-482F-8EB4-639154561FB5}"/>
</file>

<file path=customXml/itemProps2.xml><?xml version="1.0" encoding="utf-8"?>
<ds:datastoreItem xmlns:ds="http://schemas.openxmlformats.org/officeDocument/2006/customXml" ds:itemID="{0A6CE6DA-063F-4EEA-ABD6-0445E34F6DCB}"/>
</file>

<file path=customXml/itemProps3.xml><?xml version="1.0" encoding="utf-8"?>
<ds:datastoreItem xmlns:ds="http://schemas.openxmlformats.org/officeDocument/2006/customXml" ds:itemID="{DA5935D2-76EE-4642-804D-59E3D712A041}"/>
</file>

<file path=customXml/itemProps4.xml><?xml version="1.0" encoding="utf-8"?>
<ds:datastoreItem xmlns:ds="http://schemas.openxmlformats.org/officeDocument/2006/customXml" ds:itemID="{D6F6BAE0-5D36-4A7C-BD1A-087019B0A0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Elec</vt:lpstr>
      <vt:lpstr>E Rev Conv</vt:lpstr>
      <vt:lpstr>Natural Gas</vt:lpstr>
      <vt:lpstr>G Rev Conv</vt:lpstr>
      <vt:lpstr>Forecast BD</vt:lpstr>
      <vt:lpstr>Prior Balances</vt:lpstr>
      <vt:lpstr>' Elec'!Print_Area</vt:lpstr>
      <vt:lpstr>'Natural Gas'!Print_Area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Joe Miller</cp:lastModifiedBy>
  <cp:lastPrinted>2017-07-11T16:16:44Z</cp:lastPrinted>
  <dcterms:created xsi:type="dcterms:W3CDTF">2016-06-16T21:47:17Z</dcterms:created>
  <dcterms:modified xsi:type="dcterms:W3CDTF">2018-07-26T15:26:48Z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0x0101006E56B4D1795A2E4DB2F0B01679ED314A00CC9B0AE4C2E36C43AFC238A7EE463BC1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