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pivotTables/pivotTable2.xml" ContentType="application/vnd.openxmlformats-officedocument.spreadsheetml.pivotTable+xml"/>
  <Override PartName="/xl/worksheets/sheet1.xml" ContentType="application/vnd.openxmlformats-officedocument.spreadsheetml.worksheet+xml"/>
  <Override PartName="/xl/pivotTables/pivotTable1.xml" ContentType="application/vnd.openxmlformats-officedocument.spreadsheetml.pivotTabl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Cache/pivotCacheDefinition2.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1.xml" ContentType="application/vnd.openxmlformats-officedocument.spreadsheetml.pivotCacheDefinition+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pivotCache/pivotCacheRecords2.xml" ContentType="application/vnd.openxmlformats-officedocument.spreadsheetml.pivotCacheRecord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95" windowWidth="18195" windowHeight="11700" activeTab="3"/>
  </bookViews>
  <sheets>
    <sheet name="2017 Secondary Purchases" sheetId="1" r:id="rId1"/>
    <sheet name="2017 Pivot and Analysis" sheetId="4" r:id="rId2"/>
    <sheet name="2016 Secondary Purchases" sheetId="5" r:id="rId3"/>
    <sheet name="2016 Pivot &amp; Analysis" sheetId="6" r:id="rId4"/>
  </sheets>
  <definedNames>
    <definedName name="_xlnm._FilterDatabase" localSheetId="1" hidden="1">'2017 Pivot and Analysis'!$A$1:$E$79</definedName>
    <definedName name="_xlnm._FilterDatabase" localSheetId="0" hidden="1">'2017 Secondary Purchases'!$A$1:$K$147</definedName>
  </definedNames>
  <calcPr calcId="145621"/>
  <pivotCaches>
    <pivotCache cacheId="12" r:id="rId5"/>
    <pivotCache cacheId="13" r:id="rId6"/>
  </pivotCaches>
</workbook>
</file>

<file path=xl/calcChain.xml><?xml version="1.0" encoding="utf-8"?>
<calcChain xmlns="http://schemas.openxmlformats.org/spreadsheetml/2006/main">
  <c r="F86" i="6" l="1"/>
  <c r="F85" i="6"/>
  <c r="E85" i="6"/>
  <c r="D85" i="6"/>
  <c r="G79" i="6" l="1"/>
  <c r="E79" i="6"/>
  <c r="F79" i="6" s="1"/>
  <c r="E78" i="6"/>
  <c r="F78" i="6" s="1"/>
  <c r="E77" i="6"/>
  <c r="G77" i="6" s="1"/>
  <c r="E76" i="6"/>
  <c r="F76" i="6" s="1"/>
  <c r="G75" i="6"/>
  <c r="F75" i="6"/>
  <c r="E75" i="6"/>
  <c r="E74" i="6"/>
  <c r="F74" i="6" s="1"/>
  <c r="E73" i="6"/>
  <c r="G73" i="6" s="1"/>
  <c r="G72" i="6"/>
  <c r="E72" i="6"/>
  <c r="F72" i="6" s="1"/>
  <c r="E71" i="6"/>
  <c r="G71" i="6" s="1"/>
  <c r="E70" i="6"/>
  <c r="F70" i="6" s="1"/>
  <c r="E69" i="6"/>
  <c r="G69" i="6" s="1"/>
  <c r="E68" i="6"/>
  <c r="F68" i="6" s="1"/>
  <c r="F67" i="6"/>
  <c r="E67" i="6"/>
  <c r="G67" i="6" s="1"/>
  <c r="E66" i="6"/>
  <c r="F66" i="6" s="1"/>
  <c r="E65" i="6"/>
  <c r="G65" i="6" s="1"/>
  <c r="G64" i="6"/>
  <c r="E64" i="6"/>
  <c r="F64" i="6" s="1"/>
  <c r="G63" i="6"/>
  <c r="E63" i="6"/>
  <c r="F63" i="6" s="1"/>
  <c r="E62" i="6"/>
  <c r="F62" i="6" s="1"/>
  <c r="E61" i="6"/>
  <c r="G61" i="6" s="1"/>
  <c r="E60" i="6"/>
  <c r="F60" i="6" s="1"/>
  <c r="F59" i="6"/>
  <c r="E59" i="6"/>
  <c r="G59" i="6" s="1"/>
  <c r="E58" i="6"/>
  <c r="F58" i="6" s="1"/>
  <c r="E57" i="6"/>
  <c r="G57" i="6" s="1"/>
  <c r="G56" i="6"/>
  <c r="E56" i="6"/>
  <c r="F56" i="6" s="1"/>
  <c r="E55" i="6"/>
  <c r="G55" i="6" s="1"/>
  <c r="E54" i="6"/>
  <c r="F54" i="6" s="1"/>
  <c r="E53" i="6"/>
  <c r="G53" i="6" s="1"/>
  <c r="E52" i="6"/>
  <c r="F52" i="6" s="1"/>
  <c r="F51" i="6"/>
  <c r="E51" i="6"/>
  <c r="G51" i="6" s="1"/>
  <c r="E50" i="6"/>
  <c r="F50" i="6" s="1"/>
  <c r="E49" i="6"/>
  <c r="G49" i="6" s="1"/>
  <c r="G48" i="6"/>
  <c r="E48" i="6"/>
  <c r="F48" i="6" s="1"/>
  <c r="G47" i="6"/>
  <c r="E47" i="6"/>
  <c r="F47" i="6" s="1"/>
  <c r="E46" i="6"/>
  <c r="F46" i="6" s="1"/>
  <c r="E45" i="6"/>
  <c r="G45" i="6" s="1"/>
  <c r="E44" i="6"/>
  <c r="F44" i="6" s="1"/>
  <c r="F43" i="6"/>
  <c r="E43" i="6"/>
  <c r="G43" i="6" s="1"/>
  <c r="E42" i="6"/>
  <c r="F42" i="6" s="1"/>
  <c r="E41" i="6"/>
  <c r="G41" i="6" s="1"/>
  <c r="G40" i="6"/>
  <c r="E40" i="6"/>
  <c r="F40" i="6" s="1"/>
  <c r="E39" i="6"/>
  <c r="G39" i="6" s="1"/>
  <c r="E38" i="6"/>
  <c r="F38" i="6" s="1"/>
  <c r="E37" i="6"/>
  <c r="G37" i="6" s="1"/>
  <c r="E36" i="6"/>
  <c r="F36" i="6" s="1"/>
  <c r="G35" i="6"/>
  <c r="F35" i="6"/>
  <c r="E35" i="6"/>
  <c r="E34" i="6"/>
  <c r="F34" i="6" s="1"/>
  <c r="E33" i="6"/>
  <c r="G33" i="6" s="1"/>
  <c r="G32" i="6"/>
  <c r="E32" i="6"/>
  <c r="F32" i="6" s="1"/>
  <c r="G31" i="6"/>
  <c r="E31" i="6"/>
  <c r="F31" i="6" s="1"/>
  <c r="E30" i="6"/>
  <c r="F30" i="6" s="1"/>
  <c r="E29" i="6"/>
  <c r="G29" i="6" s="1"/>
  <c r="E28" i="6"/>
  <c r="F28" i="6" s="1"/>
  <c r="F27" i="6"/>
  <c r="E27" i="6"/>
  <c r="G27" i="6" s="1"/>
  <c r="E26" i="6"/>
  <c r="G26" i="6" s="1"/>
  <c r="E25" i="6"/>
  <c r="G25" i="6" s="1"/>
  <c r="G24" i="6"/>
  <c r="E24" i="6"/>
  <c r="F24" i="6" s="1"/>
  <c r="E23" i="6"/>
  <c r="G23" i="6" s="1"/>
  <c r="E22" i="6"/>
  <c r="F22" i="6" s="1"/>
  <c r="E21" i="6"/>
  <c r="G21" i="6" s="1"/>
  <c r="E20" i="6"/>
  <c r="F20" i="6" s="1"/>
  <c r="F19" i="6"/>
  <c r="E19" i="6"/>
  <c r="G19" i="6" s="1"/>
  <c r="E18" i="6"/>
  <c r="G18" i="6" s="1"/>
  <c r="E17" i="6"/>
  <c r="G17" i="6" s="1"/>
  <c r="G16" i="6"/>
  <c r="E16" i="6"/>
  <c r="F16" i="6" s="1"/>
  <c r="G15" i="6"/>
  <c r="E15" i="6"/>
  <c r="F15" i="6" s="1"/>
  <c r="E14" i="6"/>
  <c r="G14" i="6" s="1"/>
  <c r="E13" i="6"/>
  <c r="G13" i="6" s="1"/>
  <c r="E12" i="6"/>
  <c r="F12" i="6" s="1"/>
  <c r="F11" i="6"/>
  <c r="E11" i="6"/>
  <c r="G11" i="6" s="1"/>
  <c r="E10" i="6"/>
  <c r="G10" i="6" s="1"/>
  <c r="E9" i="6"/>
  <c r="G9" i="6" s="1"/>
  <c r="G8" i="6"/>
  <c r="E8" i="6"/>
  <c r="F8" i="6" s="1"/>
  <c r="E7" i="6"/>
  <c r="G7" i="6" s="1"/>
  <c r="E6" i="6"/>
  <c r="G6" i="6" s="1"/>
  <c r="E5" i="6"/>
  <c r="G5" i="6" s="1"/>
  <c r="E4" i="6"/>
  <c r="G4" i="6" s="1"/>
  <c r="D80" i="6"/>
  <c r="F152" i="5"/>
  <c r="G152" i="5"/>
  <c r="H152" i="5"/>
  <c r="I152" i="5"/>
  <c r="I151" i="5"/>
  <c r="H151" i="5"/>
  <c r="I150" i="5"/>
  <c r="H150" i="5"/>
  <c r="I149" i="5"/>
  <c r="H149" i="5"/>
  <c r="I148" i="5"/>
  <c r="H148" i="5"/>
  <c r="I147" i="5"/>
  <c r="H147" i="5"/>
  <c r="I146" i="5"/>
  <c r="H146" i="5"/>
  <c r="I145" i="5"/>
  <c r="H145" i="5"/>
  <c r="I144" i="5"/>
  <c r="H144" i="5"/>
  <c r="I143" i="5"/>
  <c r="H143" i="5"/>
  <c r="I142" i="5"/>
  <c r="H142" i="5"/>
  <c r="I141" i="5"/>
  <c r="H141" i="5"/>
  <c r="I140" i="5"/>
  <c r="H140" i="5"/>
  <c r="I139" i="5"/>
  <c r="H139" i="5"/>
  <c r="I138" i="5"/>
  <c r="H138" i="5"/>
  <c r="I137" i="5"/>
  <c r="H137" i="5"/>
  <c r="I136" i="5"/>
  <c r="H136" i="5"/>
  <c r="I135" i="5"/>
  <c r="H135" i="5"/>
  <c r="I134" i="5"/>
  <c r="H134" i="5"/>
  <c r="I133" i="5"/>
  <c r="H133" i="5"/>
  <c r="I132" i="5"/>
  <c r="H132" i="5"/>
  <c r="I131" i="5"/>
  <c r="H131" i="5"/>
  <c r="I130" i="5"/>
  <c r="H130" i="5"/>
  <c r="I129" i="5"/>
  <c r="H129" i="5"/>
  <c r="I128" i="5"/>
  <c r="H128" i="5"/>
  <c r="I127" i="5"/>
  <c r="H127" i="5"/>
  <c r="I126" i="5"/>
  <c r="H126" i="5"/>
  <c r="I125" i="5"/>
  <c r="H125" i="5"/>
  <c r="I124" i="5"/>
  <c r="H124" i="5"/>
  <c r="I123" i="5"/>
  <c r="H123" i="5"/>
  <c r="I122" i="5"/>
  <c r="H122" i="5"/>
  <c r="I121" i="5"/>
  <c r="H121" i="5"/>
  <c r="I120" i="5"/>
  <c r="H120" i="5"/>
  <c r="I119" i="5"/>
  <c r="H119" i="5"/>
  <c r="I118" i="5"/>
  <c r="H118" i="5"/>
  <c r="I117" i="5"/>
  <c r="H117" i="5"/>
  <c r="I116" i="5"/>
  <c r="H116" i="5"/>
  <c r="I115" i="5"/>
  <c r="H115" i="5"/>
  <c r="I114" i="5"/>
  <c r="H114" i="5"/>
  <c r="I113" i="5"/>
  <c r="H113" i="5"/>
  <c r="I112" i="5"/>
  <c r="H112" i="5"/>
  <c r="I111" i="5"/>
  <c r="H111" i="5"/>
  <c r="I110" i="5"/>
  <c r="H110" i="5"/>
  <c r="I109" i="5"/>
  <c r="H109" i="5"/>
  <c r="I108" i="5"/>
  <c r="H108" i="5"/>
  <c r="I107" i="5"/>
  <c r="H107" i="5"/>
  <c r="I106" i="5"/>
  <c r="H106" i="5"/>
  <c r="I105" i="5"/>
  <c r="H105" i="5"/>
  <c r="I104" i="5"/>
  <c r="H104" i="5"/>
  <c r="I103" i="5"/>
  <c r="H103" i="5"/>
  <c r="I102" i="5"/>
  <c r="H102" i="5"/>
  <c r="I101" i="5"/>
  <c r="H101" i="5"/>
  <c r="I100" i="5"/>
  <c r="H100" i="5"/>
  <c r="I99" i="5"/>
  <c r="H99" i="5"/>
  <c r="I98" i="5"/>
  <c r="H98" i="5"/>
  <c r="I97" i="5"/>
  <c r="H97" i="5"/>
  <c r="I96" i="5"/>
  <c r="H96" i="5"/>
  <c r="I95" i="5"/>
  <c r="H95" i="5"/>
  <c r="I94" i="5"/>
  <c r="H94" i="5"/>
  <c r="I93" i="5"/>
  <c r="H93" i="5"/>
  <c r="I92" i="5"/>
  <c r="H92" i="5"/>
  <c r="I91" i="5"/>
  <c r="H91" i="5"/>
  <c r="I90" i="5"/>
  <c r="H90" i="5"/>
  <c r="I89" i="5"/>
  <c r="H89" i="5"/>
  <c r="I88" i="5"/>
  <c r="H88" i="5"/>
  <c r="I87" i="5"/>
  <c r="H87" i="5"/>
  <c r="I86" i="5"/>
  <c r="H86" i="5"/>
  <c r="I85" i="5"/>
  <c r="H85" i="5"/>
  <c r="I84" i="5"/>
  <c r="H84" i="5"/>
  <c r="I83" i="5"/>
  <c r="H83" i="5"/>
  <c r="I82" i="5"/>
  <c r="H82" i="5"/>
  <c r="I81" i="5"/>
  <c r="H81" i="5"/>
  <c r="I80" i="5"/>
  <c r="H80" i="5"/>
  <c r="I79" i="5"/>
  <c r="H79" i="5"/>
  <c r="I78" i="5"/>
  <c r="H78" i="5"/>
  <c r="I77" i="5"/>
  <c r="H77" i="5"/>
  <c r="I76" i="5"/>
  <c r="H76" i="5"/>
  <c r="I75" i="5"/>
  <c r="H75" i="5"/>
  <c r="I74" i="5"/>
  <c r="H74" i="5"/>
  <c r="I73" i="5"/>
  <c r="H73" i="5"/>
  <c r="I72" i="5"/>
  <c r="H72" i="5"/>
  <c r="I71" i="5"/>
  <c r="H71" i="5"/>
  <c r="I70" i="5"/>
  <c r="H70" i="5"/>
  <c r="I69" i="5"/>
  <c r="H69" i="5"/>
  <c r="I68" i="5"/>
  <c r="H68" i="5"/>
  <c r="I67" i="5"/>
  <c r="H67" i="5"/>
  <c r="I66" i="5"/>
  <c r="H66" i="5"/>
  <c r="I65" i="5"/>
  <c r="H65" i="5"/>
  <c r="I64" i="5"/>
  <c r="H64" i="5"/>
  <c r="I63" i="5"/>
  <c r="H63" i="5"/>
  <c r="I62" i="5"/>
  <c r="H62" i="5"/>
  <c r="I61" i="5"/>
  <c r="H61" i="5"/>
  <c r="I60" i="5"/>
  <c r="H60" i="5"/>
  <c r="I59" i="5"/>
  <c r="H59" i="5"/>
  <c r="I58" i="5"/>
  <c r="H58" i="5"/>
  <c r="I57" i="5"/>
  <c r="H57" i="5"/>
  <c r="I56" i="5"/>
  <c r="H56" i="5"/>
  <c r="I55" i="5"/>
  <c r="H55" i="5"/>
  <c r="I54" i="5"/>
  <c r="H54" i="5"/>
  <c r="I53" i="5"/>
  <c r="H53" i="5"/>
  <c r="I52" i="5"/>
  <c r="H52" i="5"/>
  <c r="I51" i="5"/>
  <c r="H51" i="5"/>
  <c r="I50" i="5"/>
  <c r="H50" i="5"/>
  <c r="I49" i="5"/>
  <c r="H49" i="5"/>
  <c r="I48" i="5"/>
  <c r="H48" i="5"/>
  <c r="I47" i="5"/>
  <c r="H47" i="5"/>
  <c r="I46" i="5"/>
  <c r="H46" i="5"/>
  <c r="I45" i="5"/>
  <c r="H45" i="5"/>
  <c r="I44" i="5"/>
  <c r="H44" i="5"/>
  <c r="I43" i="5"/>
  <c r="H43" i="5"/>
  <c r="I42" i="5"/>
  <c r="H42" i="5"/>
  <c r="I41" i="5"/>
  <c r="H41" i="5"/>
  <c r="I40" i="5"/>
  <c r="H40" i="5"/>
  <c r="I39" i="5"/>
  <c r="H39" i="5"/>
  <c r="I38" i="5"/>
  <c r="H38" i="5"/>
  <c r="I37" i="5"/>
  <c r="H37" i="5"/>
  <c r="I36" i="5"/>
  <c r="H36" i="5"/>
  <c r="I35" i="5"/>
  <c r="H35" i="5"/>
  <c r="I34" i="5"/>
  <c r="H34" i="5"/>
  <c r="I33" i="5"/>
  <c r="H33" i="5"/>
  <c r="I32" i="5"/>
  <c r="H32" i="5"/>
  <c r="I31" i="5"/>
  <c r="H31" i="5"/>
  <c r="I30" i="5"/>
  <c r="H30" i="5"/>
  <c r="I29" i="5"/>
  <c r="H29" i="5"/>
  <c r="I28" i="5"/>
  <c r="H28" i="5"/>
  <c r="I27" i="5"/>
  <c r="H27" i="5"/>
  <c r="I26" i="5"/>
  <c r="H26" i="5"/>
  <c r="I25" i="5"/>
  <c r="H25" i="5"/>
  <c r="I24" i="5"/>
  <c r="H24" i="5"/>
  <c r="I23" i="5"/>
  <c r="H23" i="5"/>
  <c r="I22" i="5"/>
  <c r="H22" i="5"/>
  <c r="I21" i="5"/>
  <c r="H21" i="5"/>
  <c r="I20" i="5"/>
  <c r="H20" i="5"/>
  <c r="I19" i="5"/>
  <c r="H19" i="5"/>
  <c r="I18" i="5"/>
  <c r="H18" i="5"/>
  <c r="I17" i="5"/>
  <c r="H17" i="5"/>
  <c r="I16" i="5"/>
  <c r="H16" i="5"/>
  <c r="I15" i="5"/>
  <c r="H15" i="5"/>
  <c r="I14" i="5"/>
  <c r="H14" i="5"/>
  <c r="I13" i="5"/>
  <c r="H13" i="5"/>
  <c r="I12" i="5"/>
  <c r="H12" i="5"/>
  <c r="I11" i="5"/>
  <c r="H11" i="5"/>
  <c r="I10" i="5"/>
  <c r="H10" i="5"/>
  <c r="I9" i="5"/>
  <c r="H9" i="5"/>
  <c r="I8" i="5"/>
  <c r="H8" i="5"/>
  <c r="I7" i="5"/>
  <c r="H7" i="5"/>
  <c r="I6" i="5"/>
  <c r="H6" i="5"/>
  <c r="I5" i="5"/>
  <c r="H5" i="5"/>
  <c r="I4" i="5"/>
  <c r="H4" i="5"/>
  <c r="I3" i="5"/>
  <c r="H3" i="5"/>
  <c r="G2" i="5"/>
  <c r="I2" i="5" s="1"/>
  <c r="D79" i="6"/>
  <c r="D78" i="6"/>
  <c r="D77" i="6"/>
  <c r="D76" i="6"/>
  <c r="D75" i="6"/>
  <c r="D74" i="6"/>
  <c r="D73" i="6"/>
  <c r="D72" i="6"/>
  <c r="D71" i="6"/>
  <c r="D70" i="6"/>
  <c r="D69" i="6"/>
  <c r="D68" i="6"/>
  <c r="D67" i="6"/>
  <c r="D66" i="6"/>
  <c r="D65" i="6"/>
  <c r="D64" i="6"/>
  <c r="D63" i="6"/>
  <c r="D62" i="6"/>
  <c r="D61" i="6"/>
  <c r="D60" i="6"/>
  <c r="D59" i="6"/>
  <c r="D58" i="6"/>
  <c r="D57" i="6"/>
  <c r="D56" i="6"/>
  <c r="D55" i="6"/>
  <c r="D54" i="6"/>
  <c r="D53" i="6"/>
  <c r="D52" i="6"/>
  <c r="D51" i="6"/>
  <c r="D50" i="6"/>
  <c r="D49" i="6"/>
  <c r="D48" i="6"/>
  <c r="D47" i="6"/>
  <c r="D46" i="6"/>
  <c r="D45" i="6"/>
  <c r="D44" i="6"/>
  <c r="D43" i="6"/>
  <c r="D42" i="6"/>
  <c r="D41" i="6"/>
  <c r="D40" i="6"/>
  <c r="D39" i="6"/>
  <c r="D38" i="6"/>
  <c r="D37" i="6"/>
  <c r="D36" i="6"/>
  <c r="D35" i="6"/>
  <c r="D34" i="6"/>
  <c r="D33" i="6"/>
  <c r="D32" i="6"/>
  <c r="D31" i="6"/>
  <c r="D30" i="6"/>
  <c r="D29" i="6"/>
  <c r="D28" i="6"/>
  <c r="D27" i="6"/>
  <c r="D26" i="6"/>
  <c r="D25" i="6"/>
  <c r="D24" i="6"/>
  <c r="D23" i="6"/>
  <c r="D22" i="6"/>
  <c r="D21" i="6"/>
  <c r="D20" i="6"/>
  <c r="D19" i="6"/>
  <c r="D18" i="6"/>
  <c r="D17" i="6"/>
  <c r="D16" i="6"/>
  <c r="D15" i="6"/>
  <c r="D14" i="6"/>
  <c r="D13" i="6"/>
  <c r="D12" i="6"/>
  <c r="D11" i="6"/>
  <c r="D10" i="6"/>
  <c r="D9" i="6"/>
  <c r="D8" i="6"/>
  <c r="D7" i="6"/>
  <c r="D6" i="6"/>
  <c r="D5" i="6"/>
  <c r="D4" i="6"/>
  <c r="F4" i="6" l="1"/>
  <c r="F7" i="6"/>
  <c r="G20" i="6"/>
  <c r="F23" i="6"/>
  <c r="G36" i="6"/>
  <c r="F39" i="6"/>
  <c r="G52" i="6"/>
  <c r="F55" i="6"/>
  <c r="G68" i="6"/>
  <c r="F71" i="6"/>
  <c r="E80" i="6"/>
  <c r="G12" i="6"/>
  <c r="G80" i="6" s="1"/>
  <c r="G28" i="6"/>
  <c r="G44" i="6"/>
  <c r="G60" i="6"/>
  <c r="G76" i="6"/>
  <c r="F6" i="6"/>
  <c r="F10" i="6"/>
  <c r="F14" i="6"/>
  <c r="F18" i="6"/>
  <c r="F26" i="6"/>
  <c r="F5" i="6"/>
  <c r="F9" i="6"/>
  <c r="F13" i="6"/>
  <c r="F17" i="6"/>
  <c r="F21" i="6"/>
  <c r="G22" i="6"/>
  <c r="F25" i="6"/>
  <c r="F29" i="6"/>
  <c r="G30" i="6"/>
  <c r="F33" i="6"/>
  <c r="G34" i="6"/>
  <c r="F37" i="6"/>
  <c r="G38" i="6"/>
  <c r="F41" i="6"/>
  <c r="G42" i="6"/>
  <c r="F45" i="6"/>
  <c r="G46" i="6"/>
  <c r="F49" i="6"/>
  <c r="G50" i="6"/>
  <c r="F53" i="6"/>
  <c r="G54" i="6"/>
  <c r="F57" i="6"/>
  <c r="G58" i="6"/>
  <c r="F61" i="6"/>
  <c r="G62" i="6"/>
  <c r="F65" i="6"/>
  <c r="G66" i="6"/>
  <c r="F69" i="6"/>
  <c r="G70" i="6"/>
  <c r="F73" i="6"/>
  <c r="G74" i="6"/>
  <c r="F77" i="6"/>
  <c r="G78" i="6"/>
  <c r="H2" i="5"/>
  <c r="F80" i="6" l="1"/>
  <c r="I146" i="1" l="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I104" i="1"/>
  <c r="I103"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8" i="1"/>
  <c r="I7" i="1"/>
  <c r="I6" i="1"/>
  <c r="I5" i="1"/>
  <c r="I4" i="1"/>
  <c r="I3" i="1"/>
  <c r="I2" i="1"/>
  <c r="D77" i="4"/>
  <c r="D73" i="4"/>
  <c r="D69" i="4"/>
  <c r="D65" i="4"/>
  <c r="D61" i="4"/>
  <c r="D57" i="4"/>
  <c r="D53" i="4"/>
  <c r="D49" i="4"/>
  <c r="D45" i="4"/>
  <c r="D41" i="4"/>
  <c r="D37" i="4"/>
  <c r="D33" i="4"/>
  <c r="D29" i="4"/>
  <c r="D21" i="4"/>
  <c r="D17" i="4"/>
  <c r="D9" i="4"/>
  <c r="D68" i="4"/>
  <c r="D60" i="4"/>
  <c r="D52" i="4"/>
  <c r="D44" i="4"/>
  <c r="D40" i="4"/>
  <c r="D32" i="4"/>
  <c r="D24" i="4"/>
  <c r="D16" i="4"/>
  <c r="D4" i="4"/>
  <c r="D75" i="4"/>
  <c r="D71" i="4"/>
  <c r="D67" i="4"/>
  <c r="D63" i="4"/>
  <c r="D59" i="4"/>
  <c r="D55" i="4"/>
  <c r="D51" i="4"/>
  <c r="D47" i="4"/>
  <c r="D43" i="4"/>
  <c r="D39" i="4"/>
  <c r="D35" i="4"/>
  <c r="D31" i="4"/>
  <c r="D27" i="4"/>
  <c r="D23" i="4"/>
  <c r="D19" i="4"/>
  <c r="D15" i="4"/>
  <c r="D11" i="4"/>
  <c r="D7" i="4"/>
  <c r="D78" i="4"/>
  <c r="D74" i="4"/>
  <c r="D70" i="4"/>
  <c r="D66" i="4"/>
  <c r="D62" i="4"/>
  <c r="D58" i="4"/>
  <c r="D54" i="4"/>
  <c r="D50" i="4"/>
  <c r="D46" i="4"/>
  <c r="D42" i="4"/>
  <c r="D38" i="4"/>
  <c r="D34" i="4"/>
  <c r="D30" i="4"/>
  <c r="D26" i="4"/>
  <c r="D22" i="4"/>
  <c r="D18" i="4"/>
  <c r="D14" i="4"/>
  <c r="D10" i="4"/>
  <c r="D6" i="4"/>
  <c r="D25" i="4"/>
  <c r="D13" i="4"/>
  <c r="D5" i="4"/>
  <c r="D76" i="4"/>
  <c r="D72" i="4"/>
  <c r="D64" i="4"/>
  <c r="D56" i="4"/>
  <c r="D48" i="4"/>
  <c r="D36" i="4"/>
  <c r="D28" i="4"/>
  <c r="D20" i="4"/>
  <c r="D12" i="4"/>
  <c r="D8" i="4"/>
  <c r="E8" i="4" l="1"/>
  <c r="F8" i="4" s="1"/>
  <c r="E12" i="4"/>
  <c r="F12" i="4" s="1"/>
  <c r="E20" i="4"/>
  <c r="F20" i="4" s="1"/>
  <c r="E28" i="4"/>
  <c r="F28" i="4" s="1"/>
  <c r="E56" i="4"/>
  <c r="F56" i="4" s="1"/>
  <c r="E64" i="4"/>
  <c r="F64" i="4" s="1"/>
  <c r="E72" i="4"/>
  <c r="F72" i="4" s="1"/>
  <c r="E5" i="4"/>
  <c r="F5" i="4" s="1"/>
  <c r="E13" i="4"/>
  <c r="F13" i="4" s="1"/>
  <c r="E6" i="4"/>
  <c r="F6" i="4" s="1"/>
  <c r="E10" i="4"/>
  <c r="F10" i="4" s="1"/>
  <c r="E14" i="4"/>
  <c r="F14" i="4" s="1"/>
  <c r="E18" i="4"/>
  <c r="F18" i="4" s="1"/>
  <c r="E22" i="4"/>
  <c r="F22" i="4" s="1"/>
  <c r="E26" i="4"/>
  <c r="F26" i="4" s="1"/>
  <c r="E30" i="4"/>
  <c r="F30" i="4" s="1"/>
  <c r="E34" i="4"/>
  <c r="F34" i="4" s="1"/>
  <c r="E42" i="4"/>
  <c r="F42" i="4" s="1"/>
  <c r="E50" i="4"/>
  <c r="F50" i="4" s="1"/>
  <c r="E54" i="4"/>
  <c r="F54" i="4" s="1"/>
  <c r="E58" i="4"/>
  <c r="F58" i="4" s="1"/>
  <c r="E62" i="4"/>
  <c r="F62" i="4" s="1"/>
  <c r="E70" i="4"/>
  <c r="F70" i="4" s="1"/>
  <c r="E78" i="4"/>
  <c r="F78" i="4" s="1"/>
  <c r="E7" i="4"/>
  <c r="F7" i="4" s="1"/>
  <c r="E11" i="4"/>
  <c r="F11" i="4" s="1"/>
  <c r="E15" i="4"/>
  <c r="F15" i="4" s="1"/>
  <c r="E19" i="4"/>
  <c r="F19" i="4" s="1"/>
  <c r="E23" i="4"/>
  <c r="F23" i="4" s="1"/>
  <c r="E27" i="4"/>
  <c r="F27" i="4" s="1"/>
  <c r="E35" i="4"/>
  <c r="F35" i="4" s="1"/>
  <c r="E43" i="4"/>
  <c r="F43" i="4" s="1"/>
  <c r="E47" i="4"/>
  <c r="F47" i="4" s="1"/>
  <c r="E51" i="4"/>
  <c r="F51" i="4" s="1"/>
  <c r="E55" i="4"/>
  <c r="F55" i="4" s="1"/>
  <c r="E59" i="4"/>
  <c r="F59" i="4" s="1"/>
  <c r="E63" i="4"/>
  <c r="F63" i="4" s="1"/>
  <c r="E67" i="4"/>
  <c r="F67" i="4" s="1"/>
  <c r="E71" i="4"/>
  <c r="F71" i="4" s="1"/>
  <c r="E75" i="4"/>
  <c r="F75" i="4" s="1"/>
  <c r="E4" i="4"/>
  <c r="F4" i="4" s="1"/>
  <c r="E16" i="4"/>
  <c r="F16" i="4" s="1"/>
  <c r="E24" i="4"/>
  <c r="F24" i="4" s="1"/>
  <c r="E32" i="4"/>
  <c r="F32" i="4" s="1"/>
  <c r="E44" i="4"/>
  <c r="F44" i="4" s="1"/>
  <c r="E52" i="4"/>
  <c r="F52" i="4" s="1"/>
  <c r="E60" i="4"/>
  <c r="F60" i="4" s="1"/>
  <c r="E68" i="4"/>
  <c r="F68" i="4" s="1"/>
  <c r="E9" i="4"/>
  <c r="F9" i="4" s="1"/>
  <c r="E17" i="4"/>
  <c r="F17" i="4" s="1"/>
  <c r="E21" i="4"/>
  <c r="F21" i="4" s="1"/>
  <c r="E29" i="4"/>
  <c r="F29" i="4" s="1"/>
  <c r="E33" i="4"/>
  <c r="F33" i="4" s="1"/>
  <c r="E41" i="4"/>
  <c r="F41" i="4" s="1"/>
  <c r="E45" i="4"/>
  <c r="F45" i="4" s="1"/>
  <c r="E49" i="4"/>
  <c r="F49" i="4" s="1"/>
  <c r="E53" i="4"/>
  <c r="F53" i="4" s="1"/>
  <c r="E57" i="4"/>
  <c r="F57" i="4" s="1"/>
  <c r="E61" i="4"/>
  <c r="F61" i="4" s="1"/>
  <c r="E69" i="4"/>
  <c r="F69" i="4" s="1"/>
  <c r="E73" i="4"/>
  <c r="F73" i="4" s="1"/>
  <c r="E36" i="4"/>
  <c r="F36" i="4" s="1"/>
  <c r="E48" i="4"/>
  <c r="F48" i="4" s="1"/>
  <c r="E76" i="4"/>
  <c r="F76" i="4" s="1"/>
  <c r="E25" i="4"/>
  <c r="F25" i="4" s="1"/>
  <c r="E38" i="4"/>
  <c r="F38" i="4" s="1"/>
  <c r="E46" i="4"/>
  <c r="F46" i="4" s="1"/>
  <c r="E66" i="4"/>
  <c r="F66" i="4" s="1"/>
  <c r="E74" i="4"/>
  <c r="F74" i="4" s="1"/>
  <c r="E31" i="4"/>
  <c r="F31" i="4" s="1"/>
  <c r="E39" i="4"/>
  <c r="F39" i="4" s="1"/>
  <c r="E40" i="4"/>
  <c r="F40" i="4" s="1"/>
  <c r="E37" i="4"/>
  <c r="F37" i="4" s="1"/>
  <c r="E65" i="4"/>
  <c r="F65" i="4" s="1"/>
  <c r="E77" i="4"/>
  <c r="F77" i="4" s="1"/>
  <c r="D79" i="4"/>
  <c r="K146" i="1"/>
  <c r="J145" i="1"/>
  <c r="K144" i="1"/>
  <c r="K142" i="1"/>
  <c r="K141" i="1"/>
  <c r="K140" i="1"/>
  <c r="K138" i="1"/>
  <c r="K137" i="1"/>
  <c r="K136" i="1"/>
  <c r="K134" i="1"/>
  <c r="K133" i="1"/>
  <c r="K132" i="1"/>
  <c r="K130" i="1"/>
  <c r="K129" i="1"/>
  <c r="K128" i="1"/>
  <c r="K126" i="1"/>
  <c r="K125" i="1"/>
  <c r="K124" i="1"/>
  <c r="K122" i="1"/>
  <c r="J121" i="1"/>
  <c r="K120" i="1"/>
  <c r="K118" i="1"/>
  <c r="J117" i="1"/>
  <c r="K116" i="1"/>
  <c r="K114" i="1"/>
  <c r="J113" i="1"/>
  <c r="K112" i="1"/>
  <c r="K110" i="1"/>
  <c r="J109" i="1"/>
  <c r="K108" i="1"/>
  <c r="K106" i="1"/>
  <c r="K105" i="1"/>
  <c r="K104" i="1"/>
  <c r="K102" i="1"/>
  <c r="K101" i="1"/>
  <c r="K100" i="1"/>
  <c r="K97" i="1"/>
  <c r="K96" i="1"/>
  <c r="K95" i="1"/>
  <c r="J93" i="1"/>
  <c r="K92" i="1"/>
  <c r="K91" i="1"/>
  <c r="K89" i="1"/>
  <c r="J89" i="1"/>
  <c r="K88" i="1"/>
  <c r="K87" i="1"/>
  <c r="J85" i="1"/>
  <c r="J84" i="1"/>
  <c r="K83" i="1"/>
  <c r="J81" i="1"/>
  <c r="K80" i="1"/>
  <c r="K79" i="1"/>
  <c r="K77" i="1"/>
  <c r="K76" i="1"/>
  <c r="K75" i="1"/>
  <c r="J73" i="1"/>
  <c r="K72" i="1"/>
  <c r="K71" i="1"/>
  <c r="J69" i="1"/>
  <c r="K68" i="1"/>
  <c r="K67" i="1"/>
  <c r="J65" i="1"/>
  <c r="K64" i="1"/>
  <c r="J64" i="1"/>
  <c r="K63" i="1"/>
  <c r="J61" i="1"/>
  <c r="K60" i="1"/>
  <c r="K59" i="1"/>
  <c r="K57" i="1"/>
  <c r="J56" i="1"/>
  <c r="K55" i="1"/>
  <c r="K53" i="1"/>
  <c r="J52" i="1"/>
  <c r="K51" i="1"/>
  <c r="K49" i="1"/>
  <c r="K48" i="1"/>
  <c r="J48" i="1"/>
  <c r="K47" i="1"/>
  <c r="K45" i="1"/>
  <c r="K44" i="1"/>
  <c r="K43" i="1"/>
  <c r="J42" i="1"/>
  <c r="K41" i="1"/>
  <c r="J40" i="1"/>
  <c r="K39" i="1"/>
  <c r="J38" i="1"/>
  <c r="K37" i="1"/>
  <c r="K36" i="1"/>
  <c r="K35" i="1"/>
  <c r="J34" i="1"/>
  <c r="J33" i="1"/>
  <c r="J32" i="1"/>
  <c r="K31" i="1"/>
  <c r="J30" i="1"/>
  <c r="K29" i="1"/>
  <c r="K28" i="1"/>
  <c r="K27" i="1"/>
  <c r="J26" i="1"/>
  <c r="J25" i="1"/>
  <c r="K24" i="1"/>
  <c r="J24" i="1"/>
  <c r="K23" i="1"/>
  <c r="J22" i="1"/>
  <c r="K21" i="1"/>
  <c r="K20" i="1"/>
  <c r="K19" i="1"/>
  <c r="J18" i="1"/>
  <c r="K17" i="1"/>
  <c r="J17" i="1"/>
  <c r="K16" i="1"/>
  <c r="K15" i="1"/>
  <c r="J14" i="1"/>
  <c r="K13" i="1"/>
  <c r="K12" i="1"/>
  <c r="K11" i="1"/>
  <c r="J10" i="1"/>
  <c r="J9" i="1"/>
  <c r="K8" i="1"/>
  <c r="K7" i="1"/>
  <c r="J6" i="1"/>
  <c r="K5" i="1"/>
  <c r="K4" i="1"/>
  <c r="K3" i="1"/>
  <c r="J2" i="1"/>
  <c r="H40" i="4" l="1"/>
  <c r="G40" i="4"/>
  <c r="H66" i="4"/>
  <c r="G66" i="4"/>
  <c r="H69" i="4"/>
  <c r="G69" i="4"/>
  <c r="H29" i="4"/>
  <c r="G29" i="4"/>
  <c r="H68" i="4"/>
  <c r="G68" i="4"/>
  <c r="H75" i="4"/>
  <c r="G75" i="4"/>
  <c r="H43" i="4"/>
  <c r="G43" i="4"/>
  <c r="H19" i="4"/>
  <c r="G19" i="4"/>
  <c r="H54" i="4"/>
  <c r="G54" i="4"/>
  <c r="H14" i="4"/>
  <c r="G14" i="4"/>
  <c r="H5" i="4"/>
  <c r="G5" i="4"/>
  <c r="H39" i="4"/>
  <c r="G39" i="4"/>
  <c r="H48" i="4"/>
  <c r="G48" i="4"/>
  <c r="H45" i="4"/>
  <c r="G45" i="4"/>
  <c r="H21" i="4"/>
  <c r="G21" i="4"/>
  <c r="H24" i="4"/>
  <c r="G24" i="4"/>
  <c r="H71" i="4"/>
  <c r="G71" i="4"/>
  <c r="H35" i="4"/>
  <c r="G35" i="4"/>
  <c r="H70" i="4"/>
  <c r="G70" i="4"/>
  <c r="H26" i="4"/>
  <c r="G26" i="4"/>
  <c r="H20" i="4"/>
  <c r="G20" i="4"/>
  <c r="H65" i="4"/>
  <c r="G65" i="4"/>
  <c r="H31" i="4"/>
  <c r="G31" i="4"/>
  <c r="H38" i="4"/>
  <c r="G38" i="4"/>
  <c r="H36" i="4"/>
  <c r="G36" i="4"/>
  <c r="H57" i="4"/>
  <c r="G57" i="4"/>
  <c r="H41" i="4"/>
  <c r="G41" i="4"/>
  <c r="H17" i="4"/>
  <c r="G17" i="4"/>
  <c r="H52" i="4"/>
  <c r="G52" i="4"/>
  <c r="H16" i="4"/>
  <c r="G16" i="4"/>
  <c r="H67" i="4"/>
  <c r="G67" i="4"/>
  <c r="H51" i="4"/>
  <c r="G51" i="4"/>
  <c r="H27" i="4"/>
  <c r="G27" i="4"/>
  <c r="H11" i="4"/>
  <c r="G11" i="4"/>
  <c r="H62" i="4"/>
  <c r="G62" i="4"/>
  <c r="H42" i="4"/>
  <c r="G42" i="4"/>
  <c r="H22" i="4"/>
  <c r="G22" i="4"/>
  <c r="H6" i="4"/>
  <c r="G6" i="4"/>
  <c r="H64" i="4"/>
  <c r="G64" i="4"/>
  <c r="H12" i="4"/>
  <c r="G12" i="4"/>
  <c r="H76" i="4"/>
  <c r="G76" i="4"/>
  <c r="H49" i="4"/>
  <c r="G49" i="4"/>
  <c r="H32" i="4"/>
  <c r="G32" i="4"/>
  <c r="H59" i="4"/>
  <c r="G59" i="4"/>
  <c r="H78" i="4"/>
  <c r="G78" i="4"/>
  <c r="H30" i="4"/>
  <c r="G30" i="4"/>
  <c r="H28" i="4"/>
  <c r="G28" i="4"/>
  <c r="H77" i="4"/>
  <c r="G77" i="4"/>
  <c r="H46" i="4"/>
  <c r="G46" i="4"/>
  <c r="H61" i="4"/>
  <c r="G61" i="4"/>
  <c r="H60" i="4"/>
  <c r="G60" i="4"/>
  <c r="H55" i="4"/>
  <c r="G55" i="4"/>
  <c r="H15" i="4"/>
  <c r="G15" i="4"/>
  <c r="H50" i="4"/>
  <c r="G50" i="4"/>
  <c r="H10" i="4"/>
  <c r="G10" i="4"/>
  <c r="H72" i="4"/>
  <c r="G72" i="4"/>
  <c r="H37" i="4"/>
  <c r="G37" i="4"/>
  <c r="H74" i="4"/>
  <c r="G74" i="4"/>
  <c r="H25" i="4"/>
  <c r="G25" i="4"/>
  <c r="H73" i="4"/>
  <c r="G73" i="4"/>
  <c r="H53" i="4"/>
  <c r="G53" i="4"/>
  <c r="H33" i="4"/>
  <c r="G33" i="4"/>
  <c r="H9" i="4"/>
  <c r="G9" i="4"/>
  <c r="H44" i="4"/>
  <c r="G44" i="4"/>
  <c r="H4" i="4"/>
  <c r="F79" i="4"/>
  <c r="G4" i="4"/>
  <c r="H63" i="4"/>
  <c r="G63" i="4"/>
  <c r="H47" i="4"/>
  <c r="G47" i="4"/>
  <c r="H23" i="4"/>
  <c r="G23" i="4"/>
  <c r="H7" i="4"/>
  <c r="G7" i="4"/>
  <c r="H58" i="4"/>
  <c r="G58" i="4"/>
  <c r="H34" i="4"/>
  <c r="G34" i="4"/>
  <c r="H18" i="4"/>
  <c r="G18" i="4"/>
  <c r="H13" i="4"/>
  <c r="G13" i="4"/>
  <c r="H56" i="4"/>
  <c r="G56" i="4"/>
  <c r="H8" i="4"/>
  <c r="G8" i="4"/>
  <c r="K32" i="1"/>
  <c r="J60" i="1"/>
  <c r="K73" i="1"/>
  <c r="K40" i="1"/>
  <c r="K81" i="1"/>
  <c r="J16" i="1"/>
  <c r="J72" i="1"/>
  <c r="J77" i="1"/>
  <c r="J8" i="1"/>
  <c r="J41" i="1"/>
  <c r="K52" i="1"/>
  <c r="K65" i="1"/>
  <c r="J68" i="1"/>
  <c r="K85" i="1"/>
  <c r="K25" i="1"/>
  <c r="K56" i="1"/>
  <c r="K61" i="1"/>
  <c r="J91" i="1"/>
  <c r="K9" i="1"/>
  <c r="J35" i="1"/>
  <c r="K69" i="1"/>
  <c r="K33" i="1"/>
  <c r="J43" i="1"/>
  <c r="K6" i="1"/>
  <c r="K22" i="1"/>
  <c r="J76" i="1"/>
  <c r="J80" i="1"/>
  <c r="J88" i="1"/>
  <c r="J97" i="1"/>
  <c r="J101" i="1"/>
  <c r="J105" i="1"/>
  <c r="J125" i="1"/>
  <c r="J129" i="1"/>
  <c r="J133" i="1"/>
  <c r="J137" i="1"/>
  <c r="J141" i="1"/>
  <c r="J5" i="1"/>
  <c r="J13" i="1"/>
  <c r="J21" i="1"/>
  <c r="J29" i="1"/>
  <c r="J37" i="1"/>
  <c r="J45" i="1"/>
  <c r="J49" i="1"/>
  <c r="J53" i="1"/>
  <c r="J57" i="1"/>
  <c r="J59" i="1"/>
  <c r="K84" i="1"/>
  <c r="J92" i="1"/>
  <c r="K93" i="1"/>
  <c r="J96" i="1"/>
  <c r="J100" i="1"/>
  <c r="J104" i="1"/>
  <c r="J108" i="1"/>
  <c r="K109" i="1"/>
  <c r="J112" i="1"/>
  <c r="K113" i="1"/>
  <c r="J116" i="1"/>
  <c r="K117" i="1"/>
  <c r="J120" i="1"/>
  <c r="K121" i="1"/>
  <c r="J124" i="1"/>
  <c r="J128" i="1"/>
  <c r="J132" i="1"/>
  <c r="J136" i="1"/>
  <c r="J140" i="1"/>
  <c r="J144" i="1"/>
  <c r="K145" i="1"/>
  <c r="K14" i="1"/>
  <c r="K30" i="1"/>
  <c r="K38" i="1"/>
  <c r="J3" i="1"/>
  <c r="J11" i="1"/>
  <c r="J19" i="1"/>
  <c r="J27" i="1"/>
  <c r="J75" i="1"/>
  <c r="J47" i="1"/>
  <c r="K54" i="1"/>
  <c r="J54" i="1"/>
  <c r="J63" i="1"/>
  <c r="K70" i="1"/>
  <c r="J70" i="1"/>
  <c r="J79" i="1"/>
  <c r="K86" i="1"/>
  <c r="J86" i="1"/>
  <c r="J95" i="1"/>
  <c r="K99" i="1"/>
  <c r="J99" i="1"/>
  <c r="K103" i="1"/>
  <c r="J103" i="1"/>
  <c r="K107" i="1"/>
  <c r="J107" i="1"/>
  <c r="K111" i="1"/>
  <c r="J111" i="1"/>
  <c r="K115" i="1"/>
  <c r="J115" i="1"/>
  <c r="K119" i="1"/>
  <c r="J119" i="1"/>
  <c r="K123" i="1"/>
  <c r="J123" i="1"/>
  <c r="K127" i="1"/>
  <c r="J127" i="1"/>
  <c r="K131" i="1"/>
  <c r="J131" i="1"/>
  <c r="K135" i="1"/>
  <c r="J135" i="1"/>
  <c r="K139" i="1"/>
  <c r="J139" i="1"/>
  <c r="K143" i="1"/>
  <c r="J143" i="1"/>
  <c r="K2" i="1"/>
  <c r="J4" i="1"/>
  <c r="J147" i="1" s="1"/>
  <c r="J7" i="1"/>
  <c r="K10" i="1"/>
  <c r="J12" i="1"/>
  <c r="J15" i="1"/>
  <c r="K18" i="1"/>
  <c r="J20" i="1"/>
  <c r="J23" i="1"/>
  <c r="K26" i="1"/>
  <c r="J28" i="1"/>
  <c r="J31" i="1"/>
  <c r="K34" i="1"/>
  <c r="J36" i="1"/>
  <c r="J39" i="1"/>
  <c r="K42" i="1"/>
  <c r="J44" i="1"/>
  <c r="J51" i="1"/>
  <c r="K58" i="1"/>
  <c r="J58" i="1"/>
  <c r="J67" i="1"/>
  <c r="K74" i="1"/>
  <c r="J74" i="1"/>
  <c r="J83" i="1"/>
  <c r="K90" i="1"/>
  <c r="J90" i="1"/>
  <c r="K46" i="1"/>
  <c r="J46" i="1"/>
  <c r="J55" i="1"/>
  <c r="K62" i="1"/>
  <c r="J62" i="1"/>
  <c r="J71" i="1"/>
  <c r="K78" i="1"/>
  <c r="J78" i="1"/>
  <c r="J87" i="1"/>
  <c r="K94" i="1"/>
  <c r="J94" i="1"/>
  <c r="K50" i="1"/>
  <c r="J50" i="1"/>
  <c r="K66" i="1"/>
  <c r="J66" i="1"/>
  <c r="K82" i="1"/>
  <c r="J82" i="1"/>
  <c r="K98" i="1"/>
  <c r="J98" i="1"/>
  <c r="J102" i="1"/>
  <c r="J106" i="1"/>
  <c r="J110" i="1"/>
  <c r="J114" i="1"/>
  <c r="J118" i="1"/>
  <c r="J122" i="1"/>
  <c r="J126" i="1"/>
  <c r="J130" i="1"/>
  <c r="J134" i="1"/>
  <c r="J138" i="1"/>
  <c r="J142" i="1"/>
  <c r="J146" i="1"/>
  <c r="G79" i="4" l="1"/>
  <c r="H79" i="4"/>
  <c r="K147" i="1"/>
</calcChain>
</file>

<file path=xl/sharedStrings.xml><?xml version="1.0" encoding="utf-8"?>
<sst xmlns="http://schemas.openxmlformats.org/spreadsheetml/2006/main" count="1603" uniqueCount="124">
  <si>
    <t>Avista Corp. WWP Division</t>
  </si>
  <si>
    <t>Purchases - Secondary</t>
  </si>
  <si>
    <t>Secondary</t>
  </si>
  <si>
    <t>System</t>
  </si>
  <si>
    <t>Black Hills Power</t>
  </si>
  <si>
    <t>BP Energy Co.</t>
  </si>
  <si>
    <t>BPA</t>
  </si>
  <si>
    <t>BPA - NWPP Reserve Sharing Energy</t>
  </si>
  <si>
    <t>British Columbia Transmission Corp</t>
  </si>
  <si>
    <t>California ISO</t>
  </si>
  <si>
    <t>Calpine Energy Services</t>
  </si>
  <si>
    <t>Cargill Power Markets</t>
  </si>
  <si>
    <t>Chelan County PUD #1</t>
  </si>
  <si>
    <t>Citigroup Energy Inc</t>
  </si>
  <si>
    <t>Clark Public Utilities</t>
  </si>
  <si>
    <t>Clatskanie PUD</t>
  </si>
  <si>
    <t>Conoco, Inc.</t>
  </si>
  <si>
    <t>Douglas County PUD #1</t>
  </si>
  <si>
    <t>EDF Trading NA LLC</t>
  </si>
  <si>
    <t>Energy Keepers Inc.</t>
  </si>
  <si>
    <t>Eugene Water &amp; Electric</t>
  </si>
  <si>
    <t>Exelon Generation Co LLC</t>
  </si>
  <si>
    <t>Grant County PUD #2</t>
  </si>
  <si>
    <t>GRIDFORCE ENERGY MANAGEMENT, LLC.</t>
  </si>
  <si>
    <t>Iberdrola Renewables (PPM Energy)</t>
  </si>
  <si>
    <t>Idaho Power Company</t>
  </si>
  <si>
    <t>J. Aron &amp; Company</t>
  </si>
  <si>
    <t>Morgan Stanley CG</t>
  </si>
  <si>
    <t>NextEra Energy Power Marketing</t>
  </si>
  <si>
    <t>Northwestern Energy</t>
  </si>
  <si>
    <t>Okanogan PUD</t>
  </si>
  <si>
    <t>Pacificorp</t>
  </si>
  <si>
    <t>Portland General Electric</t>
  </si>
  <si>
    <t>Powerex Corp.</t>
  </si>
  <si>
    <t>Public Service of Colorado</t>
  </si>
  <si>
    <t>Rainbow Energy Marketing</t>
  </si>
  <si>
    <t>Sacramento Municipal</t>
  </si>
  <si>
    <t>Seattle City Light Marketing</t>
  </si>
  <si>
    <t>Shell Energy (Coral Pwr)</t>
  </si>
  <si>
    <t>Snohomish County PUD #1</t>
  </si>
  <si>
    <t>Tacoma Power</t>
  </si>
  <si>
    <t>Talen Energy (PPL Energy Plus)</t>
  </si>
  <si>
    <t>The Energy Authority</t>
  </si>
  <si>
    <t>TransAlta Energy Marketing</t>
  </si>
  <si>
    <t>TransCanada Energy Sales Ltd</t>
  </si>
  <si>
    <t>Turlock Irrigation District</t>
  </si>
  <si>
    <t>Vitol Inc.</t>
  </si>
  <si>
    <t>CAISO EESC Load Undistributed Costs</t>
  </si>
  <si>
    <t>EIM Purchases</t>
  </si>
  <si>
    <t>CAISO PRSC Undistributed Costs</t>
  </si>
  <si>
    <t>Colstrip - Energy Imbalance Market</t>
  </si>
  <si>
    <t>Douglas PUD - Wells Project</t>
  </si>
  <si>
    <t>Encogen</t>
  </si>
  <si>
    <t>Ferndale Co-Generation</t>
  </si>
  <si>
    <t>Freddie #1</t>
  </si>
  <si>
    <t>Fredonia - Energy Imbalance Market</t>
  </si>
  <si>
    <t>Fredrickson 1 &amp; 2</t>
  </si>
  <si>
    <t>Goldendale</t>
  </si>
  <si>
    <t>Lower Baker</t>
  </si>
  <si>
    <t>MID-C for Energy Imbalance Market</t>
  </si>
  <si>
    <t>Mint Farm</t>
  </si>
  <si>
    <t>Snoqualmie-Energy Imbalance Market</t>
  </si>
  <si>
    <t>Sumas</t>
  </si>
  <si>
    <t>Upper Baker</t>
  </si>
  <si>
    <t>Whitehorn 2&amp;3</t>
  </si>
  <si>
    <t>Wild Horse (W183)</t>
  </si>
  <si>
    <t>Avista Nichols Pump</t>
  </si>
  <si>
    <t>Interchange - In</t>
  </si>
  <si>
    <t>Pacific Gas &amp; Elec - Exchange</t>
  </si>
  <si>
    <t>Deviation</t>
  </si>
  <si>
    <t>Interchange - Out</t>
  </si>
  <si>
    <t>Transmission by Others</t>
  </si>
  <si>
    <t>BPA - CA Wind Integration</t>
  </si>
  <si>
    <t>BPA - PTP Transactions</t>
  </si>
  <si>
    <t>BPA - SCD Hourly NF</t>
  </si>
  <si>
    <t>BPA - Spin Reserv Requirement</t>
  </si>
  <si>
    <t>BPA IS - Hourly Non-Firm</t>
  </si>
  <si>
    <t>Sales for Resale</t>
  </si>
  <si>
    <t>ENMAX Energy Marketing, Inc.</t>
  </si>
  <si>
    <t>Natur Ener USA</t>
  </si>
  <si>
    <t>Nevada Power Company</t>
  </si>
  <si>
    <t>Tenaska Power Services Co.</t>
  </si>
  <si>
    <t>Williams Power Company</t>
  </si>
  <si>
    <t>EIM Sales</t>
  </si>
  <si>
    <t>Sort Order</t>
  </si>
  <si>
    <t>Year</t>
  </si>
  <si>
    <t>Facility / Firm</t>
  </si>
  <si>
    <t>Type</t>
  </si>
  <si>
    <t>Primary / Secondary Claim</t>
  </si>
  <si>
    <t>Fuel (Primary)</t>
  </si>
  <si>
    <t>MWh</t>
  </si>
  <si>
    <t>lbs CO2/MWh</t>
  </si>
  <si>
    <t>Short Tons CO2</t>
  </si>
  <si>
    <t>Metric Tons (CO2, not CO2e)</t>
  </si>
  <si>
    <t>lbs CO2 per MWh</t>
  </si>
  <si>
    <t>WA Department of Commerce Fuel Mix Report (per WUTC April 2018):</t>
  </si>
  <si>
    <t>Row Labels</t>
  </si>
  <si>
    <t>Grand Total</t>
  </si>
  <si>
    <t>Sum of MWh</t>
  </si>
  <si>
    <t>Metric Tons (CO2 only)</t>
  </si>
  <si>
    <t>Short Tons (CO2 only)</t>
  </si>
  <si>
    <t>Secondary purchases to serve PSE load, unspecified</t>
  </si>
  <si>
    <t>Book Outs - EITF 03-11</t>
  </si>
  <si>
    <t>CP Energy Marketing (Epcor)</t>
  </si>
  <si>
    <t>Noble Americas Gas &amp; Power</t>
  </si>
  <si>
    <t>NorthPoint Energy Solutions, Inc.</t>
  </si>
  <si>
    <t>Southern Cal - Edison</t>
  </si>
  <si>
    <t xml:space="preserve">Treat these as secondary purchases even if it's a PSE resource. The way EIM works: Step 1) Actual meter read compared to base schedule (in the hour), Step 2) If meter &gt; than base schedule, sale occurred. </t>
  </si>
  <si>
    <t>Interchange-in, secondardy purchases to service PSE load, unspecified</t>
  </si>
  <si>
    <t>Interchange-out, secondardy purchases to service PSE load, unspecified</t>
  </si>
  <si>
    <t>Our power over other lines, 3rd party sales (wholesale)</t>
  </si>
  <si>
    <t>This is wholesale power sales. Sales to other entities (Sales for Resale) for the purpose of balancing PSE system load.</t>
  </si>
  <si>
    <t>Constellation Power Source, Inc.</t>
  </si>
  <si>
    <t>Transalta Centralia Generation LLC</t>
  </si>
  <si>
    <t>Pounds of CO2</t>
  </si>
  <si>
    <t>PSE Own + Firm PPA (5.4.18):</t>
  </si>
  <si>
    <t>PSE Owned</t>
  </si>
  <si>
    <t>No</t>
  </si>
  <si>
    <t>Yes</t>
  </si>
  <si>
    <t>Assigned Rate</t>
  </si>
  <si>
    <t xml:space="preserve">Power Cost Repoert: Generation data (owned) is the actual metered generation data. </t>
  </si>
  <si>
    <t>EIM buys and sales are location specific purchases and sales.  The difference between actual generation and base schedule determines whether or not it's a purchase or a sale. Generation in excess of base schedule is a sale, while base schedule in excess of actual generation is a purchase.</t>
  </si>
  <si>
    <t>If sum is greater than zero, then PSE purchased power from CAISO. If the EIM sum is less than zero, then PSE had excess generation. The emission rate when sum is negative is zero because emissions are accounted for in the actual generation segment of the Power Cost Summary Report.</t>
  </si>
  <si>
    <t>EIM Calculation Rules (PSE Units Only):</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</si>
</sst>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_(* #,##0_);_(* \(#,##0\);_(* &quot;-&quot;??_);_(@_)"/>
  </numFmts>
  <fonts count="3" x14ac:knownFonts="1">
    <font>
      <sz val="11"/>
      <color theme="1"/>
      <name val="Calibri"/>
      <family val="2"/>
      <scheme val="minor"/>
    </font>
    <font>
      <sz val="11"/>
      <color theme="1"/>
      <name val="Calibri"/>
      <family val="2"/>
      <scheme val="minor"/>
    </font>
    <font>
      <sz val="11"/>
      <color indexed="8"/>
      <name val="Calibri"/>
      <family val="2"/>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medium">
        <color indexed="64"/>
      </bottom>
      <diagonal/>
    </border>
    <border>
      <left/>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45">
    <xf numFmtId="0" fontId="0" fillId="0" borderId="0" xfId="0"/>
    <xf numFmtId="0" fontId="0" fillId="0" borderId="0" xfId="0" applyFont="1" applyAlignment="1">
      <alignment horizontal="left" vertical="center"/>
    </xf>
    <xf numFmtId="0" fontId="2" fillId="0" borderId="0" xfId="0" applyFont="1" applyFill="1" applyAlignment="1">
      <alignment horizontal="left" vertical="center"/>
    </xf>
    <xf numFmtId="3" fontId="0" fillId="0" borderId="0" xfId="0" applyNumberFormat="1" applyFont="1" applyAlignment="1">
      <alignment horizontal="left" vertical="center"/>
    </xf>
    <xf numFmtId="0" fontId="0" fillId="0" borderId="0" xfId="0" applyFont="1" applyAlignment="1">
      <alignment vertical="center"/>
    </xf>
    <xf numFmtId="0" fontId="0" fillId="0" borderId="0" xfId="0" applyFont="1" applyAlignment="1">
      <alignment horizontal="right" vertical="center"/>
    </xf>
    <xf numFmtId="164" fontId="0" fillId="0" borderId="0" xfId="0" applyNumberFormat="1" applyFont="1" applyAlignment="1">
      <alignment vertical="center"/>
    </xf>
    <xf numFmtId="3" fontId="0" fillId="0" borderId="0" xfId="0" applyNumberFormat="1" applyFont="1" applyAlignment="1">
      <alignment vertical="center"/>
    </xf>
    <xf numFmtId="3" fontId="0" fillId="0" borderId="0" xfId="1" applyNumberFormat="1" applyFont="1" applyBorder="1" applyAlignment="1">
      <alignment horizontal="center" vertical="center"/>
    </xf>
    <xf numFmtId="3" fontId="0" fillId="0" borderId="0" xfId="1" applyNumberFormat="1" applyFont="1" applyFill="1" applyBorder="1" applyAlignment="1">
      <alignment horizontal="center" vertical="center"/>
    </xf>
    <xf numFmtId="3" fontId="0" fillId="0" borderId="0" xfId="0" applyNumberFormat="1" applyFont="1" applyAlignment="1">
      <alignment horizontal="center" vertical="center"/>
    </xf>
    <xf numFmtId="0" fontId="0" fillId="0" borderId="0" xfId="0" applyFont="1" applyAlignment="1">
      <alignment horizontal="center" vertical="center"/>
    </xf>
    <xf numFmtId="164" fontId="0" fillId="0" borderId="1" xfId="0" applyNumberFormat="1" applyFont="1" applyBorder="1" applyAlignment="1">
      <alignment horizontal="left" vertical="center"/>
    </xf>
    <xf numFmtId="0" fontId="0" fillId="0" borderId="1" xfId="0" applyFont="1" applyBorder="1" applyAlignment="1">
      <alignment horizontal="left" vertical="center"/>
    </xf>
    <xf numFmtId="4" fontId="0" fillId="0" borderId="1" xfId="1" applyNumberFormat="1" applyFont="1" applyBorder="1" applyAlignment="1">
      <alignment horizontal="left" vertical="center"/>
    </xf>
    <xf numFmtId="3" fontId="0" fillId="0" borderId="1" xfId="1" applyNumberFormat="1" applyFont="1" applyBorder="1" applyAlignment="1">
      <alignment horizontal="center" vertical="center" wrapText="1"/>
    </xf>
    <xf numFmtId="4" fontId="0" fillId="0" borderId="1" xfId="1" applyNumberFormat="1" applyFont="1" applyBorder="1" applyAlignment="1">
      <alignment horizontal="center" vertical="center" wrapText="1"/>
    </xf>
    <xf numFmtId="3" fontId="0" fillId="0" borderId="0" xfId="0" applyNumberFormat="1"/>
    <xf numFmtId="0" fontId="0" fillId="0" borderId="2" xfId="0" applyBorder="1"/>
    <xf numFmtId="3" fontId="0" fillId="0" borderId="2" xfId="0" applyNumberFormat="1" applyBorder="1"/>
    <xf numFmtId="3" fontId="0" fillId="0" borderId="2" xfId="1" applyNumberFormat="1" applyFont="1" applyFill="1" applyBorder="1" applyAlignment="1">
      <alignment horizontal="center" vertical="center"/>
    </xf>
    <xf numFmtId="3" fontId="0" fillId="0" borderId="2" xfId="1" applyNumberFormat="1" applyFont="1" applyBorder="1" applyAlignment="1">
      <alignment horizontal="center" vertical="center"/>
    </xf>
    <xf numFmtId="0" fontId="0" fillId="0" borderId="0" xfId="0" pivotButton="1" applyFont="1" applyAlignment="1">
      <alignment vertical="center"/>
    </xf>
    <xf numFmtId="0" fontId="0" fillId="0" borderId="0" xfId="0" applyFont="1" applyAlignment="1">
      <alignment horizontal="center" vertical="center" wrapText="1"/>
    </xf>
    <xf numFmtId="0" fontId="0" fillId="0" borderId="2" xfId="0" applyFont="1" applyBorder="1" applyAlignment="1">
      <alignment horizontal="left" vertical="center"/>
    </xf>
    <xf numFmtId="3" fontId="0" fillId="0" borderId="2" xfId="0" applyNumberFormat="1" applyFont="1" applyBorder="1" applyAlignment="1">
      <alignment vertical="center"/>
    </xf>
    <xf numFmtId="3" fontId="0" fillId="0" borderId="2" xfId="0" applyNumberFormat="1" applyFont="1" applyBorder="1" applyAlignment="1">
      <alignment horizontal="center" vertical="center"/>
    </xf>
    <xf numFmtId="3" fontId="0" fillId="0" borderId="0" xfId="1" applyNumberFormat="1" applyFont="1" applyAlignment="1">
      <alignment horizontal="center" vertical="center"/>
    </xf>
    <xf numFmtId="0" fontId="0" fillId="0" borderId="0" xfId="0" pivotButton="1" applyAlignment="1">
      <alignment vertical="center"/>
    </xf>
    <xf numFmtId="0" fontId="0" fillId="0" borderId="0" xfId="0" applyAlignment="1">
      <alignment vertical="center"/>
    </xf>
    <xf numFmtId="0" fontId="0" fillId="0" borderId="0" xfId="0" applyAlignment="1">
      <alignment horizontal="left" vertical="center"/>
    </xf>
    <xf numFmtId="3" fontId="0" fillId="0" borderId="0" xfId="0" applyNumberFormat="1" applyAlignment="1">
      <alignment vertical="center"/>
    </xf>
    <xf numFmtId="3" fontId="0" fillId="0" borderId="2" xfId="0" applyNumberFormat="1" applyBorder="1" applyAlignment="1">
      <alignment vertical="center"/>
    </xf>
    <xf numFmtId="3" fontId="0" fillId="0" borderId="0" xfId="0" applyNumberFormat="1" applyAlignment="1">
      <alignment horizontal="center" vertical="center"/>
    </xf>
    <xf numFmtId="0" fontId="0" fillId="0" borderId="0" xfId="0" applyFont="1" applyFill="1" applyAlignment="1">
      <alignment vertical="center"/>
    </xf>
    <xf numFmtId="2" fontId="0" fillId="0" borderId="0" xfId="0" applyNumberFormat="1" applyFont="1" applyAlignment="1">
      <alignment vertical="center"/>
    </xf>
    <xf numFmtId="9" fontId="0" fillId="0" borderId="0" xfId="2" applyFont="1" applyAlignment="1">
      <alignment vertical="center"/>
    </xf>
    <xf numFmtId="0" fontId="0" fillId="0" borderId="2" xfId="0" applyFont="1" applyBorder="1" applyAlignment="1">
      <alignment horizontal="center" vertical="center"/>
    </xf>
    <xf numFmtId="165" fontId="0" fillId="0" borderId="0" xfId="1" applyNumberFormat="1" applyFont="1" applyBorder="1" applyAlignment="1">
      <alignment vertical="center"/>
    </xf>
    <xf numFmtId="165" fontId="0" fillId="0" borderId="0" xfId="1" applyNumberFormat="1" applyFont="1" applyBorder="1" applyAlignment="1">
      <alignment horizontal="center" vertical="center"/>
    </xf>
    <xf numFmtId="43" fontId="0" fillId="0" borderId="0" xfId="0" applyNumberFormat="1" applyFont="1" applyBorder="1" applyAlignment="1">
      <alignment vertical="center"/>
    </xf>
    <xf numFmtId="3" fontId="0" fillId="0" borderId="0" xfId="0" applyNumberFormat="1" applyFont="1" applyBorder="1" applyAlignment="1">
      <alignment horizontal="center" vertical="center"/>
    </xf>
    <xf numFmtId="3" fontId="0" fillId="0" borderId="0" xfId="0" quotePrefix="1" applyNumberFormat="1" applyFont="1" applyAlignment="1">
      <alignment horizontal="center" vertical="center"/>
    </xf>
    <xf numFmtId="0" fontId="0" fillId="2" borderId="0" xfId="0" applyFont="1" applyFill="1" applyAlignment="1">
      <alignment horizontal="center" vertical="center"/>
    </xf>
    <xf numFmtId="3" fontId="0" fillId="2" borderId="0" xfId="0" applyNumberFormat="1" applyFont="1" applyFill="1" applyAlignment="1">
      <alignment horizontal="center" vertical="center"/>
    </xf>
  </cellXfs>
  <cellStyles count="3">
    <cellStyle name="Comma" xfId="1" builtinId="3"/>
    <cellStyle name="Normal" xfId="0" builtinId="0"/>
    <cellStyle name="Percent" xfId="2" builtinId="5"/>
  </cellStyles>
  <dxfs count="7">
    <dxf>
      <alignment vertical="center" readingOrder="0"/>
    </dxf>
    <dxf>
      <numFmt numFmtId="3" formatCode="#,##0"/>
    </dxf>
    <dxf>
      <alignment vertical="center" readingOrder="0"/>
    </dxf>
    <dxf>
      <border>
        <bottom style="thin">
          <color indexed="64"/>
        </bottom>
      </border>
    </dxf>
    <dxf>
      <numFmt numFmtId="3" formatCode="#,##0"/>
    </dxf>
    <dxf>
      <numFmt numFmtId="166" formatCode="0.000000"/>
    </dxf>
    <dxf>
      <font>
        <sz val="11"/>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2.xml"/><Relationship Id="rId11" Type="http://schemas.openxmlformats.org/officeDocument/2006/relationships/customXml" Target="../customXml/item1.xml"/><Relationship Id="rId5" Type="http://schemas.openxmlformats.org/officeDocument/2006/relationships/pivotCacheDefinition" Target="pivotCache/pivotCacheDefinition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Puget Sound Energy" refreshedDate="43216.367260416664" createdVersion="4" refreshedVersion="4" minRefreshableVersion="3" recordCount="145">
  <cacheSource type="worksheet">
    <worksheetSource ref="B1:K146" sheet="2017 Secondary Purchases"/>
  </cacheSource>
  <cacheFields count="10">
    <cacheField name="Year" numFmtId="0">
      <sharedItems containsSemiMixedTypes="0" containsString="0" containsNumber="1" containsInteger="1" minValue="2017" maxValue="2017"/>
    </cacheField>
    <cacheField name="Facility / Firm" numFmtId="0">
      <sharedItems count="75">
        <s v="Avista Corp. WWP Division"/>
        <s v="Black Hills Power"/>
        <s v="BP Energy Co."/>
        <s v="BPA"/>
        <s v="BPA - NWPP Reserve Sharing Energy"/>
        <s v="British Columbia Transmission Corp"/>
        <s v="California ISO"/>
        <s v="Calpine Energy Services"/>
        <s v="Cargill Power Markets"/>
        <s v="Chelan County PUD #1"/>
        <s v="Citigroup Energy Inc"/>
        <s v="Clark Public Utilities"/>
        <s v="Clatskanie PUD"/>
        <s v="Conoco, Inc."/>
        <s v="Douglas County PUD #1"/>
        <s v="EDF Trading NA LLC"/>
        <s v="Energy Keepers Inc."/>
        <s v="Eugene Water &amp; Electric"/>
        <s v="Exelon Generation Co LLC"/>
        <s v="Grant County PUD #2"/>
        <s v="GRIDFORCE ENERGY MANAGEMENT, LLC."/>
        <s v="Iberdrola Renewables (PPM Energy)"/>
        <s v="Idaho Power Company"/>
        <s v="J. Aron &amp; Company"/>
        <s v="Morgan Stanley CG"/>
        <s v="NextEra Energy Power Marketing"/>
        <s v="Northwestern Energy"/>
        <s v="Okanogan PUD"/>
        <s v="Pacificorp"/>
        <s v="Portland General Electric"/>
        <s v="Powerex Corp."/>
        <s v="Public Service of Colorado"/>
        <s v="Rainbow Energy Marketing"/>
        <s v="Sacramento Municipal"/>
        <s v="Seattle City Light Marketing"/>
        <s v="Shell Energy (Coral Pwr)"/>
        <s v="Snohomish County PUD #1"/>
        <s v="Tacoma Power"/>
        <s v="Talen Energy (PPL Energy Plus)"/>
        <s v="The Energy Authority"/>
        <s v="TransAlta Energy Marketing"/>
        <s v="TransCanada Energy Sales Ltd"/>
        <s v="Turlock Irrigation District"/>
        <s v="Vitol Inc."/>
        <s v="CAISO EESC Load Undistributed Costs"/>
        <s v="CAISO PRSC Undistributed Costs"/>
        <s v="Colstrip - Energy Imbalance Market"/>
        <s v="Douglas PUD - Wells Project"/>
        <s v="Encogen"/>
        <s v="Ferndale Co-Generation"/>
        <s v="Freddie #1"/>
        <s v="Fredonia - Energy Imbalance Market"/>
        <s v="Fredrickson 1 &amp; 2"/>
        <s v="Goldendale"/>
        <s v="Lower Baker"/>
        <s v="MID-C for Energy Imbalance Market"/>
        <s v="Mint Farm"/>
        <s v="Snoqualmie-Energy Imbalance Market"/>
        <s v="Sumas"/>
        <s v="Upper Baker"/>
        <s v="Whitehorn 2&amp;3"/>
        <s v="Wild Horse (W183)"/>
        <s v="Avista Nichols Pump"/>
        <s v="Pacific Gas &amp; Elec - Exchange"/>
        <s v="Deviation"/>
        <s v="BPA - CA Wind Integration"/>
        <s v="BPA - PTP Transactions"/>
        <s v="BPA - SCD Hourly NF"/>
        <s v="BPA - Spin Reserv Requirement"/>
        <s v="BPA IS - Hourly Non-Firm"/>
        <s v="ENMAX Energy Marketing, Inc."/>
        <s v="Natur Ener USA"/>
        <s v="Nevada Power Company"/>
        <s v="Tenaska Power Services Co."/>
        <s v="Williams Power Company"/>
      </sharedItems>
    </cacheField>
    <cacheField name="Type" numFmtId="0">
      <sharedItems/>
    </cacheField>
    <cacheField name="Primary / Secondary Claim" numFmtId="0">
      <sharedItems/>
    </cacheField>
    <cacheField name="Fuel (Primary)" numFmtId="0">
      <sharedItems/>
    </cacheField>
    <cacheField name="Facility / Firm2" numFmtId="0">
      <sharedItems/>
    </cacheField>
    <cacheField name="MWh" numFmtId="3">
      <sharedItems containsSemiMixedTypes="0" containsString="0" containsNumber="1" minValue="-1251160" maxValue="1214160" count="144">
        <n v="141694"/>
        <n v="200"/>
        <n v="317575"/>
        <n v="319486"/>
        <n v="367"/>
        <n v="425"/>
        <n v="23659"/>
        <n v="107841"/>
        <n v="159755"/>
        <n v="96941"/>
        <n v="813506"/>
        <n v="4305"/>
        <n v="3357"/>
        <n v="11000"/>
        <n v="218747"/>
        <n v="767483"/>
        <n v="160"/>
        <n v="14857"/>
        <n v="258958"/>
        <n v="27"/>
        <n v="3"/>
        <n v="1214160"/>
        <n v="12792"/>
        <n v="60800"/>
        <n v="870764"/>
        <n v="4388"/>
        <n v="3854"/>
        <n v="35161"/>
        <n v="76481"/>
        <n v="29161"/>
        <n v="248457"/>
        <n v="188349"/>
        <n v="11578"/>
        <n v="168"/>
        <n v="160933"/>
        <n v="429068"/>
        <n v="41670"/>
        <n v="68591"/>
        <n v="226773"/>
        <n v="1021361"/>
        <n v="648959"/>
        <n v="8652"/>
        <n v="8583"/>
        <n v="1001608"/>
        <n v="33124.885999999999"/>
        <n v="-14617.84"/>
        <n v="105630.905"/>
        <n v="87491.327999999994"/>
        <n v="14545.31"/>
        <n v="103132.848"/>
        <n v="214.42699999999999"/>
        <n v="35544.781000000003"/>
        <n v="11112.618"/>
        <n v="43249.127"/>
        <n v="2625.971"/>
        <n v="252812.174"/>
        <n v="33602.277000000002"/>
        <n v="1788.0920000000001"/>
        <n v="31838.132000000001"/>
        <n v="94807.232999999993"/>
        <n v="19278.542000000001"/>
        <n v="49547.209000000003"/>
        <n v="21064.639999999999"/>
        <n v="413000"/>
        <n v="-25311.027999999998"/>
        <n v="-413000"/>
        <n v="-200"/>
        <n v="-240"/>
        <n v="22036.59"/>
        <n v="86309"/>
        <n v="17365"/>
        <n v="38848.949999999997"/>
        <n v="8707"/>
        <n v="-9400"/>
        <n v="-111804"/>
        <n v="-27460"/>
        <n v="-114665"/>
        <n v="-31132"/>
        <n v="-1251160"/>
        <n v="-400"/>
        <n v="-52580"/>
        <n v="-10150"/>
        <n v="-134399"/>
        <n v="-526014"/>
        <n v="-86171"/>
        <n v="-2800"/>
        <n v="-99714"/>
        <n v="-221432"/>
        <n v="-208"/>
        <n v="-16"/>
        <n v="-360452"/>
        <n v="-1800"/>
        <n v="-149608"/>
        <n v="-500674"/>
        <n v="-7135"/>
        <n v="-10667"/>
        <n v="-19000"/>
        <n v="-6630"/>
        <n v="-282299"/>
        <n v="-100"/>
        <n v="-296"/>
        <n v="-78569"/>
        <n v="-109008"/>
        <n v="-31"/>
        <n v="-205"/>
        <n v="-370786"/>
        <n v="-26129"/>
        <n v="-30800"/>
        <n v="-242497"/>
        <n v="-211"/>
        <n v="-388"/>
        <n v="-19661"/>
        <n v="-9135"/>
        <n v="-283098"/>
        <n v="-162211"/>
        <n v="-368833"/>
        <n v="-57836"/>
        <n v="-13816"/>
        <n v="-29"/>
        <n v="-28737"/>
        <n v="-449480"/>
        <n v="-29329"/>
        <n v="-28128"/>
        <n v="-5008"/>
        <n v="-3000"/>
        <n v="-98471"/>
        <n v="-394672"/>
        <n v="-54752"/>
        <n v="-258"/>
        <n v="-775270"/>
        <n v="-3928"/>
        <n v="5905.067"/>
        <n v="-66917.213000000003"/>
        <n v="-12822.23"/>
        <n v="-32912.249000000003"/>
        <n v="-27333.734"/>
        <n v="-4299.5050000000001"/>
        <n v="-84238.312000000005"/>
        <n v="-142281.611"/>
        <n v="-50360.652999999998"/>
        <n v="-7309.4719999999998"/>
        <n v="-26009.092000000001"/>
        <n v="-5563.2830000000004"/>
        <n v="-56041.966999999997"/>
      </sharedItems>
    </cacheField>
    <cacheField name="lbs CO2/MWh" numFmtId="3">
      <sharedItems containsSemiMixedTypes="0" containsString="0" containsNumber="1" containsInteger="1" minValue="1004" maxValue="1004"/>
    </cacheField>
    <cacheField name="Short Tons CO2" numFmtId="4">
      <sharedItems containsSemiMixedTypes="0" containsString="0" containsNumber="1" minValue="-628082.31999999995" maxValue="609508.31999999995"/>
    </cacheField>
    <cacheField name="Metric Tons (CO2, not CO2e)" numFmtId="4">
      <sharedItems containsSemiMixedTypes="0" containsString="0" containsNumber="1" minValue="-569786.59843429015" maxValue="552936.55196375982"/>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Puget Sound Energy" refreshedDate="43222.711862268516" createdVersion="4" refreshedVersion="4" minRefreshableVersion="3" recordCount="150">
  <cacheSource type="worksheet">
    <worksheetSource ref="E1:F151" sheet="2016 Secondary Purchases"/>
  </cacheSource>
  <cacheFields count="2">
    <cacheField name="Facility / Firm" numFmtId="0">
      <sharedItems count="76">
        <s v="Avista Corp. WWP Division"/>
        <s v="Black Hills Power"/>
        <s v="Book Outs - EITF 03-11"/>
        <s v="BP Energy Co."/>
        <s v="BPA"/>
        <s v="BPA - NWPP Reserve Sharing Energy"/>
        <s v="British Columbia Transmission Corp"/>
        <s v="California ISO"/>
        <s v="Calpine Energy Services"/>
        <s v="Cargill Power Markets"/>
        <s v="Chelan County PUD #1"/>
        <s v="Citigroup Energy Inc"/>
        <s v="Clark Public Utilities"/>
        <s v="Clatskanie PUD"/>
        <s v="Conoco, Inc."/>
        <s v="CP Energy Marketing (Epcor)"/>
        <s v="Douglas County PUD #1"/>
        <s v="EDF Trading NA LLC"/>
        <s v="Eugene Water &amp; Electric"/>
        <s v="Exelon Generation Co LLC"/>
        <s v="Grant County PUD #2"/>
        <s v="GRIDFORCE ENERGY MANAGEMENT, LLC."/>
        <s v="Iberdrola Renewables (PPM Energy)"/>
        <s v="Idaho Power Company"/>
        <s v="Morgan Stanley CG"/>
        <s v="NextEra Energy Power Marketing"/>
        <s v="Noble Americas Gas &amp; Power"/>
        <s v="NorthPoint Energy Solutions, Inc."/>
        <s v="Northwestern Energy"/>
        <s v="Okanogan PUD"/>
        <s v="Pacificorp"/>
        <s v="Portland General Electric"/>
        <s v="Powerex Corp."/>
        <s v="Public Service of Colorado"/>
        <s v="Rainbow Energy Marketing"/>
        <s v="Sacramento Municipal"/>
        <s v="Seattle City Light Marketing"/>
        <s v="Shell Energy (Coral Pwr)"/>
        <s v="Snohomish County PUD #1"/>
        <s v="Southern Cal - Edison"/>
        <s v="Tacoma Power"/>
        <s v="Talen Energy (PPL Energy Plus)"/>
        <s v="Tenaska Power Services Co."/>
        <s v="The Energy Authority"/>
        <s v="TransAlta Energy Marketing"/>
        <s v="TransCanada Energy Sales Ltd"/>
        <s v="Turlock Irrigation District"/>
        <s v="Vitol Inc."/>
        <s v="CAISO EESC Load Undistributed Costs"/>
        <s v="CAISO PRSC Undistributed Costs"/>
        <s v="Colstrip - Energy Imbalance Market"/>
        <s v="Encogen"/>
        <s v="Ferndale Co-Generation"/>
        <s v="Freddie #1"/>
        <s v="Fredonia - Energy Imbalance Market"/>
        <s v="Fredrickson 1 &amp; 2"/>
        <s v="Goldendale"/>
        <s v="Lower Baker"/>
        <s v="MID-C for Energy Imbalance Market"/>
        <s v="Mint Farm"/>
        <s v="Snoqualmie-Energy Imbalance Market"/>
        <s v="Sumas"/>
        <s v="Upper Baker"/>
        <s v="Whitehorn 2&amp;3"/>
        <s v="Wild Horse (W183)"/>
        <s v="Avista Nichols Pump"/>
        <s v="Pacific Gas &amp; Elec - Exchange"/>
        <s v="Deviation"/>
        <s v="BPA - CA Wind Integration"/>
        <s v="BPA - PTP Transactions"/>
        <s v="BPA - Spin Reserv Requirement"/>
        <s v="BPA IS - Hourly Non-Firm"/>
        <s v="Constellation Power Source, Inc."/>
        <s v="Natur Ener USA"/>
        <s v="Nevada Power Company"/>
        <s v="Transalta Centralia Generation LLC"/>
      </sharedItems>
    </cacheField>
    <cacheField name="MWh" numFmtId="0">
      <sharedItems containsSemiMixedTypes="0" containsString="0" containsNumber="1" minValue="-6081614" maxValue="6084194"/>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45">
  <r>
    <n v="2017"/>
    <x v="0"/>
    <s v="Purchases - Secondary"/>
    <s v="Secondary"/>
    <s v="System"/>
    <s v="Avista Corp. WWP Division"/>
    <x v="0"/>
    <n v="1004"/>
    <n v="71130.388000000006"/>
    <n v="64528.391475549332"/>
  </r>
  <r>
    <n v="2017"/>
    <x v="1"/>
    <s v="Purchases - Secondary"/>
    <s v="Secondary"/>
    <s v="System"/>
    <s v="Black Hills Power"/>
    <x v="1"/>
    <n v="1004"/>
    <n v="100.4"/>
    <n v="91.081332273136951"/>
  </r>
  <r>
    <n v="2017"/>
    <x v="2"/>
    <s v="Purchases - Secondary"/>
    <s v="Secondary"/>
    <s v="System"/>
    <s v="BP Energy Co."/>
    <x v="2"/>
    <n v="1004"/>
    <n v="159422.65"/>
    <n v="144625.77048320734"/>
  </r>
  <r>
    <n v="2017"/>
    <x v="3"/>
    <s v="Purchases - Secondary"/>
    <s v="Secondary"/>
    <s v="System"/>
    <s v="BPA"/>
    <x v="3"/>
    <n v="1004"/>
    <n v="160381.97200000001"/>
    <n v="145496.05261307716"/>
  </r>
  <r>
    <n v="2017"/>
    <x v="4"/>
    <s v="Purchases - Secondary"/>
    <s v="Secondary"/>
    <s v="System"/>
    <s v="BPA - NWPP Reserve Sharing Energy"/>
    <x v="4"/>
    <n v="1004"/>
    <n v="184.23400000000001"/>
    <n v="167.1342447212063"/>
  </r>
  <r>
    <n v="2017"/>
    <x v="5"/>
    <s v="Purchases - Secondary"/>
    <s v="Secondary"/>
    <s v="System"/>
    <s v="British Columbia Transmission Corp"/>
    <x v="5"/>
    <n v="1004"/>
    <n v="213.35"/>
    <n v="193.54783108041602"/>
  </r>
  <r>
    <n v="2017"/>
    <x v="6"/>
    <s v="Purchases - Secondary"/>
    <s v="Secondary"/>
    <s v="System"/>
    <s v="California ISO"/>
    <x v="6"/>
    <n v="1004"/>
    <n v="11876.817999999999"/>
    <n v="10774.466201250736"/>
  </r>
  <r>
    <n v="2017"/>
    <x v="7"/>
    <s v="Purchases - Secondary"/>
    <s v="Secondary"/>
    <s v="System"/>
    <s v="Calpine Energy Services"/>
    <x v="7"/>
    <n v="1004"/>
    <n v="54136.182000000001"/>
    <n v="49111.509768336808"/>
  </r>
  <r>
    <n v="2017"/>
    <x v="8"/>
    <s v="Purchases - Secondary"/>
    <s v="Secondary"/>
    <s v="System"/>
    <s v="Cargill Power Markets"/>
    <x v="8"/>
    <n v="1004"/>
    <n v="80197.009999999995"/>
    <n v="72753.491186474959"/>
  </r>
  <r>
    <n v="2017"/>
    <x v="9"/>
    <s v="Purchases - Secondary"/>
    <s v="Secondary"/>
    <s v="System"/>
    <s v="Chelan County PUD #1"/>
    <x v="9"/>
    <n v="1004"/>
    <n v="48664.381999999998"/>
    <n v="44147.577159450841"/>
  </r>
  <r>
    <n v="2017"/>
    <x v="10"/>
    <s v="Purchases - Secondary"/>
    <s v="Secondary"/>
    <s v="System"/>
    <s v="Citigroup Energy Inc"/>
    <x v="10"/>
    <n v="1004"/>
    <n v="408380.01199999999"/>
    <n v="370476.05146095273"/>
  </r>
  <r>
    <n v="2017"/>
    <x v="11"/>
    <s v="Purchases - Secondary"/>
    <s v="Secondary"/>
    <s v="System"/>
    <s v="Clark Public Utilities"/>
    <x v="11"/>
    <n v="1004"/>
    <n v="2161.11"/>
    <n v="1960.5256771792729"/>
  </r>
  <r>
    <n v="2017"/>
    <x v="12"/>
    <s v="Purchases - Secondary"/>
    <s v="Secondary"/>
    <s v="System"/>
    <s v="Clatskanie PUD"/>
    <x v="12"/>
    <n v="1004"/>
    <n v="1685.2139999999999"/>
    <n v="1528.8001622046036"/>
  </r>
  <r>
    <n v="2017"/>
    <x v="13"/>
    <s v="Purchases - Secondary"/>
    <s v="Secondary"/>
    <s v="System"/>
    <s v="Conoco, Inc."/>
    <x v="13"/>
    <n v="1004"/>
    <n v="5522"/>
    <n v="5009.4732750225321"/>
  </r>
  <r>
    <n v="2017"/>
    <x v="14"/>
    <s v="Purchases - Secondary"/>
    <s v="Secondary"/>
    <s v="System"/>
    <s v="Douglas County PUD #1"/>
    <x v="14"/>
    <n v="1004"/>
    <n v="109810.99400000001"/>
    <n v="99618.840953759442"/>
  </r>
  <r>
    <n v="2017"/>
    <x v="15"/>
    <s v="Purchases - Secondary"/>
    <s v="Secondary"/>
    <s v="System"/>
    <s v="EDF Trading NA LLC"/>
    <x v="15"/>
    <n v="1004"/>
    <n v="385276.46600000001"/>
    <n v="349516.87068491982"/>
  </r>
  <r>
    <n v="2017"/>
    <x v="16"/>
    <s v="Purchases - Secondary"/>
    <s v="Secondary"/>
    <s v="System"/>
    <s v="Energy Keepers Inc."/>
    <x v="16"/>
    <n v="1004"/>
    <n v="80.319999999999993"/>
    <n v="72.865065818509564"/>
  </r>
  <r>
    <n v="2017"/>
    <x v="17"/>
    <s v="Purchases - Secondary"/>
    <s v="Secondary"/>
    <s v="System"/>
    <s v="Eugene Water &amp; Electric"/>
    <x v="17"/>
    <n v="1004"/>
    <n v="7458.2139999999999"/>
    <n v="6765.9767679099778"/>
  </r>
  <r>
    <n v="2017"/>
    <x v="18"/>
    <s v="Purchases - Secondary"/>
    <s v="Secondary"/>
    <s v="System"/>
    <s v="Exelon Generation Co LLC"/>
    <x v="18"/>
    <n v="1004"/>
    <n v="129996.916"/>
    <n v="117931.19821393499"/>
  </r>
  <r>
    <n v="2017"/>
    <x v="19"/>
    <s v="Purchases - Secondary"/>
    <s v="Secondary"/>
    <s v="System"/>
    <s v="Grant County PUD #2"/>
    <x v="19"/>
    <n v="1004"/>
    <n v="13.554"/>
    <n v="12.295979856873489"/>
  </r>
  <r>
    <n v="2017"/>
    <x v="20"/>
    <s v="Purchases - Secondary"/>
    <s v="Secondary"/>
    <s v="System"/>
    <s v="GRIDFORCE ENERGY MANAGEMENT, LLC."/>
    <x v="20"/>
    <n v="1004"/>
    <n v="1.506"/>
    <n v="1.3662199840970541"/>
  </r>
  <r>
    <n v="2017"/>
    <x v="21"/>
    <s v="Purchases - Secondary"/>
    <s v="Secondary"/>
    <s v="System"/>
    <s v="Iberdrola Renewables (PPM Energy)"/>
    <x v="21"/>
    <n v="1004"/>
    <n v="609508.31999999995"/>
    <n v="552936.55196375982"/>
  </r>
  <r>
    <n v="2017"/>
    <x v="22"/>
    <s v="Purchases - Secondary"/>
    <s v="Secondary"/>
    <s v="System"/>
    <s v="Idaho Power Company"/>
    <x v="22"/>
    <n v="1004"/>
    <n v="6421.5839999999998"/>
    <n v="5825.5620121898392"/>
  </r>
  <r>
    <n v="2017"/>
    <x v="23"/>
    <s v="Purchases - Secondary"/>
    <s v="Secondary"/>
    <s v="System"/>
    <s v="J. Aron &amp; Company"/>
    <x v="23"/>
    <n v="1004"/>
    <n v="30521.599999999999"/>
    <n v="27688.725011033632"/>
  </r>
  <r>
    <n v="2017"/>
    <x v="24"/>
    <s v="Purchases - Secondary"/>
    <s v="Secondary"/>
    <s v="System"/>
    <s v="Morgan Stanley CG"/>
    <x v="24"/>
    <n v="1004"/>
    <n v="437123.52799999999"/>
    <n v="396551.72607742908"/>
  </r>
  <r>
    <n v="2017"/>
    <x v="25"/>
    <s v="Purchases - Secondary"/>
    <s v="Secondary"/>
    <s v="System"/>
    <s v="NextEra Energy Power Marketing"/>
    <x v="25"/>
    <n v="1004"/>
    <n v="2202.7759999999998"/>
    <n v="1998.3244300726246"/>
  </r>
  <r>
    <n v="2017"/>
    <x v="26"/>
    <s v="Purchases - Secondary"/>
    <s v="Secondary"/>
    <s v="System"/>
    <s v="Northwestern Energy"/>
    <x v="26"/>
    <n v="1004"/>
    <n v="1934.7080000000001"/>
    <n v="1755.137272903349"/>
  </r>
  <r>
    <n v="2017"/>
    <x v="27"/>
    <s v="Purchases - Secondary"/>
    <s v="Secondary"/>
    <s v="System"/>
    <s v="Okanogan PUD"/>
    <x v="27"/>
    <n v="1004"/>
    <n v="17650.822"/>
    <n v="16012.553620278841"/>
  </r>
  <r>
    <n v="2017"/>
    <x v="28"/>
    <s v="Purchases - Secondary"/>
    <s v="Secondary"/>
    <s v="System"/>
    <s v="Pacificorp"/>
    <x v="28"/>
    <n v="1004"/>
    <n v="38393.462"/>
    <n v="34829.956867908935"/>
  </r>
  <r>
    <n v="2017"/>
    <x v="29"/>
    <s v="Purchases - Secondary"/>
    <s v="Secondary"/>
    <s v="System"/>
    <s v="Portland General Electric"/>
    <x v="29"/>
    <n v="1004"/>
    <n v="14638.822"/>
    <n v="13280.113652084732"/>
  </r>
  <r>
    <n v="2017"/>
    <x v="30"/>
    <s v="Purchases - Secondary"/>
    <s v="Secondary"/>
    <s v="System"/>
    <s v="Powerex Corp."/>
    <x v="30"/>
    <n v="1004"/>
    <n v="124725.414"/>
    <n v="113148.97286293394"/>
  </r>
  <r>
    <n v="2017"/>
    <x v="31"/>
    <s v="Purchases - Secondary"/>
    <s v="Secondary"/>
    <s v="System"/>
    <s v="Public Service of Colorado"/>
    <x v="31"/>
    <n v="1004"/>
    <n v="94551.198000000004"/>
    <n v="85775.38926156536"/>
  </r>
  <r>
    <n v="2017"/>
    <x v="32"/>
    <s v="Purchases - Secondary"/>
    <s v="Secondary"/>
    <s v="System"/>
    <s v="Rainbow Energy Marketing"/>
    <x v="32"/>
    <n v="1004"/>
    <n v="5812.1559999999999"/>
    <n v="5272.6983252918981"/>
  </r>
  <r>
    <n v="2017"/>
    <x v="33"/>
    <s v="Purchases - Secondary"/>
    <s v="Secondary"/>
    <s v="System"/>
    <s v="Sacramento Municipal"/>
    <x v="33"/>
    <n v="1004"/>
    <n v="84.335999999999999"/>
    <n v="76.508319109435035"/>
  </r>
  <r>
    <n v="2017"/>
    <x v="34"/>
    <s v="Purchases - Secondary"/>
    <s v="Secondary"/>
    <s v="System"/>
    <s v="Seattle City Light Marketing"/>
    <x v="34"/>
    <n v="1004"/>
    <n v="80788.365999999995"/>
    <n v="73289.960233563746"/>
  </r>
  <r>
    <n v="2017"/>
    <x v="35"/>
    <s v="Purchases - Secondary"/>
    <s v="Secondary"/>
    <s v="System"/>
    <s v="Shell Energy (Coral Pwr)"/>
    <x v="35"/>
    <n v="1004"/>
    <n v="215392.136"/>
    <n v="195400.42537885162"/>
  </r>
  <r>
    <n v="2017"/>
    <x v="36"/>
    <s v="Purchases - Secondary"/>
    <s v="Secondary"/>
    <s v="System"/>
    <s v="Snohomish County PUD #1"/>
    <x v="36"/>
    <n v="1004"/>
    <n v="20918.34"/>
    <n v="18976.795579108082"/>
  </r>
  <r>
    <n v="2017"/>
    <x v="37"/>
    <s v="Purchases - Secondary"/>
    <s v="Secondary"/>
    <s v="System"/>
    <s v="Tacoma Power"/>
    <x v="37"/>
    <n v="1004"/>
    <n v="34432.682000000001"/>
    <n v="31236.79830973368"/>
  </r>
  <r>
    <n v="2017"/>
    <x v="38"/>
    <s v="Purchases - Secondary"/>
    <s v="Secondary"/>
    <s v="System"/>
    <s v="Talen Energy (PPL Energy Plus)"/>
    <x v="38"/>
    <n v="1004"/>
    <n v="113840.046"/>
    <n v="103273.93481788042"/>
  </r>
  <r>
    <n v="2017"/>
    <x v="39"/>
    <s v="Purchases - Secondary"/>
    <s v="Secondary"/>
    <s v="System"/>
    <s v="The Energy Authority"/>
    <x v="39"/>
    <n v="1004"/>
    <n v="512723.22200000001"/>
    <n v="465134.6030591171"/>
  </r>
  <r>
    <n v="2017"/>
    <x v="40"/>
    <s v="Purchases - Secondary"/>
    <s v="Secondary"/>
    <s v="System"/>
    <s v="TransAlta Energy Marketing"/>
    <x v="40"/>
    <n v="1004"/>
    <n v="325777.41800000001"/>
    <n v="295540.2515532134"/>
  </r>
  <r>
    <n v="2017"/>
    <x v="41"/>
    <s v="Purchases - Secondary"/>
    <s v="Secondary"/>
    <s v="System"/>
    <s v="TransCanada Energy Sales Ltd"/>
    <x v="41"/>
    <n v="1004"/>
    <n v="4343.3040000000001"/>
    <n v="3940.1784341359044"/>
  </r>
  <r>
    <n v="2017"/>
    <x v="42"/>
    <s v="Purchases - Secondary"/>
    <s v="Secondary"/>
    <s v="System"/>
    <s v="Turlock Irrigation District"/>
    <x v="42"/>
    <n v="1004"/>
    <n v="4308.6660000000002"/>
    <n v="3908.7553745016721"/>
  </r>
  <r>
    <n v="2017"/>
    <x v="43"/>
    <s v="Purchases - Secondary"/>
    <s v="Secondary"/>
    <s v="System"/>
    <s v="Vitol Inc."/>
    <x v="43"/>
    <n v="1004"/>
    <n v="502807.21600000001"/>
    <n v="456138.95527716074"/>
  </r>
  <r>
    <n v="2017"/>
    <x v="44"/>
    <s v="EIM Purchases"/>
    <s v="Secondary"/>
    <s v="System"/>
    <s v="CAISO EESC Load Undistributed Costs"/>
    <x v="44"/>
    <n v="1004"/>
    <n v="16628.692771999999"/>
    <n v="15085.293741378911"/>
  </r>
  <r>
    <n v="2017"/>
    <x v="45"/>
    <s v="EIM Purchases"/>
    <s v="Secondary"/>
    <s v="System"/>
    <s v="CAISO PRSC Undistributed Costs"/>
    <x v="45"/>
    <n v="1004"/>
    <n v="-7338.1556799999998"/>
    <n v="-6657.0617107777607"/>
  </r>
  <r>
    <n v="2017"/>
    <x v="46"/>
    <s v="EIM Purchases"/>
    <s v="Secondary"/>
    <s v="System"/>
    <s v="Colstrip - Energy Imbalance Market"/>
    <x v="46"/>
    <n v="1004"/>
    <n v="53026.714310000003"/>
    <n v="48105.017783085816"/>
  </r>
  <r>
    <n v="2017"/>
    <x v="47"/>
    <s v="EIM Purchases"/>
    <s v="Secondary"/>
    <s v="System"/>
    <s v="Douglas PUD - Wells Project"/>
    <x v="47"/>
    <n v="1004"/>
    <n v="43920.646655999997"/>
    <n v="39844.133582930044"/>
  </r>
  <r>
    <n v="2017"/>
    <x v="48"/>
    <s v="EIM Purchases"/>
    <s v="Secondary"/>
    <s v="System"/>
    <s v="Encogen"/>
    <x v="48"/>
    <n v="1004"/>
    <n v="7301.7456199999997"/>
    <n v="6624.0310656289075"/>
  </r>
  <r>
    <n v="2017"/>
    <x v="49"/>
    <s v="EIM Purchases"/>
    <s v="Secondary"/>
    <s v="System"/>
    <s v="Ferndale Co-Generation"/>
    <x v="49"/>
    <n v="1004"/>
    <n v="51772.689696000001"/>
    <n v="46967.385984814639"/>
  </r>
  <r>
    <n v="2017"/>
    <x v="50"/>
    <s v="EIM Purchases"/>
    <s v="Secondary"/>
    <s v="System"/>
    <s v="Freddie #1"/>
    <x v="50"/>
    <n v="1004"/>
    <n v="107.642354"/>
    <n v="97.651484176659679"/>
  </r>
  <r>
    <n v="2017"/>
    <x v="51"/>
    <s v="EIM Purchases"/>
    <s v="Secondary"/>
    <s v="System"/>
    <s v="Fredonia - Energy Imbalance Market"/>
    <x v="51"/>
    <n v="1004"/>
    <n v="17843.480062000002"/>
    <n v="16187.330044184428"/>
  </r>
  <r>
    <n v="2017"/>
    <x v="52"/>
    <s v="EIM Purchases"/>
    <s v="Secondary"/>
    <s v="System"/>
    <s v="Fredrickson 1 &amp; 2"/>
    <x v="52"/>
    <n v="1004"/>
    <n v="5578.5342360000004"/>
    <n v="5060.7602624122128"/>
  </r>
  <r>
    <n v="2017"/>
    <x v="53"/>
    <s v="EIM Purchases"/>
    <s v="Secondary"/>
    <s v="System"/>
    <s v="Goldendale"/>
    <x v="53"/>
    <n v="1004"/>
    <n v="21711.061754000002"/>
    <n v="19695.940534050493"/>
  </r>
  <r>
    <n v="2017"/>
    <x v="54"/>
    <s v="EIM Purchases"/>
    <s v="Secondary"/>
    <s v="System"/>
    <s v="Lower Baker"/>
    <x v="54"/>
    <n v="1004"/>
    <n v="1318.2374420000001"/>
    <n v="1195.8846859531086"/>
  </r>
  <r>
    <n v="2017"/>
    <x v="55"/>
    <s v="EIM Purchases"/>
    <s v="Secondary"/>
    <s v="System"/>
    <s v="MID-C for Energy Imbalance Market"/>
    <x v="55"/>
    <n v="1004"/>
    <n v="126911.71134800001"/>
    <n v="115132.34811394058"/>
  </r>
  <r>
    <n v="2017"/>
    <x v="56"/>
    <s v="EIM Purchases"/>
    <s v="Secondary"/>
    <s v="System"/>
    <s v="Mint Farm"/>
    <x v="56"/>
    <n v="1004"/>
    <n v="16868.343054000001"/>
    <n v="15302.700782854938"/>
  </r>
  <r>
    <n v="2017"/>
    <x v="57"/>
    <s v="EIM Purchases"/>
    <s v="Secondary"/>
    <s v="System"/>
    <s v="Snoqualmie-Energy Imbalance Market"/>
    <x v="57"/>
    <n v="1004"/>
    <n v="897.62218400000006"/>
    <n v="814.30900793468993"/>
  </r>
  <r>
    <n v="2017"/>
    <x v="58"/>
    <s v="EIM Purchases"/>
    <s v="Secondary"/>
    <s v="System"/>
    <s v="Sumas"/>
    <x v="58"/>
    <n v="1004"/>
    <n v="15982.742264"/>
    <n v="14499.297398239971"/>
  </r>
  <r>
    <n v="2017"/>
    <x v="59"/>
    <s v="EIM Purchases"/>
    <s v="Secondary"/>
    <s v="System"/>
    <s v="Upper Baker"/>
    <x v="59"/>
    <n v="1004"/>
    <n v="47593.230965999996"/>
    <n v="43175.845453848568"/>
  </r>
  <r>
    <n v="2017"/>
    <x v="60"/>
    <s v="EIM Purchases"/>
    <s v="Secondary"/>
    <s v="System"/>
    <s v="Whitehorn 2&amp;3"/>
    <x v="60"/>
    <n v="1004"/>
    <n v="9677.8280840000007"/>
    <n v="8779.5764482181312"/>
  </r>
  <r>
    <n v="2017"/>
    <x v="61"/>
    <s v="EIM Purchases"/>
    <s v="Secondary"/>
    <s v="System"/>
    <s v="Wild Horse (W183)"/>
    <x v="61"/>
    <n v="1004"/>
    <n v="24872.698918000002"/>
    <n v="22564.12903067781"/>
  </r>
  <r>
    <n v="2017"/>
    <x v="62"/>
    <s v="Interchange - In"/>
    <s v="Secondary"/>
    <s v="System"/>
    <s v="Avista Nichols Pump"/>
    <x v="62"/>
    <n v="1004"/>
    <n v="10574.449279999999"/>
    <n v="9592.9773752700567"/>
  </r>
  <r>
    <n v="2017"/>
    <x v="63"/>
    <s v="Interchange - In"/>
    <s v="Secondary"/>
    <s v="System"/>
    <s v="Pacific Gas &amp; Elec - Exchange"/>
    <x v="63"/>
    <n v="1004"/>
    <n v="207326"/>
    <n v="188082.95114402779"/>
  </r>
  <r>
    <n v="2017"/>
    <x v="64"/>
    <s v="Interchange - Out"/>
    <s v="Secondary"/>
    <s v="System"/>
    <s v="Deviation"/>
    <x v="64"/>
    <n v="1004"/>
    <n v="-12706.136055999999"/>
    <n v="-11526.810757213365"/>
  </r>
  <r>
    <n v="2017"/>
    <x v="63"/>
    <s v="Interchange - Out"/>
    <s v="Secondary"/>
    <s v="System"/>
    <s v="Pacific Gas &amp; Elec - Exchange"/>
    <x v="65"/>
    <n v="1004"/>
    <n v="-207326"/>
    <n v="-188082.95114402779"/>
  </r>
  <r>
    <n v="2017"/>
    <x v="35"/>
    <s v="Interchange - Out"/>
    <s v="Secondary"/>
    <s v="System"/>
    <s v="Shell Energy (Coral Pwr)"/>
    <x v="66"/>
    <n v="1004"/>
    <n v="-100.4"/>
    <n v="-91.081332273136951"/>
  </r>
  <r>
    <n v="2017"/>
    <x v="0"/>
    <s v="Transmission by Others"/>
    <s v="Secondary"/>
    <s v="System"/>
    <s v="Avista Corp. WWP Division"/>
    <x v="67"/>
    <n v="1004"/>
    <n v="-120.48"/>
    <n v="-109.29759872776434"/>
  </r>
  <r>
    <n v="2017"/>
    <x v="65"/>
    <s v="Transmission by Others"/>
    <s v="Secondary"/>
    <s v="System"/>
    <s v="BPA - CA Wind Integration"/>
    <x v="68"/>
    <n v="1004"/>
    <n v="11062.368179999999"/>
    <n v="10035.609879784435"/>
  </r>
  <r>
    <n v="2017"/>
    <x v="66"/>
    <s v="Transmission by Others"/>
    <s v="Secondary"/>
    <s v="System"/>
    <s v="BPA - PTP Transactions"/>
    <x v="69"/>
    <n v="1004"/>
    <n v="43327.118000000002"/>
    <n v="39305.693535810882"/>
  </r>
  <r>
    <n v="2017"/>
    <x v="67"/>
    <s v="Transmission by Others"/>
    <s v="Secondary"/>
    <s v="System"/>
    <s v="BPA - SCD Hourly NF"/>
    <x v="70"/>
    <n v="1004"/>
    <n v="8717.23"/>
    <n v="7908.1366746151152"/>
  </r>
  <r>
    <n v="2017"/>
    <x v="68"/>
    <s v="Transmission by Others"/>
    <s v="Secondary"/>
    <s v="System"/>
    <s v="BPA - Spin Reserv Requirement"/>
    <x v="71"/>
    <n v="1004"/>
    <n v="19502.172899999998"/>
    <n v="17692.070617062418"/>
  </r>
  <r>
    <n v="2017"/>
    <x v="69"/>
    <s v="Transmission by Others"/>
    <s v="Secondary"/>
    <s v="System"/>
    <s v="BPA IS - Hourly Non-Firm"/>
    <x v="72"/>
    <n v="1004"/>
    <n v="4370.9139999999998"/>
    <n v="3965.225800511017"/>
  </r>
  <r>
    <n v="2017"/>
    <x v="15"/>
    <s v="Transmission by Others"/>
    <s v="Secondary"/>
    <s v="System"/>
    <s v="EDF Trading NA LLC"/>
    <x v="73"/>
    <n v="1004"/>
    <n v="-4718.8"/>
    <n v="-4280.8226168374367"/>
  </r>
  <r>
    <n v="2017"/>
    <x v="21"/>
    <s v="Transmission by Others"/>
    <s v="Secondary"/>
    <s v="System"/>
    <s v="Iberdrola Renewables (PPM Energy)"/>
    <x v="74"/>
    <n v="1004"/>
    <n v="-56125.608"/>
    <n v="-50916.286367329019"/>
  </r>
  <r>
    <n v="2017"/>
    <x v="22"/>
    <s v="Transmission by Others"/>
    <s v="Secondary"/>
    <s v="System"/>
    <s v="Idaho Power Company"/>
    <x v="75"/>
    <n v="1004"/>
    <n v="-13784.92"/>
    <n v="-12505.466921101703"/>
  </r>
  <r>
    <n v="2017"/>
    <x v="24"/>
    <s v="Transmission by Others"/>
    <s v="Secondary"/>
    <s v="System"/>
    <s v="Morgan Stanley CG"/>
    <x v="76"/>
    <n v="1004"/>
    <n v="-57561.83"/>
    <n v="-52219.204825496243"/>
  </r>
  <r>
    <n v="2017"/>
    <x v="28"/>
    <s v="Transmission by Others"/>
    <s v="Secondary"/>
    <s v="System"/>
    <s v="Pacificorp"/>
    <x v="77"/>
    <n v="1004"/>
    <n v="-15628.263999999999"/>
    <n v="-14177.720181636498"/>
  </r>
  <r>
    <n v="2017"/>
    <x v="30"/>
    <s v="Transmission by Others"/>
    <s v="Secondary"/>
    <s v="System"/>
    <s v="Powerex Corp."/>
    <x v="78"/>
    <n v="1004"/>
    <n v="-628082.31999999995"/>
    <n v="-569786.59843429015"/>
  </r>
  <r>
    <n v="2017"/>
    <x v="32"/>
    <s v="Transmission by Others"/>
    <s v="Secondary"/>
    <s v="System"/>
    <s v="Rainbow Energy Marketing"/>
    <x v="79"/>
    <n v="1004"/>
    <n v="-200.8"/>
    <n v="-182.1626645462739"/>
  </r>
  <r>
    <n v="2017"/>
    <x v="35"/>
    <s v="Transmission by Others"/>
    <s v="Secondary"/>
    <s v="System"/>
    <s v="Shell Energy (Coral Pwr)"/>
    <x v="80"/>
    <n v="1004"/>
    <n v="-26395.16"/>
    <n v="-23945.282254607704"/>
  </r>
  <r>
    <n v="2017"/>
    <x v="37"/>
    <s v="Transmission by Others"/>
    <s v="Secondary"/>
    <s v="System"/>
    <s v="Tacoma Power"/>
    <x v="81"/>
    <n v="1004"/>
    <n v="-5095.3"/>
    <n v="-4622.3776128617001"/>
  </r>
  <r>
    <n v="2017"/>
    <x v="39"/>
    <s v="Transmission by Others"/>
    <s v="Secondary"/>
    <s v="System"/>
    <s v="The Energy Authority"/>
    <x v="82"/>
    <n v="1004"/>
    <n v="-67468.297999999995"/>
    <n v="-61206.199880886663"/>
  </r>
  <r>
    <n v="2017"/>
    <x v="40"/>
    <s v="Transmission by Others"/>
    <s v="Secondary"/>
    <s v="System"/>
    <s v="TransAlta Energy Marketing"/>
    <x v="83"/>
    <n v="1004"/>
    <n v="-264059.02799999999"/>
    <n v="-239550.27957160928"/>
  </r>
  <r>
    <n v="2017"/>
    <x v="0"/>
    <s v="Sales for Resale"/>
    <s v="Secondary"/>
    <s v="System"/>
    <s v="Avista Corp. WWP Division"/>
    <x v="84"/>
    <n v="1004"/>
    <n v="-43257.841999999997"/>
    <n v="-39242.84741654242"/>
  </r>
  <r>
    <n v="2017"/>
    <x v="1"/>
    <s v="Sales for Resale"/>
    <s v="Secondary"/>
    <s v="System"/>
    <s v="Black Hills Power"/>
    <x v="85"/>
    <n v="1004"/>
    <n v="-1405.6"/>
    <n v="-1275.1386518239174"/>
  </r>
  <r>
    <n v="2017"/>
    <x v="2"/>
    <s v="Sales for Resale"/>
    <s v="Secondary"/>
    <s v="System"/>
    <s v="BP Energy Co."/>
    <x v="86"/>
    <n v="1004"/>
    <n v="-50056.428"/>
    <n v="-45410.419831417887"/>
  </r>
  <r>
    <n v="2017"/>
    <x v="3"/>
    <s v="Sales for Resale"/>
    <s v="Secondary"/>
    <s v="System"/>
    <s v="BPA"/>
    <x v="87"/>
    <n v="1004"/>
    <n v="-111158.864"/>
    <n v="-100841.6078395263"/>
  </r>
  <r>
    <n v="2017"/>
    <x v="4"/>
    <s v="Sales for Resale"/>
    <s v="Secondary"/>
    <s v="System"/>
    <s v="BPA - NWPP Reserve Sharing Energy"/>
    <x v="88"/>
    <n v="1004"/>
    <n v="-104.416"/>
    <n v="-94.724585564062423"/>
  </r>
  <r>
    <n v="2017"/>
    <x v="5"/>
    <s v="Sales for Resale"/>
    <s v="Secondary"/>
    <s v="System"/>
    <s v="British Columbia Transmission Corp"/>
    <x v="89"/>
    <n v="1004"/>
    <n v="-8.032"/>
    <n v="-7.286506581850956"/>
  </r>
  <r>
    <n v="2017"/>
    <x v="7"/>
    <s v="Sales for Resale"/>
    <s v="Secondary"/>
    <s v="System"/>
    <s v="Calpine Energy Services"/>
    <x v="90"/>
    <n v="1004"/>
    <n v="-180946.90400000001"/>
    <n v="-164152.2419025838"/>
  </r>
  <r>
    <n v="2017"/>
    <x v="8"/>
    <s v="Sales for Resale"/>
    <s v="Secondary"/>
    <s v="System"/>
    <s v="Cargill Power Markets"/>
    <x v="91"/>
    <n v="1004"/>
    <n v="-903.6"/>
    <n v="-819.73199045823253"/>
  </r>
  <r>
    <n v="2017"/>
    <x v="9"/>
    <s v="Sales for Resale"/>
    <s v="Secondary"/>
    <s v="System"/>
    <s v="Chelan County PUD #1"/>
    <x v="92"/>
    <n v="1004"/>
    <n v="-75103.216"/>
    <n v="-68132.479793597362"/>
  </r>
  <r>
    <n v="2017"/>
    <x v="10"/>
    <s v="Sales for Resale"/>
    <s v="Secondary"/>
    <s v="System"/>
    <s v="Citigroup Energy Inc"/>
    <x v="93"/>
    <n v="1004"/>
    <n v="-251338.348"/>
    <n v="-228010.27477260283"/>
  </r>
  <r>
    <n v="2017"/>
    <x v="11"/>
    <s v="Sales for Resale"/>
    <s v="Secondary"/>
    <s v="System"/>
    <s v="Clark Public Utilities"/>
    <x v="94"/>
    <n v="1004"/>
    <n v="-3581.77"/>
    <n v="-3249.3265288441607"/>
  </r>
  <r>
    <n v="2017"/>
    <x v="12"/>
    <s v="Sales for Resale"/>
    <s v="Secondary"/>
    <s v="System"/>
    <s v="Clatskanie PUD"/>
    <x v="95"/>
    <n v="1004"/>
    <n v="-5354.8339999999998"/>
    <n v="-4857.8228567877595"/>
  </r>
  <r>
    <n v="2017"/>
    <x v="13"/>
    <s v="Sales for Resale"/>
    <s v="Secondary"/>
    <s v="System"/>
    <s v="Conoco, Inc."/>
    <x v="96"/>
    <n v="1004"/>
    <n v="-9538"/>
    <n v="-8652.7265659480108"/>
  </r>
  <r>
    <n v="2017"/>
    <x v="14"/>
    <s v="Sales for Resale"/>
    <s v="Secondary"/>
    <s v="System"/>
    <s v="Douglas County PUD #1"/>
    <x v="97"/>
    <n v="1004"/>
    <n v="-3328.26"/>
    <n v="-3019.3461648544899"/>
  </r>
  <r>
    <n v="2017"/>
    <x v="15"/>
    <s v="Sales for Resale"/>
    <s v="Secondary"/>
    <s v="System"/>
    <s v="EDF Trading NA LLC"/>
    <x v="98"/>
    <n v="1004"/>
    <n v="-141714.098"/>
    <n v="-128560.84509687143"/>
  </r>
  <r>
    <n v="2017"/>
    <x v="16"/>
    <s v="Sales for Resale"/>
    <s v="Secondary"/>
    <s v="System"/>
    <s v="Energy Keepers Inc."/>
    <x v="99"/>
    <n v="1004"/>
    <n v="-50.2"/>
    <n v="-45.540666136568476"/>
  </r>
  <r>
    <n v="2017"/>
    <x v="70"/>
    <s v="Sales for Resale"/>
    <s v="Secondary"/>
    <s v="System"/>
    <s v="ENMAX Energy Marketing, Inc."/>
    <x v="100"/>
    <n v="1004"/>
    <n v="-148.59200000000001"/>
    <n v="-134.80037176424267"/>
  </r>
  <r>
    <n v="2017"/>
    <x v="17"/>
    <s v="Sales for Resale"/>
    <s v="Secondary"/>
    <s v="System"/>
    <s v="Eugene Water &amp; Electric"/>
    <x v="101"/>
    <n v="1004"/>
    <n v="-39441.637999999999"/>
    <n v="-35780.845976840486"/>
  </r>
  <r>
    <n v="2017"/>
    <x v="18"/>
    <s v="Sales for Resale"/>
    <s v="Secondary"/>
    <s v="System"/>
    <s v="Exelon Generation Co LLC"/>
    <x v="102"/>
    <n v="1004"/>
    <n v="-54722.016000000003"/>
    <n v="-49642.969342150558"/>
  </r>
  <r>
    <n v="2017"/>
    <x v="19"/>
    <s v="Sales for Resale"/>
    <s v="Secondary"/>
    <s v="System"/>
    <s v="Grant County PUD #2"/>
    <x v="103"/>
    <n v="1004"/>
    <n v="-15.561999999999999"/>
    <n v="-14.117606502336226"/>
  </r>
  <r>
    <n v="2017"/>
    <x v="20"/>
    <s v="Sales for Resale"/>
    <s v="Secondary"/>
    <s v="System"/>
    <s v="GRIDFORCE ENERGY MANAGEMENT, LLC."/>
    <x v="104"/>
    <n v="1004"/>
    <n v="-102.91"/>
    <n v="-93.358365579965366"/>
  </r>
  <r>
    <n v="2017"/>
    <x v="21"/>
    <s v="Sales for Resale"/>
    <s v="Secondary"/>
    <s v="System"/>
    <s v="Iberdrola Renewables (PPM Energy)"/>
    <x v="105"/>
    <n v="1004"/>
    <n v="-186134.57199999999"/>
    <n v="-168858.41434113678"/>
  </r>
  <r>
    <n v="2017"/>
    <x v="22"/>
    <s v="Sales for Resale"/>
    <s v="Secondary"/>
    <s v="System"/>
    <s v="Idaho Power Company"/>
    <x v="106"/>
    <n v="1004"/>
    <n v="-13116.758"/>
    <n v="-11899.320654823976"/>
  </r>
  <r>
    <n v="2017"/>
    <x v="23"/>
    <s v="Sales for Resale"/>
    <s v="Secondary"/>
    <s v="System"/>
    <s v="J. Aron &amp; Company"/>
    <x v="107"/>
    <n v="1004"/>
    <n v="-15461.6"/>
    <n v="-14026.525170063091"/>
  </r>
  <r>
    <n v="2017"/>
    <x v="24"/>
    <s v="Sales for Resale"/>
    <s v="Secondary"/>
    <s v="System"/>
    <s v="Morgan Stanley CG"/>
    <x v="108"/>
    <n v="1004"/>
    <n v="-121733.49400000001"/>
    <n v="-110434.74916119446"/>
  </r>
  <r>
    <n v="2017"/>
    <x v="71"/>
    <s v="Sales for Resale"/>
    <s v="Secondary"/>
    <s v="System"/>
    <s v="Natur Ener USA"/>
    <x v="109"/>
    <n v="1004"/>
    <n v="-105.922"/>
    <n v="-96.09080554815948"/>
  </r>
  <r>
    <n v="2017"/>
    <x v="72"/>
    <s v="Sales for Resale"/>
    <s v="Secondary"/>
    <s v="System"/>
    <s v="Nevada Power Company"/>
    <x v="89"/>
    <n v="1004"/>
    <n v="-8.032"/>
    <n v="-7.286506581850956"/>
  </r>
  <r>
    <n v="2017"/>
    <x v="25"/>
    <s v="Sales for Resale"/>
    <s v="Secondary"/>
    <s v="System"/>
    <s v="NextEra Energy Power Marketing"/>
    <x v="110"/>
    <n v="1004"/>
    <n v="-194.77600000000001"/>
    <n v="-176.69778460988567"/>
  </r>
  <r>
    <n v="2017"/>
    <x v="26"/>
    <s v="Sales for Resale"/>
    <s v="Secondary"/>
    <s v="System"/>
    <s v="Northwestern Energy"/>
    <x v="111"/>
    <n v="1004"/>
    <n v="-9869.8220000000001"/>
    <n v="-8953.7503691107268"/>
  </r>
  <r>
    <n v="2017"/>
    <x v="27"/>
    <s v="Sales for Resale"/>
    <s v="Secondary"/>
    <s v="System"/>
    <s v="Okanogan PUD"/>
    <x v="112"/>
    <n v="1004"/>
    <n v="-4585.7700000000004"/>
    <n v="-4160.13985157553"/>
  </r>
  <r>
    <n v="2017"/>
    <x v="28"/>
    <s v="Sales for Resale"/>
    <s v="Secondary"/>
    <s v="System"/>
    <s v="Pacificorp"/>
    <x v="113"/>
    <n v="1004"/>
    <n v="-142115.196"/>
    <n v="-128924.71501930262"/>
  </r>
  <r>
    <n v="2017"/>
    <x v="29"/>
    <s v="Sales for Resale"/>
    <s v="Secondary"/>
    <s v="System"/>
    <s v="Portland General Electric"/>
    <x v="114"/>
    <n v="1004"/>
    <n v="-81429.922000000006"/>
    <n v="-73871.96994678909"/>
  </r>
  <r>
    <n v="2017"/>
    <x v="30"/>
    <s v="Sales for Resale"/>
    <s v="Secondary"/>
    <s v="System"/>
    <s v="Powerex Corp."/>
    <x v="115"/>
    <n v="1004"/>
    <n v="-185154.166"/>
    <n v="-167969.0051314896"/>
  </r>
  <r>
    <n v="2017"/>
    <x v="31"/>
    <s v="Sales for Resale"/>
    <s v="Secondary"/>
    <s v="System"/>
    <s v="Public Service of Colorado"/>
    <x v="116"/>
    <n v="1004"/>
    <n v="-29033.671999999999"/>
    <n v="-26338.899666745743"/>
  </r>
  <r>
    <n v="2017"/>
    <x v="32"/>
    <s v="Sales for Resale"/>
    <s v="Secondary"/>
    <s v="System"/>
    <s v="Rainbow Energy Marketing"/>
    <x v="117"/>
    <n v="1004"/>
    <n v="-6935.6319999999996"/>
    <n v="-6291.8984334283005"/>
  </r>
  <r>
    <n v="2017"/>
    <x v="33"/>
    <s v="Sales for Resale"/>
    <s v="Secondary"/>
    <s v="System"/>
    <s v="Sacramento Municipal"/>
    <x v="118"/>
    <n v="1004"/>
    <n v="-14.558"/>
    <n v="-13.206793179604857"/>
  </r>
  <r>
    <n v="2017"/>
    <x v="34"/>
    <s v="Sales for Resale"/>
    <s v="Secondary"/>
    <s v="System"/>
    <s v="Seattle City Light Marketing"/>
    <x v="119"/>
    <n v="1004"/>
    <n v="-14425.974"/>
    <n v="-13087.021227665682"/>
  </r>
  <r>
    <n v="2017"/>
    <x v="35"/>
    <s v="Sales for Resale"/>
    <s v="Secondary"/>
    <s v="System"/>
    <s v="Shell Energy (Coral Pwr)"/>
    <x v="120"/>
    <n v="1004"/>
    <n v="-225638.96"/>
    <n v="-204696.18615064796"/>
  </r>
  <r>
    <n v="2017"/>
    <x v="36"/>
    <s v="Sales for Resale"/>
    <s v="Secondary"/>
    <s v="System"/>
    <s v="Snohomish County PUD #1"/>
    <x v="121"/>
    <n v="1004"/>
    <n v="-14723.157999999999"/>
    <n v="-13356.621971194169"/>
  </r>
  <r>
    <n v="2017"/>
    <x v="37"/>
    <s v="Sales for Resale"/>
    <s v="Secondary"/>
    <s v="System"/>
    <s v="Tacoma Power"/>
    <x v="122"/>
    <n v="1004"/>
    <n v="-14120.255999999999"/>
    <n v="-12809.678570893981"/>
  </r>
  <r>
    <n v="2017"/>
    <x v="38"/>
    <s v="Sales for Resale"/>
    <s v="Secondary"/>
    <s v="System"/>
    <s v="Talen Energy (PPL Energy Plus)"/>
    <x v="123"/>
    <n v="1004"/>
    <n v="-2514.0160000000001"/>
    <n v="-2280.6765601193492"/>
  </r>
  <r>
    <n v="2017"/>
    <x v="73"/>
    <s v="Sales for Resale"/>
    <s v="Secondary"/>
    <s v="System"/>
    <s v="Tenaska Power Services Co."/>
    <x v="124"/>
    <n v="1004"/>
    <n v="-1506"/>
    <n v="-1366.2199840970543"/>
  </r>
  <r>
    <n v="2017"/>
    <x v="39"/>
    <s v="Sales for Resale"/>
    <s v="Secondary"/>
    <s v="System"/>
    <s v="The Energy Authority"/>
    <x v="125"/>
    <n v="1004"/>
    <n v="-49432.442000000003"/>
    <n v="-44844.349351340345"/>
  </r>
  <r>
    <n v="2017"/>
    <x v="40"/>
    <s v="Sales for Resale"/>
    <s v="Secondary"/>
    <s v="System"/>
    <s v="TransAlta Energy Marketing"/>
    <x v="126"/>
    <n v="1004"/>
    <n v="-198125.34400000001"/>
    <n v="-179736.25785451752"/>
  </r>
  <r>
    <n v="2017"/>
    <x v="41"/>
    <s v="Sales for Resale"/>
    <s v="Secondary"/>
    <s v="System"/>
    <s v="TransCanada Energy Sales Ltd"/>
    <x v="127"/>
    <n v="1004"/>
    <n v="-27485.504000000001"/>
    <n v="-24934.425523093971"/>
  </r>
  <r>
    <n v="2017"/>
    <x v="42"/>
    <s v="Sales for Resale"/>
    <s v="Secondary"/>
    <s v="System"/>
    <s v="Turlock Irrigation District"/>
    <x v="128"/>
    <n v="1004"/>
    <n v="-129.51599999999999"/>
    <n v="-117.49491863234667"/>
  </r>
  <r>
    <n v="2017"/>
    <x v="43"/>
    <s v="Sales for Resale"/>
    <s v="Secondary"/>
    <s v="System"/>
    <s v="Vitol Inc."/>
    <x v="129"/>
    <n v="1004"/>
    <n v="-389185.54"/>
    <n v="-353063.1223569744"/>
  </r>
  <r>
    <n v="2017"/>
    <x v="74"/>
    <s v="Sales for Resale"/>
    <s v="Secondary"/>
    <s v="System"/>
    <s v="Williams Power Company"/>
    <x v="130"/>
    <n v="1004"/>
    <n v="-1971.856"/>
    <n v="-1788.8373658444095"/>
  </r>
  <r>
    <n v="2017"/>
    <x v="45"/>
    <s v="EIM Sales"/>
    <s v="Secondary"/>
    <s v="System"/>
    <s v="CAISO PRSC Undistributed Costs"/>
    <x v="131"/>
    <n v="1004"/>
    <n v="2964.3436340000003"/>
    <n v="2689.2068476106801"/>
  </r>
  <r>
    <n v="2017"/>
    <x v="47"/>
    <s v="EIM Sales"/>
    <s v="Secondary"/>
    <s v="System"/>
    <s v="Douglas PUD - Wells Project"/>
    <x v="132"/>
    <n v="1004"/>
    <n v="-33592.440925999996"/>
    <n v="-30474.544560226397"/>
  </r>
  <r>
    <n v="2017"/>
    <x v="48"/>
    <s v="EIM Sales"/>
    <s v="Secondary"/>
    <s v="System"/>
    <s v="Encogen"/>
    <x v="133"/>
    <n v="1004"/>
    <n v="-6436.7594600000002"/>
    <n v="-5839.3289555629235"/>
  </r>
  <r>
    <n v="2017"/>
    <x v="49"/>
    <s v="EIM Sales"/>
    <s v="Secondary"/>
    <s v="System"/>
    <s v="Ferndale Co-Generation"/>
    <x v="134"/>
    <n v="1004"/>
    <n v="-16521.948998"/>
    <n v="-14988.457435126098"/>
  </r>
  <r>
    <n v="2017"/>
    <x v="51"/>
    <s v="EIM Sales"/>
    <s v="Secondary"/>
    <s v="System"/>
    <s v="Fredonia - Energy Imbalance Market"/>
    <x v="135"/>
    <n v="1004"/>
    <n v="-13721.534468"/>
    <n v="-12447.964543597704"/>
  </r>
  <r>
    <n v="2017"/>
    <x v="52"/>
    <s v="EIM Sales"/>
    <s v="Secondary"/>
    <s v="System"/>
    <s v="Fredrickson 1 &amp; 2"/>
    <x v="136"/>
    <n v="1004"/>
    <n v="-2158.3515100000004"/>
    <n v="-1958.0232175750687"/>
  </r>
  <r>
    <n v="2017"/>
    <x v="53"/>
    <s v="EIM Sales"/>
    <s v="Secondary"/>
    <s v="System"/>
    <s v="Goldendale"/>
    <x v="137"/>
    <n v="1004"/>
    <n v="-42287.632624000005"/>
    <n v="-38362.688427000903"/>
  </r>
  <r>
    <n v="2017"/>
    <x v="55"/>
    <s v="EIM Sales"/>
    <s v="Secondary"/>
    <s v="System"/>
    <s v="MID-C for Energy Imbalance Market"/>
    <x v="138"/>
    <n v="1004"/>
    <n v="-71425.368721999999"/>
    <n v="-64795.993439241087"/>
  </r>
  <r>
    <n v="2017"/>
    <x v="56"/>
    <s v="EIM Sales"/>
    <s v="Secondary"/>
    <s v="System"/>
    <s v="Mint Farm"/>
    <x v="139"/>
    <n v="1004"/>
    <n v="-25281.047805999999"/>
    <n v="-22934.576846925753"/>
  </r>
  <r>
    <n v="2017"/>
    <x v="58"/>
    <s v="EIM Sales"/>
    <s v="Secondary"/>
    <s v="System"/>
    <s v="Sumas"/>
    <x v="140"/>
    <n v="1004"/>
    <n v="-3669.3549439999997"/>
    <n v="-3328.7822398659541"/>
  </r>
  <r>
    <n v="2017"/>
    <x v="59"/>
    <s v="EIM Sales"/>
    <s v="Secondary"/>
    <s v="System"/>
    <s v="Upper Baker"/>
    <x v="141"/>
    <n v="1004"/>
    <n v="-13056.564184000001"/>
    <n v="-11844.71375287294"/>
  </r>
  <r>
    <n v="2017"/>
    <x v="60"/>
    <s v="EIM Sales"/>
    <s v="Secondary"/>
    <s v="System"/>
    <s v="Whitehorn 2&amp;3"/>
    <x v="142"/>
    <n v="1004"/>
    <n v="-2792.7680660000001"/>
    <n v="-2533.5561372624707"/>
  </r>
  <r>
    <n v="2017"/>
    <x v="61"/>
    <s v="EIM Sales"/>
    <s v="Secondary"/>
    <s v="System"/>
    <s v="Wild Horse (W183)"/>
    <x v="143"/>
    <n v="1004"/>
    <n v="-28133.067433999997"/>
    <n v="-25521.885087835875"/>
  </r>
</pivotCacheRecords>
</file>

<file path=xl/pivotCache/pivotCacheRecords2.xml><?xml version="1.0" encoding="utf-8"?>
<pivotCacheRecords xmlns="http://schemas.openxmlformats.org/spreadsheetml/2006/main" xmlns:r="http://schemas.openxmlformats.org/officeDocument/2006/relationships" count="150">
  <r>
    <x v="0"/>
    <n v="72218"/>
  </r>
  <r>
    <x v="1"/>
    <n v="201"/>
  </r>
  <r>
    <x v="2"/>
    <n v="-6081614"/>
  </r>
  <r>
    <x v="3"/>
    <n v="688626"/>
  </r>
  <r>
    <x v="4"/>
    <n v="374896"/>
  </r>
  <r>
    <x v="5"/>
    <n v="233"/>
  </r>
  <r>
    <x v="6"/>
    <n v="16"/>
  </r>
  <r>
    <x v="7"/>
    <n v="33095"/>
  </r>
  <r>
    <x v="8"/>
    <n v="169176"/>
  </r>
  <r>
    <x v="9"/>
    <n v="812939"/>
  </r>
  <r>
    <x v="10"/>
    <n v="62409"/>
  </r>
  <r>
    <x v="11"/>
    <n v="1224171"/>
  </r>
  <r>
    <x v="12"/>
    <n v="8332"/>
  </r>
  <r>
    <x v="13"/>
    <n v="4432"/>
  </r>
  <r>
    <x v="14"/>
    <n v="6600"/>
  </r>
  <r>
    <x v="15"/>
    <n v="500"/>
  </r>
  <r>
    <x v="16"/>
    <n v="281095"/>
  </r>
  <r>
    <x v="17"/>
    <n v="483150"/>
  </r>
  <r>
    <x v="18"/>
    <n v="15232"/>
  </r>
  <r>
    <x v="19"/>
    <n v="160970"/>
  </r>
  <r>
    <x v="20"/>
    <n v="20"/>
  </r>
  <r>
    <x v="21"/>
    <n v="5"/>
  </r>
  <r>
    <x v="22"/>
    <n v="724215"/>
  </r>
  <r>
    <x v="23"/>
    <n v="14367"/>
  </r>
  <r>
    <x v="24"/>
    <n v="1046909"/>
  </r>
  <r>
    <x v="25"/>
    <n v="41481"/>
  </r>
  <r>
    <x v="26"/>
    <n v="1600"/>
  </r>
  <r>
    <x v="27"/>
    <n v="336"/>
  </r>
  <r>
    <x v="28"/>
    <n v="12081"/>
  </r>
  <r>
    <x v="29"/>
    <n v="14335"/>
  </r>
  <r>
    <x v="30"/>
    <n v="73911"/>
  </r>
  <r>
    <x v="31"/>
    <n v="308093"/>
  </r>
  <r>
    <x v="32"/>
    <n v="118836"/>
  </r>
  <r>
    <x v="33"/>
    <n v="158000"/>
  </r>
  <r>
    <x v="34"/>
    <n v="956"/>
  </r>
  <r>
    <x v="35"/>
    <n v="153"/>
  </r>
  <r>
    <x v="36"/>
    <n v="92909"/>
  </r>
  <r>
    <x v="37"/>
    <n v="450861"/>
  </r>
  <r>
    <x v="38"/>
    <n v="27590"/>
  </r>
  <r>
    <x v="39"/>
    <n v="100"/>
  </r>
  <r>
    <x v="40"/>
    <n v="78082"/>
  </r>
  <r>
    <x v="41"/>
    <n v="232943"/>
  </r>
  <r>
    <x v="42"/>
    <n v="975"/>
  </r>
  <r>
    <x v="43"/>
    <n v="979776"/>
  </r>
  <r>
    <x v="44"/>
    <n v="757605"/>
  </r>
  <r>
    <x v="45"/>
    <n v="2609"/>
  </r>
  <r>
    <x v="46"/>
    <n v="18671"/>
  </r>
  <r>
    <x v="47"/>
    <n v="2531701"/>
  </r>
  <r>
    <x v="48"/>
    <n v="-39390.894"/>
  </r>
  <r>
    <x v="49"/>
    <n v="26884.028999999999"/>
  </r>
  <r>
    <x v="50"/>
    <n v="-22440.600999999999"/>
  </r>
  <r>
    <x v="51"/>
    <n v="2522.125"/>
  </r>
  <r>
    <x v="52"/>
    <n v="17368.060000000001"/>
  </r>
  <r>
    <x v="53"/>
    <n v="-2196.0230000000001"/>
  </r>
  <r>
    <x v="54"/>
    <n v="5396.1610000000001"/>
  </r>
  <r>
    <x v="55"/>
    <n v="1504.989"/>
  </r>
  <r>
    <x v="56"/>
    <n v="37286.472999999998"/>
  </r>
  <r>
    <x v="57"/>
    <n v="752.99099999999999"/>
  </r>
  <r>
    <x v="58"/>
    <n v="59160.167999999998"/>
  </r>
  <r>
    <x v="59"/>
    <n v="5698.8680000000004"/>
  </r>
  <r>
    <x v="60"/>
    <n v="3163.4"/>
  </r>
  <r>
    <x v="61"/>
    <n v="8889.9590000000007"/>
  </r>
  <r>
    <x v="62"/>
    <n v="18962.732"/>
  </r>
  <r>
    <x v="63"/>
    <n v="1384.027"/>
  </r>
  <r>
    <x v="64"/>
    <n v="-15814.602999999999"/>
  </r>
  <r>
    <x v="65"/>
    <n v="21796.48"/>
  </r>
  <r>
    <x v="9"/>
    <n v="200"/>
  </r>
  <r>
    <x v="66"/>
    <n v="413000"/>
  </r>
  <r>
    <x v="67"/>
    <n v="18141.771000000001"/>
  </r>
  <r>
    <x v="66"/>
    <n v="-413000"/>
  </r>
  <r>
    <x v="31"/>
    <n v="-100"/>
  </r>
  <r>
    <x v="44"/>
    <n v="-200"/>
  </r>
  <r>
    <x v="0"/>
    <n v="46050"/>
  </r>
  <r>
    <x v="68"/>
    <n v="1952.7380000000001"/>
  </r>
  <r>
    <x v="69"/>
    <n v="39252"/>
  </r>
  <r>
    <x v="70"/>
    <n v="5037220.18"/>
  </r>
  <r>
    <x v="71"/>
    <n v="194"/>
  </r>
  <r>
    <x v="17"/>
    <n v="-191676"/>
  </r>
  <r>
    <x v="22"/>
    <n v="-76984"/>
  </r>
  <r>
    <x v="23"/>
    <n v="-302793"/>
  </r>
  <r>
    <x v="24"/>
    <n v="-1697398"/>
  </r>
  <r>
    <x v="25"/>
    <n v="-205"/>
  </r>
  <r>
    <x v="28"/>
    <n v="89897"/>
  </r>
  <r>
    <x v="30"/>
    <n v="-254478"/>
  </r>
  <r>
    <x v="31"/>
    <n v="290000"/>
  </r>
  <r>
    <x v="32"/>
    <n v="-1701985"/>
  </r>
  <r>
    <x v="34"/>
    <n v="-1200"/>
  </r>
  <r>
    <x v="36"/>
    <n v="-1900"/>
  </r>
  <r>
    <x v="37"/>
    <n v="-10890"/>
  </r>
  <r>
    <x v="40"/>
    <n v="-26625"/>
  </r>
  <r>
    <x v="43"/>
    <n v="-257647"/>
  </r>
  <r>
    <x v="44"/>
    <n v="-365094"/>
  </r>
  <r>
    <x v="0"/>
    <n v="-84678"/>
  </r>
  <r>
    <x v="2"/>
    <n v="6084194"/>
  </r>
  <r>
    <x v="3"/>
    <n v="-472884"/>
  </r>
  <r>
    <x v="4"/>
    <n v="-116473"/>
  </r>
  <r>
    <x v="5"/>
    <n v="-392"/>
  </r>
  <r>
    <x v="6"/>
    <n v="-1"/>
  </r>
  <r>
    <x v="8"/>
    <n v="-198956"/>
  </r>
  <r>
    <x v="9"/>
    <n v="-342611"/>
  </r>
  <r>
    <x v="10"/>
    <n v="-4"/>
  </r>
  <r>
    <x v="11"/>
    <n v="-1101646"/>
  </r>
  <r>
    <x v="12"/>
    <n v="-8175"/>
  </r>
  <r>
    <x v="13"/>
    <n v="-3423"/>
  </r>
  <r>
    <x v="14"/>
    <n v="-10425"/>
  </r>
  <r>
    <x v="72"/>
    <n v="-7"/>
  </r>
  <r>
    <x v="15"/>
    <n v="-2142"/>
  </r>
  <r>
    <x v="16"/>
    <n v="-1946"/>
  </r>
  <r>
    <x v="17"/>
    <n v="-579047"/>
  </r>
  <r>
    <x v="18"/>
    <n v="-57965"/>
  </r>
  <r>
    <x v="19"/>
    <n v="-80680"/>
  </r>
  <r>
    <x v="21"/>
    <n v="-73"/>
  </r>
  <r>
    <x v="22"/>
    <n v="-540807"/>
  </r>
  <r>
    <x v="23"/>
    <n v="-50200"/>
  </r>
  <r>
    <x v="24"/>
    <n v="-419966"/>
  </r>
  <r>
    <x v="73"/>
    <n v="-22"/>
  </r>
  <r>
    <x v="74"/>
    <n v="-116"/>
  </r>
  <r>
    <x v="25"/>
    <n v="-2575"/>
  </r>
  <r>
    <x v="26"/>
    <n v="-400"/>
  </r>
  <r>
    <x v="28"/>
    <n v="-47355"/>
  </r>
  <r>
    <x v="29"/>
    <n v="-8030"/>
  </r>
  <r>
    <x v="30"/>
    <n v="-213391"/>
  </r>
  <r>
    <x v="31"/>
    <n v="-302064"/>
  </r>
  <r>
    <x v="32"/>
    <n v="-395006"/>
  </r>
  <r>
    <x v="33"/>
    <n v="-186595"/>
  </r>
  <r>
    <x v="34"/>
    <n v="-21444"/>
  </r>
  <r>
    <x v="35"/>
    <n v="-10"/>
  </r>
  <r>
    <x v="36"/>
    <n v="-30489"/>
  </r>
  <r>
    <x v="37"/>
    <n v="-356872"/>
  </r>
  <r>
    <x v="38"/>
    <n v="-8210"/>
  </r>
  <r>
    <x v="40"/>
    <n v="-25904"/>
  </r>
  <r>
    <x v="41"/>
    <n v="-67154"/>
  </r>
  <r>
    <x v="42"/>
    <n v="-17"/>
  </r>
  <r>
    <x v="43"/>
    <n v="-45801"/>
  </r>
  <r>
    <x v="75"/>
    <n v="-2206"/>
  </r>
  <r>
    <x v="44"/>
    <n v="-431647"/>
  </r>
  <r>
    <x v="45"/>
    <n v="-9917"/>
  </r>
  <r>
    <x v="46"/>
    <n v="-155"/>
  </r>
  <r>
    <x v="47"/>
    <n v="-2338954"/>
  </r>
  <r>
    <x v="49"/>
    <n v="-9323.1589999999997"/>
  </r>
  <r>
    <x v="51"/>
    <n v="-2843.7759999999998"/>
  </r>
  <r>
    <x v="52"/>
    <n v="-16342.677"/>
  </r>
  <r>
    <x v="54"/>
    <n v="-4186.3710000000001"/>
  </r>
  <r>
    <x v="55"/>
    <n v="-814.09199999999998"/>
  </r>
  <r>
    <x v="56"/>
    <n v="-12077.076999999999"/>
  </r>
  <r>
    <x v="58"/>
    <n v="-53227.61"/>
  </r>
  <r>
    <x v="59"/>
    <n v="-4347.84"/>
  </r>
  <r>
    <x v="61"/>
    <n v="-4270.8140000000003"/>
  </r>
  <r>
    <x v="62"/>
    <n v="-13213.305"/>
  </r>
  <r>
    <x v="63"/>
    <n v="-1041.55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PivotTable1" cacheId="12"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3:B79" firstHeaderRow="1" firstDataRow="1" firstDataCol="1"/>
  <pivotFields count="10">
    <pivotField showAll="0"/>
    <pivotField axis="axisRow" showAll="0">
      <items count="76">
        <item x="0"/>
        <item x="62"/>
        <item x="1"/>
        <item x="2"/>
        <item x="3"/>
        <item x="65"/>
        <item x="4"/>
        <item x="66"/>
        <item x="67"/>
        <item x="68"/>
        <item x="69"/>
        <item x="5"/>
        <item x="44"/>
        <item x="45"/>
        <item x="6"/>
        <item x="7"/>
        <item x="8"/>
        <item x="9"/>
        <item x="10"/>
        <item x="11"/>
        <item x="12"/>
        <item x="46"/>
        <item x="13"/>
        <item x="64"/>
        <item x="14"/>
        <item x="47"/>
        <item x="15"/>
        <item x="48"/>
        <item x="16"/>
        <item x="70"/>
        <item x="17"/>
        <item x="18"/>
        <item x="49"/>
        <item x="50"/>
        <item x="51"/>
        <item x="52"/>
        <item x="53"/>
        <item x="19"/>
        <item x="20"/>
        <item x="21"/>
        <item x="22"/>
        <item x="23"/>
        <item x="54"/>
        <item x="55"/>
        <item x="56"/>
        <item x="24"/>
        <item x="71"/>
        <item x="72"/>
        <item x="25"/>
        <item x="26"/>
        <item x="27"/>
        <item x="63"/>
        <item x="28"/>
        <item x="29"/>
        <item x="30"/>
        <item x="31"/>
        <item x="32"/>
        <item x="33"/>
        <item x="34"/>
        <item x="35"/>
        <item x="36"/>
        <item x="57"/>
        <item x="58"/>
        <item x="37"/>
        <item x="38"/>
        <item x="73"/>
        <item x="39"/>
        <item x="40"/>
        <item x="41"/>
        <item x="42"/>
        <item x="59"/>
        <item x="43"/>
        <item x="60"/>
        <item x="61"/>
        <item x="74"/>
        <item t="default"/>
      </items>
    </pivotField>
    <pivotField showAll="0"/>
    <pivotField showAll="0"/>
    <pivotField showAll="0"/>
    <pivotField showAll="0"/>
    <pivotField dataField="1" numFmtId="3" showAll="0">
      <items count="145">
        <item x="78"/>
        <item x="129"/>
        <item x="83"/>
        <item x="93"/>
        <item x="120"/>
        <item x="65"/>
        <item x="126"/>
        <item x="105"/>
        <item x="115"/>
        <item x="90"/>
        <item x="113"/>
        <item x="98"/>
        <item x="108"/>
        <item x="87"/>
        <item x="114"/>
        <item x="92"/>
        <item x="138"/>
        <item x="82"/>
        <item x="76"/>
        <item x="74"/>
        <item x="102"/>
        <item x="86"/>
        <item x="125"/>
        <item x="84"/>
        <item x="137"/>
        <item x="101"/>
        <item x="132"/>
        <item x="116"/>
        <item x="143"/>
        <item x="127"/>
        <item x="80"/>
        <item x="139"/>
        <item x="134"/>
        <item x="77"/>
        <item x="107"/>
        <item x="121"/>
        <item x="119"/>
        <item x="122"/>
        <item x="75"/>
        <item x="135"/>
        <item x="106"/>
        <item x="141"/>
        <item x="64"/>
        <item x="111"/>
        <item x="96"/>
        <item x="45"/>
        <item x="117"/>
        <item x="133"/>
        <item x="95"/>
        <item x="81"/>
        <item x="73"/>
        <item x="112"/>
        <item x="140"/>
        <item x="94"/>
        <item x="97"/>
        <item x="142"/>
        <item x="123"/>
        <item x="136"/>
        <item x="130"/>
        <item x="124"/>
        <item x="85"/>
        <item x="91"/>
        <item x="79"/>
        <item x="110"/>
        <item x="100"/>
        <item x="128"/>
        <item x="67"/>
        <item x="109"/>
        <item x="88"/>
        <item x="104"/>
        <item x="66"/>
        <item x="99"/>
        <item x="103"/>
        <item x="118"/>
        <item x="89"/>
        <item x="20"/>
        <item x="19"/>
        <item x="16"/>
        <item x="33"/>
        <item x="1"/>
        <item x="50"/>
        <item x="4"/>
        <item x="5"/>
        <item x="57"/>
        <item x="54"/>
        <item x="12"/>
        <item x="26"/>
        <item x="11"/>
        <item x="25"/>
        <item x="131"/>
        <item x="42"/>
        <item x="41"/>
        <item x="72"/>
        <item x="13"/>
        <item x="52"/>
        <item x="32"/>
        <item x="22"/>
        <item x="48"/>
        <item x="17"/>
        <item x="70"/>
        <item x="60"/>
        <item x="62"/>
        <item x="68"/>
        <item x="6"/>
        <item x="29"/>
        <item x="58"/>
        <item x="44"/>
        <item x="56"/>
        <item x="27"/>
        <item x="51"/>
        <item x="71"/>
        <item x="36"/>
        <item x="53"/>
        <item x="61"/>
        <item x="23"/>
        <item x="37"/>
        <item x="28"/>
        <item x="69"/>
        <item x="47"/>
        <item x="59"/>
        <item x="9"/>
        <item x="49"/>
        <item x="46"/>
        <item x="7"/>
        <item x="0"/>
        <item x="8"/>
        <item x="34"/>
        <item x="31"/>
        <item x="14"/>
        <item x="38"/>
        <item x="30"/>
        <item x="55"/>
        <item x="18"/>
        <item x="2"/>
        <item x="3"/>
        <item x="63"/>
        <item x="35"/>
        <item x="40"/>
        <item x="15"/>
        <item x="10"/>
        <item x="24"/>
        <item x="43"/>
        <item x="39"/>
        <item x="21"/>
        <item t="default"/>
      </items>
    </pivotField>
    <pivotField numFmtId="3" showAll="0"/>
    <pivotField numFmtId="4" showAll="0"/>
    <pivotField numFmtId="4" showAll="0"/>
  </pivotFields>
  <rowFields count="1">
    <field x="1"/>
  </rowFields>
  <rowItems count="76">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t="grand">
      <x/>
    </i>
  </rowItems>
  <colItems count="1">
    <i/>
  </colItems>
  <dataFields count="1">
    <dataField name="Sum of MWh" fld="6" baseField="0" baseItem="0" numFmtId="3"/>
  </dataFields>
  <formats count="5">
    <format dxfId="6">
      <pivotArea type="all" dataOnly="0" outline="0" fieldPosition="0"/>
    </format>
    <format dxfId="5">
      <pivotArea grandRow="1" outline="0" collapsedLevelsAreSubtotals="1" fieldPosition="0"/>
    </format>
    <format dxfId="4">
      <pivotArea outline="0" collapsedLevelsAreSubtotals="1" fieldPosition="0"/>
    </format>
    <format dxfId="3">
      <pivotArea dataOnly="0" fieldPosition="0">
        <references count="1">
          <reference field="1" count="1">
            <x v="74"/>
          </reference>
        </references>
      </pivotArea>
    </format>
    <format dxfId="2">
      <pivotArea type="all" dataOnly="0"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1" cacheId="13"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3:B80" firstHeaderRow="1" firstDataRow="1" firstDataCol="1"/>
  <pivotFields count="2">
    <pivotField axis="axisRow" showAll="0">
      <items count="77">
        <item x="0"/>
        <item x="65"/>
        <item x="1"/>
        <item x="2"/>
        <item x="3"/>
        <item x="4"/>
        <item x="68"/>
        <item x="5"/>
        <item x="69"/>
        <item x="70"/>
        <item x="71"/>
        <item x="6"/>
        <item x="48"/>
        <item x="49"/>
        <item x="7"/>
        <item x="8"/>
        <item x="9"/>
        <item x="10"/>
        <item x="11"/>
        <item x="12"/>
        <item x="13"/>
        <item x="50"/>
        <item x="14"/>
        <item x="72"/>
        <item x="15"/>
        <item x="67"/>
        <item x="16"/>
        <item x="17"/>
        <item x="51"/>
        <item x="18"/>
        <item x="19"/>
        <item x="52"/>
        <item x="53"/>
        <item x="54"/>
        <item x="55"/>
        <item x="56"/>
        <item x="20"/>
        <item x="21"/>
        <item x="22"/>
        <item x="23"/>
        <item x="57"/>
        <item x="58"/>
        <item x="59"/>
        <item x="24"/>
        <item x="73"/>
        <item x="74"/>
        <item x="25"/>
        <item x="26"/>
        <item x="27"/>
        <item x="28"/>
        <item x="29"/>
        <item x="66"/>
        <item x="30"/>
        <item x="31"/>
        <item x="32"/>
        <item x="33"/>
        <item x="34"/>
        <item x="35"/>
        <item x="36"/>
        <item x="37"/>
        <item x="38"/>
        <item x="60"/>
        <item x="39"/>
        <item x="61"/>
        <item x="40"/>
        <item x="41"/>
        <item x="42"/>
        <item x="43"/>
        <item x="75"/>
        <item x="44"/>
        <item x="45"/>
        <item x="46"/>
        <item x="62"/>
        <item x="47"/>
        <item x="63"/>
        <item x="64"/>
        <item t="default"/>
      </items>
    </pivotField>
    <pivotField dataField="1" showAll="0"/>
  </pivotFields>
  <rowFields count="1">
    <field x="0"/>
  </rowFields>
  <rowItems count="77">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t="grand">
      <x/>
    </i>
  </rowItems>
  <colItems count="1">
    <i/>
  </colItems>
  <dataFields count="1">
    <dataField name="Sum of MWh" fld="1" baseField="0" baseItem="0" numFmtId="3"/>
  </dataFields>
  <formats count="2">
    <format dxfId="1">
      <pivotArea outline="0" collapsedLevelsAreSubtotals="1" fieldPosition="0"/>
    </format>
    <format dxfId="0">
      <pivotArea type="all" dataOnly="0"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U147"/>
  <sheetViews>
    <sheetView workbookViewId="0">
      <selection activeCell="C1" sqref="C1"/>
    </sheetView>
  </sheetViews>
  <sheetFormatPr defaultRowHeight="15" x14ac:dyDescent="0.25"/>
  <cols>
    <col min="1" max="2" width="9.42578125" style="4" bestFit="1" customWidth="1"/>
    <col min="3" max="3" width="23.7109375" style="4" customWidth="1"/>
    <col min="4" max="4" width="26" style="4" customWidth="1"/>
    <col min="5" max="7" width="9.140625" style="4"/>
    <col min="8" max="8" width="9.85546875" style="4" bestFit="1" customWidth="1"/>
    <col min="9" max="9" width="9.42578125" style="11" bestFit="1" customWidth="1"/>
    <col min="10" max="10" width="10.85546875" style="11" customWidth="1"/>
    <col min="11" max="11" width="12.42578125" style="11" customWidth="1"/>
    <col min="12" max="19" width="9.140625" style="4"/>
    <col min="20" max="20" width="9.42578125" style="4" bestFit="1" customWidth="1"/>
    <col min="21" max="16384" width="9.140625" style="4"/>
  </cols>
  <sheetData>
    <row r="1" spans="1:21" ht="45.75" thickBot="1" x14ac:dyDescent="0.3">
      <c r="A1" s="12" t="s">
        <v>84</v>
      </c>
      <c r="B1" s="13" t="s">
        <v>85</v>
      </c>
      <c r="C1" s="13" t="s">
        <v>86</v>
      </c>
      <c r="D1" s="13" t="s">
        <v>87</v>
      </c>
      <c r="E1" s="13" t="s">
        <v>88</v>
      </c>
      <c r="F1" s="13" t="s">
        <v>89</v>
      </c>
      <c r="G1" s="13" t="s">
        <v>86</v>
      </c>
      <c r="H1" s="14" t="s">
        <v>90</v>
      </c>
      <c r="I1" s="15" t="s">
        <v>91</v>
      </c>
      <c r="J1" s="16" t="s">
        <v>92</v>
      </c>
      <c r="K1" s="16" t="s">
        <v>93</v>
      </c>
      <c r="M1" s="4" t="s">
        <v>95</v>
      </c>
      <c r="T1" s="4">
        <v>1004</v>
      </c>
      <c r="U1" s="4" t="s">
        <v>94</v>
      </c>
    </row>
    <row r="2" spans="1:21" hidden="1" x14ac:dyDescent="0.25">
      <c r="A2" s="1">
        <v>3516</v>
      </c>
      <c r="B2" s="1">
        <v>2017</v>
      </c>
      <c r="C2" s="2" t="s">
        <v>0</v>
      </c>
      <c r="D2" s="2" t="s">
        <v>1</v>
      </c>
      <c r="E2" s="2" t="s">
        <v>2</v>
      </c>
      <c r="F2" s="1" t="s">
        <v>3</v>
      </c>
      <c r="G2" s="2" t="s">
        <v>0</v>
      </c>
      <c r="H2" s="3">
        <v>141694</v>
      </c>
      <c r="I2" s="8">
        <f>T$1</f>
        <v>1004</v>
      </c>
      <c r="J2" s="9">
        <f t="shared" ref="J2:J65" si="0">(I2*H2)/2000</f>
        <v>71130.388000000006</v>
      </c>
      <c r="K2" s="8">
        <f t="shared" ref="K2:K65" si="1">(H2*I2)/2204.623</f>
        <v>64528.391475549332</v>
      </c>
    </row>
    <row r="3" spans="1:21" hidden="1" x14ac:dyDescent="0.25">
      <c r="A3" s="1">
        <v>3517</v>
      </c>
      <c r="B3" s="1">
        <v>2017</v>
      </c>
      <c r="C3" s="2" t="s">
        <v>4</v>
      </c>
      <c r="D3" s="2" t="s">
        <v>1</v>
      </c>
      <c r="E3" s="2" t="s">
        <v>2</v>
      </c>
      <c r="F3" s="1" t="s">
        <v>3</v>
      </c>
      <c r="G3" s="2" t="s">
        <v>4</v>
      </c>
      <c r="H3" s="3">
        <v>200</v>
      </c>
      <c r="I3" s="8">
        <f t="shared" ref="I3:I66" si="2">T$1</f>
        <v>1004</v>
      </c>
      <c r="J3" s="9">
        <f t="shared" si="0"/>
        <v>100.4</v>
      </c>
      <c r="K3" s="8">
        <f t="shared" si="1"/>
        <v>91.081332273136951</v>
      </c>
    </row>
    <row r="4" spans="1:21" hidden="1" x14ac:dyDescent="0.25">
      <c r="A4" s="1">
        <v>3519</v>
      </c>
      <c r="B4" s="1">
        <v>2017</v>
      </c>
      <c r="C4" s="2" t="s">
        <v>5</v>
      </c>
      <c r="D4" s="2" t="s">
        <v>1</v>
      </c>
      <c r="E4" s="2" t="s">
        <v>2</v>
      </c>
      <c r="F4" s="1" t="s">
        <v>3</v>
      </c>
      <c r="G4" s="2" t="s">
        <v>5</v>
      </c>
      <c r="H4" s="3">
        <v>317575</v>
      </c>
      <c r="I4" s="8">
        <f t="shared" si="2"/>
        <v>1004</v>
      </c>
      <c r="J4" s="9">
        <f t="shared" si="0"/>
        <v>159422.65</v>
      </c>
      <c r="K4" s="8">
        <f t="shared" si="1"/>
        <v>144625.77048320734</v>
      </c>
    </row>
    <row r="5" spans="1:21" hidden="1" x14ac:dyDescent="0.25">
      <c r="A5" s="1">
        <v>3520</v>
      </c>
      <c r="B5" s="1">
        <v>2017</v>
      </c>
      <c r="C5" s="2" t="s">
        <v>6</v>
      </c>
      <c r="D5" s="2" t="s">
        <v>1</v>
      </c>
      <c r="E5" s="2" t="s">
        <v>2</v>
      </c>
      <c r="F5" s="1" t="s">
        <v>3</v>
      </c>
      <c r="G5" s="2" t="s">
        <v>6</v>
      </c>
      <c r="H5" s="3">
        <v>319486</v>
      </c>
      <c r="I5" s="8">
        <f t="shared" si="2"/>
        <v>1004</v>
      </c>
      <c r="J5" s="9">
        <f t="shared" si="0"/>
        <v>160381.97200000001</v>
      </c>
      <c r="K5" s="8">
        <f t="shared" si="1"/>
        <v>145496.05261307716</v>
      </c>
    </row>
    <row r="6" spans="1:21" hidden="1" x14ac:dyDescent="0.25">
      <c r="A6" s="1">
        <v>3521</v>
      </c>
      <c r="B6" s="1">
        <v>2017</v>
      </c>
      <c r="C6" s="2" t="s">
        <v>7</v>
      </c>
      <c r="D6" s="2" t="s">
        <v>1</v>
      </c>
      <c r="E6" s="2" t="s">
        <v>2</v>
      </c>
      <c r="F6" s="1" t="s">
        <v>3</v>
      </c>
      <c r="G6" s="2" t="s">
        <v>7</v>
      </c>
      <c r="H6" s="3">
        <v>367</v>
      </c>
      <c r="I6" s="8">
        <f t="shared" si="2"/>
        <v>1004</v>
      </c>
      <c r="J6" s="9">
        <f t="shared" si="0"/>
        <v>184.23400000000001</v>
      </c>
      <c r="K6" s="8">
        <f t="shared" si="1"/>
        <v>167.1342447212063</v>
      </c>
    </row>
    <row r="7" spans="1:21" hidden="1" x14ac:dyDescent="0.25">
      <c r="A7" s="1">
        <v>3522</v>
      </c>
      <c r="B7" s="1">
        <v>2017</v>
      </c>
      <c r="C7" s="2" t="s">
        <v>8</v>
      </c>
      <c r="D7" s="2" t="s">
        <v>1</v>
      </c>
      <c r="E7" s="2" t="s">
        <v>2</v>
      </c>
      <c r="F7" s="1" t="s">
        <v>3</v>
      </c>
      <c r="G7" s="2" t="s">
        <v>8</v>
      </c>
      <c r="H7" s="3">
        <v>425</v>
      </c>
      <c r="I7" s="8">
        <f t="shared" si="2"/>
        <v>1004</v>
      </c>
      <c r="J7" s="9">
        <f t="shared" si="0"/>
        <v>213.35</v>
      </c>
      <c r="K7" s="8">
        <f t="shared" si="1"/>
        <v>193.54783108041602</v>
      </c>
    </row>
    <row r="8" spans="1:21" hidden="1" x14ac:dyDescent="0.25">
      <c r="A8" s="1">
        <v>3523</v>
      </c>
      <c r="B8" s="1">
        <v>2017</v>
      </c>
      <c r="C8" s="2" t="s">
        <v>9</v>
      </c>
      <c r="D8" s="2" t="s">
        <v>1</v>
      </c>
      <c r="E8" s="2" t="s">
        <v>2</v>
      </c>
      <c r="F8" s="1" t="s">
        <v>3</v>
      </c>
      <c r="G8" s="2" t="s">
        <v>9</v>
      </c>
      <c r="H8" s="3">
        <v>23659</v>
      </c>
      <c r="I8" s="8">
        <f t="shared" si="2"/>
        <v>1004</v>
      </c>
      <c r="J8" s="9">
        <f t="shared" si="0"/>
        <v>11876.817999999999</v>
      </c>
      <c r="K8" s="8">
        <f t="shared" si="1"/>
        <v>10774.466201250736</v>
      </c>
    </row>
    <row r="9" spans="1:21" hidden="1" x14ac:dyDescent="0.25">
      <c r="A9" s="1">
        <v>3524</v>
      </c>
      <c r="B9" s="1">
        <v>2017</v>
      </c>
      <c r="C9" s="2" t="s">
        <v>10</v>
      </c>
      <c r="D9" s="2" t="s">
        <v>1</v>
      </c>
      <c r="E9" s="2" t="s">
        <v>2</v>
      </c>
      <c r="F9" s="1" t="s">
        <v>3</v>
      </c>
      <c r="G9" s="2" t="s">
        <v>10</v>
      </c>
      <c r="H9" s="3">
        <v>107841</v>
      </c>
      <c r="I9" s="8">
        <f t="shared" si="2"/>
        <v>1004</v>
      </c>
      <c r="J9" s="9">
        <f t="shared" si="0"/>
        <v>54136.182000000001</v>
      </c>
      <c r="K9" s="8">
        <f t="shared" si="1"/>
        <v>49111.509768336808</v>
      </c>
    </row>
    <row r="10" spans="1:21" hidden="1" x14ac:dyDescent="0.25">
      <c r="A10" s="1">
        <v>3525</v>
      </c>
      <c r="B10" s="1">
        <v>2017</v>
      </c>
      <c r="C10" s="2" t="s">
        <v>11</v>
      </c>
      <c r="D10" s="2" t="s">
        <v>1</v>
      </c>
      <c r="E10" s="2" t="s">
        <v>2</v>
      </c>
      <c r="F10" s="1" t="s">
        <v>3</v>
      </c>
      <c r="G10" s="2" t="s">
        <v>11</v>
      </c>
      <c r="H10" s="3">
        <v>159755</v>
      </c>
      <c r="I10" s="8">
        <f t="shared" si="2"/>
        <v>1004</v>
      </c>
      <c r="J10" s="9">
        <f t="shared" si="0"/>
        <v>80197.009999999995</v>
      </c>
      <c r="K10" s="8">
        <f t="shared" si="1"/>
        <v>72753.491186474959</v>
      </c>
    </row>
    <row r="11" spans="1:21" hidden="1" x14ac:dyDescent="0.25">
      <c r="A11" s="1">
        <v>3526</v>
      </c>
      <c r="B11" s="1">
        <v>2017</v>
      </c>
      <c r="C11" s="2" t="s">
        <v>12</v>
      </c>
      <c r="D11" s="2" t="s">
        <v>1</v>
      </c>
      <c r="E11" s="2" t="s">
        <v>2</v>
      </c>
      <c r="F11" s="1" t="s">
        <v>3</v>
      </c>
      <c r="G11" s="2" t="s">
        <v>12</v>
      </c>
      <c r="H11" s="3">
        <v>96941</v>
      </c>
      <c r="I11" s="8">
        <f t="shared" si="2"/>
        <v>1004</v>
      </c>
      <c r="J11" s="9">
        <f t="shared" si="0"/>
        <v>48664.381999999998</v>
      </c>
      <c r="K11" s="8">
        <f t="shared" si="1"/>
        <v>44147.577159450841</v>
      </c>
    </row>
    <row r="12" spans="1:21" hidden="1" x14ac:dyDescent="0.25">
      <c r="A12" s="1">
        <v>3528</v>
      </c>
      <c r="B12" s="1">
        <v>2017</v>
      </c>
      <c r="C12" s="2" t="s">
        <v>13</v>
      </c>
      <c r="D12" s="2" t="s">
        <v>1</v>
      </c>
      <c r="E12" s="2" t="s">
        <v>2</v>
      </c>
      <c r="F12" s="1" t="s">
        <v>3</v>
      </c>
      <c r="G12" s="2" t="s">
        <v>13</v>
      </c>
      <c r="H12" s="3">
        <v>813506</v>
      </c>
      <c r="I12" s="8">
        <f t="shared" si="2"/>
        <v>1004</v>
      </c>
      <c r="J12" s="9">
        <f t="shared" si="0"/>
        <v>408380.01199999999</v>
      </c>
      <c r="K12" s="8">
        <f t="shared" si="1"/>
        <v>370476.05146095273</v>
      </c>
    </row>
    <row r="13" spans="1:21" hidden="1" x14ac:dyDescent="0.25">
      <c r="A13" s="1">
        <v>3529</v>
      </c>
      <c r="B13" s="1">
        <v>2017</v>
      </c>
      <c r="C13" s="2" t="s">
        <v>14</v>
      </c>
      <c r="D13" s="2" t="s">
        <v>1</v>
      </c>
      <c r="E13" s="2" t="s">
        <v>2</v>
      </c>
      <c r="F13" s="1" t="s">
        <v>3</v>
      </c>
      <c r="G13" s="2" t="s">
        <v>14</v>
      </c>
      <c r="H13" s="3">
        <v>4305</v>
      </c>
      <c r="I13" s="8">
        <f t="shared" si="2"/>
        <v>1004</v>
      </c>
      <c r="J13" s="9">
        <f t="shared" si="0"/>
        <v>2161.11</v>
      </c>
      <c r="K13" s="8">
        <f t="shared" si="1"/>
        <v>1960.5256771792729</v>
      </c>
    </row>
    <row r="14" spans="1:21" hidden="1" x14ac:dyDescent="0.25">
      <c r="A14" s="1">
        <v>3530</v>
      </c>
      <c r="B14" s="1">
        <v>2017</v>
      </c>
      <c r="C14" s="2" t="s">
        <v>15</v>
      </c>
      <c r="D14" s="2" t="s">
        <v>1</v>
      </c>
      <c r="E14" s="2" t="s">
        <v>2</v>
      </c>
      <c r="F14" s="1" t="s">
        <v>3</v>
      </c>
      <c r="G14" s="2" t="s">
        <v>15</v>
      </c>
      <c r="H14" s="3">
        <v>3357</v>
      </c>
      <c r="I14" s="8">
        <f t="shared" si="2"/>
        <v>1004</v>
      </c>
      <c r="J14" s="9">
        <f t="shared" si="0"/>
        <v>1685.2139999999999</v>
      </c>
      <c r="K14" s="8">
        <f t="shared" si="1"/>
        <v>1528.8001622046036</v>
      </c>
    </row>
    <row r="15" spans="1:21" hidden="1" x14ac:dyDescent="0.25">
      <c r="A15" s="1">
        <v>3531</v>
      </c>
      <c r="B15" s="1">
        <v>2017</v>
      </c>
      <c r="C15" s="2" t="s">
        <v>16</v>
      </c>
      <c r="D15" s="2" t="s">
        <v>1</v>
      </c>
      <c r="E15" s="2" t="s">
        <v>2</v>
      </c>
      <c r="F15" s="1" t="s">
        <v>3</v>
      </c>
      <c r="G15" s="2" t="s">
        <v>16</v>
      </c>
      <c r="H15" s="3">
        <v>11000</v>
      </c>
      <c r="I15" s="8">
        <f t="shared" si="2"/>
        <v>1004</v>
      </c>
      <c r="J15" s="9">
        <f t="shared" si="0"/>
        <v>5522</v>
      </c>
      <c r="K15" s="8">
        <f t="shared" si="1"/>
        <v>5009.4732750225321</v>
      </c>
    </row>
    <row r="16" spans="1:21" hidden="1" x14ac:dyDescent="0.25">
      <c r="A16" s="1">
        <v>3532</v>
      </c>
      <c r="B16" s="1">
        <v>2017</v>
      </c>
      <c r="C16" s="2" t="s">
        <v>17</v>
      </c>
      <c r="D16" s="2" t="s">
        <v>1</v>
      </c>
      <c r="E16" s="2" t="s">
        <v>2</v>
      </c>
      <c r="F16" s="1" t="s">
        <v>3</v>
      </c>
      <c r="G16" s="2" t="s">
        <v>17</v>
      </c>
      <c r="H16" s="3">
        <v>218747</v>
      </c>
      <c r="I16" s="8">
        <f t="shared" si="2"/>
        <v>1004</v>
      </c>
      <c r="J16" s="9">
        <f t="shared" si="0"/>
        <v>109810.99400000001</v>
      </c>
      <c r="K16" s="8">
        <f t="shared" si="1"/>
        <v>99618.840953759442</v>
      </c>
    </row>
    <row r="17" spans="1:11" hidden="1" x14ac:dyDescent="0.25">
      <c r="A17" s="1">
        <v>3534</v>
      </c>
      <c r="B17" s="1">
        <v>2017</v>
      </c>
      <c r="C17" s="2" t="s">
        <v>18</v>
      </c>
      <c r="D17" s="2" t="s">
        <v>1</v>
      </c>
      <c r="E17" s="2" t="s">
        <v>2</v>
      </c>
      <c r="F17" s="1" t="s">
        <v>3</v>
      </c>
      <c r="G17" s="2" t="s">
        <v>18</v>
      </c>
      <c r="H17" s="3">
        <v>767483</v>
      </c>
      <c r="I17" s="8">
        <f t="shared" si="2"/>
        <v>1004</v>
      </c>
      <c r="J17" s="9">
        <f t="shared" si="0"/>
        <v>385276.46600000001</v>
      </c>
      <c r="K17" s="8">
        <f t="shared" si="1"/>
        <v>349516.87068491982</v>
      </c>
    </row>
    <row r="18" spans="1:11" hidden="1" x14ac:dyDescent="0.25">
      <c r="A18" s="1">
        <v>3535</v>
      </c>
      <c r="B18" s="1">
        <v>2017</v>
      </c>
      <c r="C18" s="2" t="s">
        <v>19</v>
      </c>
      <c r="D18" s="2" t="s">
        <v>1</v>
      </c>
      <c r="E18" s="2" t="s">
        <v>2</v>
      </c>
      <c r="F18" s="1" t="s">
        <v>3</v>
      </c>
      <c r="G18" s="2" t="s">
        <v>19</v>
      </c>
      <c r="H18" s="3">
        <v>160</v>
      </c>
      <c r="I18" s="8">
        <f t="shared" si="2"/>
        <v>1004</v>
      </c>
      <c r="J18" s="9">
        <f t="shared" si="0"/>
        <v>80.319999999999993</v>
      </c>
      <c r="K18" s="8">
        <f t="shared" si="1"/>
        <v>72.865065818509564</v>
      </c>
    </row>
    <row r="19" spans="1:11" hidden="1" x14ac:dyDescent="0.25">
      <c r="A19" s="1">
        <v>3536</v>
      </c>
      <c r="B19" s="1">
        <v>2017</v>
      </c>
      <c r="C19" s="2" t="s">
        <v>20</v>
      </c>
      <c r="D19" s="2" t="s">
        <v>1</v>
      </c>
      <c r="E19" s="2" t="s">
        <v>2</v>
      </c>
      <c r="F19" s="1" t="s">
        <v>3</v>
      </c>
      <c r="G19" s="2" t="s">
        <v>20</v>
      </c>
      <c r="H19" s="3">
        <v>14857</v>
      </c>
      <c r="I19" s="8">
        <f t="shared" si="2"/>
        <v>1004</v>
      </c>
      <c r="J19" s="9">
        <f t="shared" si="0"/>
        <v>7458.2139999999999</v>
      </c>
      <c r="K19" s="8">
        <f t="shared" si="1"/>
        <v>6765.9767679099778</v>
      </c>
    </row>
    <row r="20" spans="1:11" hidden="1" x14ac:dyDescent="0.25">
      <c r="A20" s="1">
        <v>3537</v>
      </c>
      <c r="B20" s="1">
        <v>2017</v>
      </c>
      <c r="C20" s="2" t="s">
        <v>21</v>
      </c>
      <c r="D20" s="2" t="s">
        <v>1</v>
      </c>
      <c r="E20" s="2" t="s">
        <v>2</v>
      </c>
      <c r="F20" s="1" t="s">
        <v>3</v>
      </c>
      <c r="G20" s="2" t="s">
        <v>21</v>
      </c>
      <c r="H20" s="3">
        <v>258958</v>
      </c>
      <c r="I20" s="8">
        <f t="shared" si="2"/>
        <v>1004</v>
      </c>
      <c r="J20" s="9">
        <f t="shared" si="0"/>
        <v>129996.916</v>
      </c>
      <c r="K20" s="8">
        <f t="shared" si="1"/>
        <v>117931.19821393499</v>
      </c>
    </row>
    <row r="21" spans="1:11" hidden="1" x14ac:dyDescent="0.25">
      <c r="A21" s="1">
        <v>3538</v>
      </c>
      <c r="B21" s="1">
        <v>2017</v>
      </c>
      <c r="C21" s="2" t="s">
        <v>22</v>
      </c>
      <c r="D21" s="2" t="s">
        <v>1</v>
      </c>
      <c r="E21" s="2" t="s">
        <v>2</v>
      </c>
      <c r="F21" s="1" t="s">
        <v>3</v>
      </c>
      <c r="G21" s="2" t="s">
        <v>22</v>
      </c>
      <c r="H21" s="3">
        <v>27</v>
      </c>
      <c r="I21" s="8">
        <f t="shared" si="2"/>
        <v>1004</v>
      </c>
      <c r="J21" s="9">
        <f t="shared" si="0"/>
        <v>13.554</v>
      </c>
      <c r="K21" s="8">
        <f t="shared" si="1"/>
        <v>12.295979856873489</v>
      </c>
    </row>
    <row r="22" spans="1:11" hidden="1" x14ac:dyDescent="0.25">
      <c r="A22" s="1">
        <v>3539</v>
      </c>
      <c r="B22" s="1">
        <v>2017</v>
      </c>
      <c r="C22" s="2" t="s">
        <v>23</v>
      </c>
      <c r="D22" s="2" t="s">
        <v>1</v>
      </c>
      <c r="E22" s="2" t="s">
        <v>2</v>
      </c>
      <c r="F22" s="1" t="s">
        <v>3</v>
      </c>
      <c r="G22" s="2" t="s">
        <v>23</v>
      </c>
      <c r="H22" s="3">
        <v>3</v>
      </c>
      <c r="I22" s="8">
        <f t="shared" si="2"/>
        <v>1004</v>
      </c>
      <c r="J22" s="9">
        <f t="shared" si="0"/>
        <v>1.506</v>
      </c>
      <c r="K22" s="8">
        <f t="shared" si="1"/>
        <v>1.3662199840970541</v>
      </c>
    </row>
    <row r="23" spans="1:11" hidden="1" x14ac:dyDescent="0.25">
      <c r="A23" s="1">
        <v>3540</v>
      </c>
      <c r="B23" s="1">
        <v>2017</v>
      </c>
      <c r="C23" s="2" t="s">
        <v>24</v>
      </c>
      <c r="D23" s="2" t="s">
        <v>1</v>
      </c>
      <c r="E23" s="2" t="s">
        <v>2</v>
      </c>
      <c r="F23" s="1" t="s">
        <v>3</v>
      </c>
      <c r="G23" s="2" t="s">
        <v>24</v>
      </c>
      <c r="H23" s="3">
        <v>1214160</v>
      </c>
      <c r="I23" s="8">
        <f t="shared" si="2"/>
        <v>1004</v>
      </c>
      <c r="J23" s="9">
        <f t="shared" si="0"/>
        <v>609508.31999999995</v>
      </c>
      <c r="K23" s="8">
        <f t="shared" si="1"/>
        <v>552936.55196375982</v>
      </c>
    </row>
    <row r="24" spans="1:11" hidden="1" x14ac:dyDescent="0.25">
      <c r="A24" s="1">
        <v>3541</v>
      </c>
      <c r="B24" s="1">
        <v>2017</v>
      </c>
      <c r="C24" s="2" t="s">
        <v>25</v>
      </c>
      <c r="D24" s="2" t="s">
        <v>1</v>
      </c>
      <c r="E24" s="2" t="s">
        <v>2</v>
      </c>
      <c r="F24" s="1" t="s">
        <v>3</v>
      </c>
      <c r="G24" s="2" t="s">
        <v>25</v>
      </c>
      <c r="H24" s="3">
        <v>12792</v>
      </c>
      <c r="I24" s="8">
        <f t="shared" si="2"/>
        <v>1004</v>
      </c>
      <c r="J24" s="9">
        <f t="shared" si="0"/>
        <v>6421.5839999999998</v>
      </c>
      <c r="K24" s="8">
        <f t="shared" si="1"/>
        <v>5825.5620121898392</v>
      </c>
    </row>
    <row r="25" spans="1:11" hidden="1" x14ac:dyDescent="0.25">
      <c r="A25" s="1">
        <v>3542</v>
      </c>
      <c r="B25" s="1">
        <v>2017</v>
      </c>
      <c r="C25" s="2" t="s">
        <v>26</v>
      </c>
      <c r="D25" s="2" t="s">
        <v>1</v>
      </c>
      <c r="E25" s="2" t="s">
        <v>2</v>
      </c>
      <c r="F25" s="1" t="s">
        <v>3</v>
      </c>
      <c r="G25" s="2" t="s">
        <v>26</v>
      </c>
      <c r="H25" s="3">
        <v>60800</v>
      </c>
      <c r="I25" s="8">
        <f t="shared" si="2"/>
        <v>1004</v>
      </c>
      <c r="J25" s="9">
        <f t="shared" si="0"/>
        <v>30521.599999999999</v>
      </c>
      <c r="K25" s="8">
        <f t="shared" si="1"/>
        <v>27688.725011033632</v>
      </c>
    </row>
    <row r="26" spans="1:11" hidden="1" x14ac:dyDescent="0.25">
      <c r="A26" s="1">
        <v>3544</v>
      </c>
      <c r="B26" s="1">
        <v>2017</v>
      </c>
      <c r="C26" s="2" t="s">
        <v>27</v>
      </c>
      <c r="D26" s="2" t="s">
        <v>1</v>
      </c>
      <c r="E26" s="2" t="s">
        <v>2</v>
      </c>
      <c r="F26" s="1" t="s">
        <v>3</v>
      </c>
      <c r="G26" s="2" t="s">
        <v>27</v>
      </c>
      <c r="H26" s="3">
        <v>870764</v>
      </c>
      <c r="I26" s="8">
        <f t="shared" si="2"/>
        <v>1004</v>
      </c>
      <c r="J26" s="9">
        <f t="shared" si="0"/>
        <v>437123.52799999999</v>
      </c>
      <c r="K26" s="8">
        <f t="shared" si="1"/>
        <v>396551.72607742908</v>
      </c>
    </row>
    <row r="27" spans="1:11" hidden="1" x14ac:dyDescent="0.25">
      <c r="A27" s="1">
        <v>3545</v>
      </c>
      <c r="B27" s="1">
        <v>2017</v>
      </c>
      <c r="C27" s="2" t="s">
        <v>28</v>
      </c>
      <c r="D27" s="2" t="s">
        <v>1</v>
      </c>
      <c r="E27" s="2" t="s">
        <v>2</v>
      </c>
      <c r="F27" s="1" t="s">
        <v>3</v>
      </c>
      <c r="G27" s="2" t="s">
        <v>28</v>
      </c>
      <c r="H27" s="3">
        <v>4388</v>
      </c>
      <c r="I27" s="8">
        <f t="shared" si="2"/>
        <v>1004</v>
      </c>
      <c r="J27" s="9">
        <f t="shared" si="0"/>
        <v>2202.7759999999998</v>
      </c>
      <c r="K27" s="8">
        <f t="shared" si="1"/>
        <v>1998.3244300726246</v>
      </c>
    </row>
    <row r="28" spans="1:11" hidden="1" x14ac:dyDescent="0.25">
      <c r="A28" s="1">
        <v>3546</v>
      </c>
      <c r="B28" s="1">
        <v>2017</v>
      </c>
      <c r="C28" s="2" t="s">
        <v>29</v>
      </c>
      <c r="D28" s="2" t="s">
        <v>1</v>
      </c>
      <c r="E28" s="2" t="s">
        <v>2</v>
      </c>
      <c r="F28" s="1" t="s">
        <v>3</v>
      </c>
      <c r="G28" s="2" t="s">
        <v>29</v>
      </c>
      <c r="H28" s="3">
        <v>3854</v>
      </c>
      <c r="I28" s="8">
        <f t="shared" si="2"/>
        <v>1004</v>
      </c>
      <c r="J28" s="9">
        <f t="shared" si="0"/>
        <v>1934.7080000000001</v>
      </c>
      <c r="K28" s="8">
        <f t="shared" si="1"/>
        <v>1755.137272903349</v>
      </c>
    </row>
    <row r="29" spans="1:11" hidden="1" x14ac:dyDescent="0.25">
      <c r="A29" s="1">
        <v>3547</v>
      </c>
      <c r="B29" s="1">
        <v>2017</v>
      </c>
      <c r="C29" s="2" t="s">
        <v>30</v>
      </c>
      <c r="D29" s="2" t="s">
        <v>1</v>
      </c>
      <c r="E29" s="2" t="s">
        <v>2</v>
      </c>
      <c r="F29" s="1" t="s">
        <v>3</v>
      </c>
      <c r="G29" s="2" t="s">
        <v>30</v>
      </c>
      <c r="H29" s="3">
        <v>35161</v>
      </c>
      <c r="I29" s="8">
        <f t="shared" si="2"/>
        <v>1004</v>
      </c>
      <c r="J29" s="9">
        <f t="shared" si="0"/>
        <v>17650.822</v>
      </c>
      <c r="K29" s="8">
        <f t="shared" si="1"/>
        <v>16012.553620278841</v>
      </c>
    </row>
    <row r="30" spans="1:11" hidden="1" x14ac:dyDescent="0.25">
      <c r="A30" s="1">
        <v>3548</v>
      </c>
      <c r="B30" s="1">
        <v>2017</v>
      </c>
      <c r="C30" s="2" t="s">
        <v>31</v>
      </c>
      <c r="D30" s="2" t="s">
        <v>1</v>
      </c>
      <c r="E30" s="2" t="s">
        <v>2</v>
      </c>
      <c r="F30" s="1" t="s">
        <v>3</v>
      </c>
      <c r="G30" s="2" t="s">
        <v>31</v>
      </c>
      <c r="H30" s="3">
        <v>76481</v>
      </c>
      <c r="I30" s="8">
        <f t="shared" si="2"/>
        <v>1004</v>
      </c>
      <c r="J30" s="9">
        <f t="shared" si="0"/>
        <v>38393.462</v>
      </c>
      <c r="K30" s="8">
        <f t="shared" si="1"/>
        <v>34829.956867908935</v>
      </c>
    </row>
    <row r="31" spans="1:11" hidden="1" x14ac:dyDescent="0.25">
      <c r="A31" s="1">
        <v>3549</v>
      </c>
      <c r="B31" s="1">
        <v>2017</v>
      </c>
      <c r="C31" s="2" t="s">
        <v>32</v>
      </c>
      <c r="D31" s="2" t="s">
        <v>1</v>
      </c>
      <c r="E31" s="2" t="s">
        <v>2</v>
      </c>
      <c r="F31" s="1" t="s">
        <v>3</v>
      </c>
      <c r="G31" s="2" t="s">
        <v>32</v>
      </c>
      <c r="H31" s="3">
        <v>29161</v>
      </c>
      <c r="I31" s="8">
        <f t="shared" si="2"/>
        <v>1004</v>
      </c>
      <c r="J31" s="9">
        <f t="shared" si="0"/>
        <v>14638.822</v>
      </c>
      <c r="K31" s="8">
        <f t="shared" si="1"/>
        <v>13280.113652084732</v>
      </c>
    </row>
    <row r="32" spans="1:11" hidden="1" x14ac:dyDescent="0.25">
      <c r="A32" s="1">
        <v>3550</v>
      </c>
      <c r="B32" s="1">
        <v>2017</v>
      </c>
      <c r="C32" s="2" t="s">
        <v>33</v>
      </c>
      <c r="D32" s="2" t="s">
        <v>1</v>
      </c>
      <c r="E32" s="2" t="s">
        <v>2</v>
      </c>
      <c r="F32" s="1" t="s">
        <v>3</v>
      </c>
      <c r="G32" s="2" t="s">
        <v>33</v>
      </c>
      <c r="H32" s="3">
        <v>248457</v>
      </c>
      <c r="I32" s="8">
        <f t="shared" si="2"/>
        <v>1004</v>
      </c>
      <c r="J32" s="9">
        <f t="shared" si="0"/>
        <v>124725.414</v>
      </c>
      <c r="K32" s="8">
        <f t="shared" si="1"/>
        <v>113148.97286293394</v>
      </c>
    </row>
    <row r="33" spans="1:11" hidden="1" x14ac:dyDescent="0.25">
      <c r="A33" s="1">
        <v>3551</v>
      </c>
      <c r="B33" s="1">
        <v>2017</v>
      </c>
      <c r="C33" s="2" t="s">
        <v>34</v>
      </c>
      <c r="D33" s="2" t="s">
        <v>1</v>
      </c>
      <c r="E33" s="2" t="s">
        <v>2</v>
      </c>
      <c r="F33" s="1" t="s">
        <v>3</v>
      </c>
      <c r="G33" s="2" t="s">
        <v>34</v>
      </c>
      <c r="H33" s="3">
        <v>188349</v>
      </c>
      <c r="I33" s="8">
        <f t="shared" si="2"/>
        <v>1004</v>
      </c>
      <c r="J33" s="9">
        <f t="shared" si="0"/>
        <v>94551.198000000004</v>
      </c>
      <c r="K33" s="8">
        <f t="shared" si="1"/>
        <v>85775.38926156536</v>
      </c>
    </row>
    <row r="34" spans="1:11" hidden="1" x14ac:dyDescent="0.25">
      <c r="A34" s="1">
        <v>3552</v>
      </c>
      <c r="B34" s="1">
        <v>2017</v>
      </c>
      <c r="C34" s="2" t="s">
        <v>35</v>
      </c>
      <c r="D34" s="2" t="s">
        <v>1</v>
      </c>
      <c r="E34" s="2" t="s">
        <v>2</v>
      </c>
      <c r="F34" s="1" t="s">
        <v>3</v>
      </c>
      <c r="G34" s="2" t="s">
        <v>35</v>
      </c>
      <c r="H34" s="3">
        <v>11578</v>
      </c>
      <c r="I34" s="8">
        <f t="shared" si="2"/>
        <v>1004</v>
      </c>
      <c r="J34" s="9">
        <f t="shared" si="0"/>
        <v>5812.1559999999999</v>
      </c>
      <c r="K34" s="8">
        <f t="shared" si="1"/>
        <v>5272.6983252918981</v>
      </c>
    </row>
    <row r="35" spans="1:11" hidden="1" x14ac:dyDescent="0.25">
      <c r="A35" s="1">
        <v>3553</v>
      </c>
      <c r="B35" s="1">
        <v>2017</v>
      </c>
      <c r="C35" s="2" t="s">
        <v>36</v>
      </c>
      <c r="D35" s="2" t="s">
        <v>1</v>
      </c>
      <c r="E35" s="2" t="s">
        <v>2</v>
      </c>
      <c r="F35" s="1" t="s">
        <v>3</v>
      </c>
      <c r="G35" s="2" t="s">
        <v>36</v>
      </c>
      <c r="H35" s="3">
        <v>168</v>
      </c>
      <c r="I35" s="8">
        <f t="shared" si="2"/>
        <v>1004</v>
      </c>
      <c r="J35" s="9">
        <f t="shared" si="0"/>
        <v>84.335999999999999</v>
      </c>
      <c r="K35" s="8">
        <f t="shared" si="1"/>
        <v>76.508319109435035</v>
      </c>
    </row>
    <row r="36" spans="1:11" hidden="1" x14ac:dyDescent="0.25">
      <c r="A36" s="1">
        <v>3554</v>
      </c>
      <c r="B36" s="1">
        <v>2017</v>
      </c>
      <c r="C36" s="2" t="s">
        <v>37</v>
      </c>
      <c r="D36" s="2" t="s">
        <v>1</v>
      </c>
      <c r="E36" s="2" t="s">
        <v>2</v>
      </c>
      <c r="F36" s="1" t="s">
        <v>3</v>
      </c>
      <c r="G36" s="2" t="s">
        <v>37</v>
      </c>
      <c r="H36" s="3">
        <v>160933</v>
      </c>
      <c r="I36" s="8">
        <f t="shared" si="2"/>
        <v>1004</v>
      </c>
      <c r="J36" s="9">
        <f t="shared" si="0"/>
        <v>80788.365999999995</v>
      </c>
      <c r="K36" s="8">
        <f t="shared" si="1"/>
        <v>73289.960233563746</v>
      </c>
    </row>
    <row r="37" spans="1:11" hidden="1" x14ac:dyDescent="0.25">
      <c r="A37" s="1">
        <v>3555</v>
      </c>
      <c r="B37" s="1">
        <v>2017</v>
      </c>
      <c r="C37" s="2" t="s">
        <v>38</v>
      </c>
      <c r="D37" s="2" t="s">
        <v>1</v>
      </c>
      <c r="E37" s="2" t="s">
        <v>2</v>
      </c>
      <c r="F37" s="1" t="s">
        <v>3</v>
      </c>
      <c r="G37" s="2" t="s">
        <v>38</v>
      </c>
      <c r="H37" s="3">
        <v>429068</v>
      </c>
      <c r="I37" s="8">
        <f t="shared" si="2"/>
        <v>1004</v>
      </c>
      <c r="J37" s="9">
        <f t="shared" si="0"/>
        <v>215392.136</v>
      </c>
      <c r="K37" s="8">
        <f t="shared" si="1"/>
        <v>195400.42537885162</v>
      </c>
    </row>
    <row r="38" spans="1:11" hidden="1" x14ac:dyDescent="0.25">
      <c r="A38" s="1">
        <v>3557</v>
      </c>
      <c r="B38" s="1">
        <v>2017</v>
      </c>
      <c r="C38" s="2" t="s">
        <v>39</v>
      </c>
      <c r="D38" s="2" t="s">
        <v>1</v>
      </c>
      <c r="E38" s="2" t="s">
        <v>2</v>
      </c>
      <c r="F38" s="1" t="s">
        <v>3</v>
      </c>
      <c r="G38" s="2" t="s">
        <v>39</v>
      </c>
      <c r="H38" s="3">
        <v>41670</v>
      </c>
      <c r="I38" s="8">
        <f t="shared" si="2"/>
        <v>1004</v>
      </c>
      <c r="J38" s="9">
        <f t="shared" si="0"/>
        <v>20918.34</v>
      </c>
      <c r="K38" s="8">
        <f t="shared" si="1"/>
        <v>18976.795579108082</v>
      </c>
    </row>
    <row r="39" spans="1:11" hidden="1" x14ac:dyDescent="0.25">
      <c r="A39" s="1">
        <v>3558</v>
      </c>
      <c r="B39" s="1">
        <v>2017</v>
      </c>
      <c r="C39" s="2" t="s">
        <v>40</v>
      </c>
      <c r="D39" s="2" t="s">
        <v>1</v>
      </c>
      <c r="E39" s="2" t="s">
        <v>2</v>
      </c>
      <c r="F39" s="1" t="s">
        <v>3</v>
      </c>
      <c r="G39" s="2" t="s">
        <v>40</v>
      </c>
      <c r="H39" s="3">
        <v>68591</v>
      </c>
      <c r="I39" s="8">
        <f t="shared" si="2"/>
        <v>1004</v>
      </c>
      <c r="J39" s="9">
        <f t="shared" si="0"/>
        <v>34432.682000000001</v>
      </c>
      <c r="K39" s="8">
        <f t="shared" si="1"/>
        <v>31236.79830973368</v>
      </c>
    </row>
    <row r="40" spans="1:11" hidden="1" x14ac:dyDescent="0.25">
      <c r="A40" s="1">
        <v>3559</v>
      </c>
      <c r="B40" s="1">
        <v>2017</v>
      </c>
      <c r="C40" s="2" t="s">
        <v>41</v>
      </c>
      <c r="D40" s="2" t="s">
        <v>1</v>
      </c>
      <c r="E40" s="2" t="s">
        <v>2</v>
      </c>
      <c r="F40" s="1" t="s">
        <v>3</v>
      </c>
      <c r="G40" s="2" t="s">
        <v>41</v>
      </c>
      <c r="H40" s="3">
        <v>226773</v>
      </c>
      <c r="I40" s="8">
        <f t="shared" si="2"/>
        <v>1004</v>
      </c>
      <c r="J40" s="9">
        <f t="shared" si="0"/>
        <v>113840.046</v>
      </c>
      <c r="K40" s="8">
        <f t="shared" si="1"/>
        <v>103273.93481788042</v>
      </c>
    </row>
    <row r="41" spans="1:11" hidden="1" x14ac:dyDescent="0.25">
      <c r="A41" s="1">
        <v>3560</v>
      </c>
      <c r="B41" s="1">
        <v>2017</v>
      </c>
      <c r="C41" s="2" t="s">
        <v>42</v>
      </c>
      <c r="D41" s="2" t="s">
        <v>1</v>
      </c>
      <c r="E41" s="2" t="s">
        <v>2</v>
      </c>
      <c r="F41" s="1" t="s">
        <v>3</v>
      </c>
      <c r="G41" s="2" t="s">
        <v>42</v>
      </c>
      <c r="H41" s="3">
        <v>1021361</v>
      </c>
      <c r="I41" s="8">
        <f t="shared" si="2"/>
        <v>1004</v>
      </c>
      <c r="J41" s="9">
        <f t="shared" si="0"/>
        <v>512723.22200000001</v>
      </c>
      <c r="K41" s="8">
        <f t="shared" si="1"/>
        <v>465134.6030591171</v>
      </c>
    </row>
    <row r="42" spans="1:11" hidden="1" x14ac:dyDescent="0.25">
      <c r="A42" s="1">
        <v>3561</v>
      </c>
      <c r="B42" s="1">
        <v>2017</v>
      </c>
      <c r="C42" s="2" t="s">
        <v>43</v>
      </c>
      <c r="D42" s="2" t="s">
        <v>1</v>
      </c>
      <c r="E42" s="2" t="s">
        <v>2</v>
      </c>
      <c r="F42" s="1" t="s">
        <v>3</v>
      </c>
      <c r="G42" s="2" t="s">
        <v>43</v>
      </c>
      <c r="H42" s="3">
        <v>648959</v>
      </c>
      <c r="I42" s="8">
        <f t="shared" si="2"/>
        <v>1004</v>
      </c>
      <c r="J42" s="9">
        <f t="shared" si="0"/>
        <v>325777.41800000001</v>
      </c>
      <c r="K42" s="8">
        <f t="shared" si="1"/>
        <v>295540.2515532134</v>
      </c>
    </row>
    <row r="43" spans="1:11" hidden="1" x14ac:dyDescent="0.25">
      <c r="A43" s="1">
        <v>3562</v>
      </c>
      <c r="B43" s="1">
        <v>2017</v>
      </c>
      <c r="C43" s="2" t="s">
        <v>44</v>
      </c>
      <c r="D43" s="2" t="s">
        <v>1</v>
      </c>
      <c r="E43" s="2" t="s">
        <v>2</v>
      </c>
      <c r="F43" s="1" t="s">
        <v>3</v>
      </c>
      <c r="G43" s="2" t="s">
        <v>44</v>
      </c>
      <c r="H43" s="3">
        <v>8652</v>
      </c>
      <c r="I43" s="8">
        <f t="shared" si="2"/>
        <v>1004</v>
      </c>
      <c r="J43" s="9">
        <f t="shared" si="0"/>
        <v>4343.3040000000001</v>
      </c>
      <c r="K43" s="8">
        <f t="shared" si="1"/>
        <v>3940.1784341359044</v>
      </c>
    </row>
    <row r="44" spans="1:11" hidden="1" x14ac:dyDescent="0.25">
      <c r="A44" s="1">
        <v>3563</v>
      </c>
      <c r="B44" s="1">
        <v>2017</v>
      </c>
      <c r="C44" s="2" t="s">
        <v>45</v>
      </c>
      <c r="D44" s="2" t="s">
        <v>1</v>
      </c>
      <c r="E44" s="2" t="s">
        <v>2</v>
      </c>
      <c r="F44" s="1" t="s">
        <v>3</v>
      </c>
      <c r="G44" s="2" t="s">
        <v>45</v>
      </c>
      <c r="H44" s="3">
        <v>8583</v>
      </c>
      <c r="I44" s="8">
        <f t="shared" si="2"/>
        <v>1004</v>
      </c>
      <c r="J44" s="9">
        <f t="shared" si="0"/>
        <v>4308.6660000000002</v>
      </c>
      <c r="K44" s="8">
        <f t="shared" si="1"/>
        <v>3908.7553745016721</v>
      </c>
    </row>
    <row r="45" spans="1:11" hidden="1" x14ac:dyDescent="0.25">
      <c r="A45" s="1">
        <v>3564</v>
      </c>
      <c r="B45" s="1">
        <v>2017</v>
      </c>
      <c r="C45" s="2" t="s">
        <v>46</v>
      </c>
      <c r="D45" s="2" t="s">
        <v>1</v>
      </c>
      <c r="E45" s="2" t="s">
        <v>2</v>
      </c>
      <c r="F45" s="1" t="s">
        <v>3</v>
      </c>
      <c r="G45" s="2" t="s">
        <v>46</v>
      </c>
      <c r="H45" s="3">
        <v>1001608</v>
      </c>
      <c r="I45" s="8">
        <f t="shared" si="2"/>
        <v>1004</v>
      </c>
      <c r="J45" s="9">
        <f t="shared" si="0"/>
        <v>502807.21600000001</v>
      </c>
      <c r="K45" s="8">
        <f t="shared" si="1"/>
        <v>456138.95527716074</v>
      </c>
    </row>
    <row r="46" spans="1:11" hidden="1" x14ac:dyDescent="0.25">
      <c r="A46" s="1">
        <v>3566</v>
      </c>
      <c r="B46" s="1">
        <v>2017</v>
      </c>
      <c r="C46" s="2" t="s">
        <v>47</v>
      </c>
      <c r="D46" s="2" t="s">
        <v>48</v>
      </c>
      <c r="E46" s="2" t="s">
        <v>2</v>
      </c>
      <c r="F46" s="1" t="s">
        <v>3</v>
      </c>
      <c r="G46" s="2" t="s">
        <v>47</v>
      </c>
      <c r="H46" s="3">
        <v>33124.885999999999</v>
      </c>
      <c r="I46" s="8">
        <f t="shared" si="2"/>
        <v>1004</v>
      </c>
      <c r="J46" s="9">
        <f t="shared" si="0"/>
        <v>16628.692771999999</v>
      </c>
      <c r="K46" s="8">
        <f t="shared" si="1"/>
        <v>15085.293741378911</v>
      </c>
    </row>
    <row r="47" spans="1:11" hidden="1" x14ac:dyDescent="0.25">
      <c r="A47" s="1">
        <v>3567</v>
      </c>
      <c r="B47" s="1">
        <v>2017</v>
      </c>
      <c r="C47" s="2" t="s">
        <v>49</v>
      </c>
      <c r="D47" s="2" t="s">
        <v>48</v>
      </c>
      <c r="E47" s="2" t="s">
        <v>2</v>
      </c>
      <c r="F47" s="1" t="s">
        <v>3</v>
      </c>
      <c r="G47" s="2" t="s">
        <v>49</v>
      </c>
      <c r="H47" s="3">
        <v>-14617.84</v>
      </c>
      <c r="I47" s="8">
        <f t="shared" si="2"/>
        <v>1004</v>
      </c>
      <c r="J47" s="9">
        <f t="shared" si="0"/>
        <v>-7338.1556799999998</v>
      </c>
      <c r="K47" s="8">
        <f t="shared" si="1"/>
        <v>-6657.0617107777607</v>
      </c>
    </row>
    <row r="48" spans="1:11" x14ac:dyDescent="0.25">
      <c r="A48" s="1">
        <v>3568</v>
      </c>
      <c r="B48" s="1">
        <v>2017</v>
      </c>
      <c r="C48" s="2" t="s">
        <v>50</v>
      </c>
      <c r="D48" s="2" t="s">
        <v>48</v>
      </c>
      <c r="E48" s="2" t="s">
        <v>2</v>
      </c>
      <c r="F48" s="1" t="s">
        <v>3</v>
      </c>
      <c r="G48" s="2" t="s">
        <v>50</v>
      </c>
      <c r="H48" s="3">
        <v>105630.905</v>
      </c>
      <c r="I48" s="8">
        <f t="shared" si="2"/>
        <v>1004</v>
      </c>
      <c r="J48" s="9">
        <f t="shared" si="0"/>
        <v>53026.714310000003</v>
      </c>
      <c r="K48" s="8">
        <f t="shared" si="1"/>
        <v>48105.017783085816</v>
      </c>
    </row>
    <row r="49" spans="1:11" hidden="1" x14ac:dyDescent="0.25">
      <c r="A49" s="1">
        <v>3569</v>
      </c>
      <c r="B49" s="1">
        <v>2017</v>
      </c>
      <c r="C49" s="2" t="s">
        <v>51</v>
      </c>
      <c r="D49" s="2" t="s">
        <v>48</v>
      </c>
      <c r="E49" s="2" t="s">
        <v>2</v>
      </c>
      <c r="F49" s="1" t="s">
        <v>3</v>
      </c>
      <c r="G49" s="2" t="s">
        <v>51</v>
      </c>
      <c r="H49" s="3">
        <v>87491.327999999994</v>
      </c>
      <c r="I49" s="8">
        <f t="shared" si="2"/>
        <v>1004</v>
      </c>
      <c r="J49" s="9">
        <f t="shared" si="0"/>
        <v>43920.646655999997</v>
      </c>
      <c r="K49" s="8">
        <f t="shared" si="1"/>
        <v>39844.133582930044</v>
      </c>
    </row>
    <row r="50" spans="1:11" x14ac:dyDescent="0.25">
      <c r="A50" s="1">
        <v>3570</v>
      </c>
      <c r="B50" s="1">
        <v>2017</v>
      </c>
      <c r="C50" s="2" t="s">
        <v>52</v>
      </c>
      <c r="D50" s="2" t="s">
        <v>48</v>
      </c>
      <c r="E50" s="2" t="s">
        <v>2</v>
      </c>
      <c r="F50" s="1" t="s">
        <v>3</v>
      </c>
      <c r="G50" s="2" t="s">
        <v>52</v>
      </c>
      <c r="H50" s="3">
        <v>14545.31</v>
      </c>
      <c r="I50" s="8">
        <f t="shared" si="2"/>
        <v>1004</v>
      </c>
      <c r="J50" s="9">
        <f t="shared" si="0"/>
        <v>7301.7456199999997</v>
      </c>
      <c r="K50" s="8">
        <f t="shared" si="1"/>
        <v>6624.0310656289075</v>
      </c>
    </row>
    <row r="51" spans="1:11" x14ac:dyDescent="0.25">
      <c r="A51" s="1">
        <v>3571</v>
      </c>
      <c r="B51" s="1">
        <v>2017</v>
      </c>
      <c r="C51" s="2" t="s">
        <v>53</v>
      </c>
      <c r="D51" s="2" t="s">
        <v>48</v>
      </c>
      <c r="E51" s="2" t="s">
        <v>2</v>
      </c>
      <c r="F51" s="1" t="s">
        <v>3</v>
      </c>
      <c r="G51" s="2" t="s">
        <v>53</v>
      </c>
      <c r="H51" s="3">
        <v>103132.848</v>
      </c>
      <c r="I51" s="8">
        <f t="shared" si="2"/>
        <v>1004</v>
      </c>
      <c r="J51" s="9">
        <f t="shared" si="0"/>
        <v>51772.689696000001</v>
      </c>
      <c r="K51" s="8">
        <f t="shared" si="1"/>
        <v>46967.385984814639</v>
      </c>
    </row>
    <row r="52" spans="1:11" x14ac:dyDescent="0.25">
      <c r="A52" s="1">
        <v>3572</v>
      </c>
      <c r="B52" s="1">
        <v>2017</v>
      </c>
      <c r="C52" s="2" t="s">
        <v>54</v>
      </c>
      <c r="D52" s="2" t="s">
        <v>48</v>
      </c>
      <c r="E52" s="2" t="s">
        <v>2</v>
      </c>
      <c r="F52" s="1" t="s">
        <v>3</v>
      </c>
      <c r="G52" s="2" t="s">
        <v>54</v>
      </c>
      <c r="H52" s="3">
        <v>214.42699999999999</v>
      </c>
      <c r="I52" s="8">
        <f t="shared" si="2"/>
        <v>1004</v>
      </c>
      <c r="J52" s="9">
        <f t="shared" si="0"/>
        <v>107.642354</v>
      </c>
      <c r="K52" s="8">
        <f t="shared" si="1"/>
        <v>97.651484176659679</v>
      </c>
    </row>
    <row r="53" spans="1:11" x14ac:dyDescent="0.25">
      <c r="A53" s="1">
        <v>3573</v>
      </c>
      <c r="B53" s="1">
        <v>2017</v>
      </c>
      <c r="C53" s="2" t="s">
        <v>55</v>
      </c>
      <c r="D53" s="2" t="s">
        <v>48</v>
      </c>
      <c r="E53" s="2" t="s">
        <v>2</v>
      </c>
      <c r="F53" s="1" t="s">
        <v>3</v>
      </c>
      <c r="G53" s="2" t="s">
        <v>55</v>
      </c>
      <c r="H53" s="3">
        <v>35544.781000000003</v>
      </c>
      <c r="I53" s="8">
        <f t="shared" si="2"/>
        <v>1004</v>
      </c>
      <c r="J53" s="9">
        <f t="shared" si="0"/>
        <v>17843.480062000002</v>
      </c>
      <c r="K53" s="8">
        <f t="shared" si="1"/>
        <v>16187.330044184428</v>
      </c>
    </row>
    <row r="54" spans="1:11" x14ac:dyDescent="0.25">
      <c r="A54" s="1">
        <v>3574</v>
      </c>
      <c r="B54" s="1">
        <v>2017</v>
      </c>
      <c r="C54" s="2" t="s">
        <v>56</v>
      </c>
      <c r="D54" s="2" t="s">
        <v>48</v>
      </c>
      <c r="E54" s="2" t="s">
        <v>2</v>
      </c>
      <c r="F54" s="1" t="s">
        <v>3</v>
      </c>
      <c r="G54" s="2" t="s">
        <v>56</v>
      </c>
      <c r="H54" s="3">
        <v>11112.618</v>
      </c>
      <c r="I54" s="8">
        <f t="shared" si="2"/>
        <v>1004</v>
      </c>
      <c r="J54" s="9">
        <f t="shared" si="0"/>
        <v>5578.5342360000004</v>
      </c>
      <c r="K54" s="8">
        <f t="shared" si="1"/>
        <v>5060.7602624122128</v>
      </c>
    </row>
    <row r="55" spans="1:11" x14ac:dyDescent="0.25">
      <c r="A55" s="1">
        <v>3575</v>
      </c>
      <c r="B55" s="1">
        <v>2017</v>
      </c>
      <c r="C55" s="2" t="s">
        <v>57</v>
      </c>
      <c r="D55" s="2" t="s">
        <v>48</v>
      </c>
      <c r="E55" s="2" t="s">
        <v>2</v>
      </c>
      <c r="F55" s="1" t="s">
        <v>3</v>
      </c>
      <c r="G55" s="2" t="s">
        <v>57</v>
      </c>
      <c r="H55" s="3">
        <v>43249.127</v>
      </c>
      <c r="I55" s="8">
        <f t="shared" si="2"/>
        <v>1004</v>
      </c>
      <c r="J55" s="9">
        <f t="shared" si="0"/>
        <v>21711.061754000002</v>
      </c>
      <c r="K55" s="8">
        <f t="shared" si="1"/>
        <v>19695.940534050493</v>
      </c>
    </row>
    <row r="56" spans="1:11" x14ac:dyDescent="0.25">
      <c r="A56" s="1">
        <v>3576</v>
      </c>
      <c r="B56" s="1">
        <v>2017</v>
      </c>
      <c r="C56" s="2" t="s">
        <v>58</v>
      </c>
      <c r="D56" s="2" t="s">
        <v>48</v>
      </c>
      <c r="E56" s="2" t="s">
        <v>2</v>
      </c>
      <c r="F56" s="1" t="s">
        <v>3</v>
      </c>
      <c r="G56" s="2" t="s">
        <v>58</v>
      </c>
      <c r="H56" s="3">
        <v>2625.971</v>
      </c>
      <c r="I56" s="8">
        <f t="shared" si="2"/>
        <v>1004</v>
      </c>
      <c r="J56" s="9">
        <f t="shared" si="0"/>
        <v>1318.2374420000001</v>
      </c>
      <c r="K56" s="8">
        <f t="shared" si="1"/>
        <v>1195.8846859531086</v>
      </c>
    </row>
    <row r="57" spans="1:11" hidden="1" x14ac:dyDescent="0.25">
      <c r="A57" s="1">
        <v>3577</v>
      </c>
      <c r="B57" s="1">
        <v>2017</v>
      </c>
      <c r="C57" s="2" t="s">
        <v>59</v>
      </c>
      <c r="D57" s="2" t="s">
        <v>48</v>
      </c>
      <c r="E57" s="2" t="s">
        <v>2</v>
      </c>
      <c r="F57" s="1" t="s">
        <v>3</v>
      </c>
      <c r="G57" s="2" t="s">
        <v>59</v>
      </c>
      <c r="H57" s="3">
        <v>252812.174</v>
      </c>
      <c r="I57" s="8">
        <f t="shared" si="2"/>
        <v>1004</v>
      </c>
      <c r="J57" s="9">
        <f t="shared" si="0"/>
        <v>126911.71134800001</v>
      </c>
      <c r="K57" s="8">
        <f t="shared" si="1"/>
        <v>115132.34811394058</v>
      </c>
    </row>
    <row r="58" spans="1:11" x14ac:dyDescent="0.25">
      <c r="A58" s="1">
        <v>3578</v>
      </c>
      <c r="B58" s="1">
        <v>2017</v>
      </c>
      <c r="C58" s="2" t="s">
        <v>60</v>
      </c>
      <c r="D58" s="2" t="s">
        <v>48</v>
      </c>
      <c r="E58" s="2" t="s">
        <v>2</v>
      </c>
      <c r="F58" s="1" t="s">
        <v>3</v>
      </c>
      <c r="G58" s="2" t="s">
        <v>60</v>
      </c>
      <c r="H58" s="3">
        <v>33602.277000000002</v>
      </c>
      <c r="I58" s="8">
        <f t="shared" si="2"/>
        <v>1004</v>
      </c>
      <c r="J58" s="9">
        <f t="shared" si="0"/>
        <v>16868.343054000001</v>
      </c>
      <c r="K58" s="8">
        <f t="shared" si="1"/>
        <v>15302.700782854938</v>
      </c>
    </row>
    <row r="59" spans="1:11" x14ac:dyDescent="0.25">
      <c r="A59" s="1">
        <v>3579</v>
      </c>
      <c r="B59" s="1">
        <v>2017</v>
      </c>
      <c r="C59" s="2" t="s">
        <v>61</v>
      </c>
      <c r="D59" s="2" t="s">
        <v>48</v>
      </c>
      <c r="E59" s="2" t="s">
        <v>2</v>
      </c>
      <c r="F59" s="1" t="s">
        <v>3</v>
      </c>
      <c r="G59" s="2" t="s">
        <v>61</v>
      </c>
      <c r="H59" s="3">
        <v>1788.0920000000001</v>
      </c>
      <c r="I59" s="8">
        <f t="shared" si="2"/>
        <v>1004</v>
      </c>
      <c r="J59" s="9">
        <f t="shared" si="0"/>
        <v>897.62218400000006</v>
      </c>
      <c r="K59" s="8">
        <f t="shared" si="1"/>
        <v>814.30900793468993</v>
      </c>
    </row>
    <row r="60" spans="1:11" x14ac:dyDescent="0.25">
      <c r="A60" s="1">
        <v>3580</v>
      </c>
      <c r="B60" s="1">
        <v>2017</v>
      </c>
      <c r="C60" s="2" t="s">
        <v>62</v>
      </c>
      <c r="D60" s="2" t="s">
        <v>48</v>
      </c>
      <c r="E60" s="2" t="s">
        <v>2</v>
      </c>
      <c r="F60" s="1" t="s">
        <v>3</v>
      </c>
      <c r="G60" s="2" t="s">
        <v>62</v>
      </c>
      <c r="H60" s="3">
        <v>31838.132000000001</v>
      </c>
      <c r="I60" s="8">
        <f t="shared" si="2"/>
        <v>1004</v>
      </c>
      <c r="J60" s="9">
        <f t="shared" si="0"/>
        <v>15982.742264</v>
      </c>
      <c r="K60" s="8">
        <f t="shared" si="1"/>
        <v>14499.297398239971</v>
      </c>
    </row>
    <row r="61" spans="1:11" x14ac:dyDescent="0.25">
      <c r="A61" s="1">
        <v>3581</v>
      </c>
      <c r="B61" s="1">
        <v>2017</v>
      </c>
      <c r="C61" s="2" t="s">
        <v>63</v>
      </c>
      <c r="D61" s="2" t="s">
        <v>48</v>
      </c>
      <c r="E61" s="2" t="s">
        <v>2</v>
      </c>
      <c r="F61" s="1" t="s">
        <v>3</v>
      </c>
      <c r="G61" s="2" t="s">
        <v>63</v>
      </c>
      <c r="H61" s="3">
        <v>94807.232999999993</v>
      </c>
      <c r="I61" s="8">
        <f t="shared" si="2"/>
        <v>1004</v>
      </c>
      <c r="J61" s="9">
        <f t="shared" si="0"/>
        <v>47593.230965999996</v>
      </c>
      <c r="K61" s="8">
        <f t="shared" si="1"/>
        <v>43175.845453848568</v>
      </c>
    </row>
    <row r="62" spans="1:11" x14ac:dyDescent="0.25">
      <c r="A62" s="1">
        <v>3582</v>
      </c>
      <c r="B62" s="1">
        <v>2017</v>
      </c>
      <c r="C62" s="2" t="s">
        <v>64</v>
      </c>
      <c r="D62" s="2" t="s">
        <v>48</v>
      </c>
      <c r="E62" s="2" t="s">
        <v>2</v>
      </c>
      <c r="F62" s="1" t="s">
        <v>3</v>
      </c>
      <c r="G62" s="2" t="s">
        <v>64</v>
      </c>
      <c r="H62" s="3">
        <v>19278.542000000001</v>
      </c>
      <c r="I62" s="8">
        <f t="shared" si="2"/>
        <v>1004</v>
      </c>
      <c r="J62" s="9">
        <f t="shared" si="0"/>
        <v>9677.8280840000007</v>
      </c>
      <c r="K62" s="8">
        <f t="shared" si="1"/>
        <v>8779.5764482181312</v>
      </c>
    </row>
    <row r="63" spans="1:11" x14ac:dyDescent="0.25">
      <c r="A63" s="1">
        <v>3583</v>
      </c>
      <c r="B63" s="1">
        <v>2017</v>
      </c>
      <c r="C63" s="2" t="s">
        <v>65</v>
      </c>
      <c r="D63" s="2" t="s">
        <v>48</v>
      </c>
      <c r="E63" s="2" t="s">
        <v>2</v>
      </c>
      <c r="F63" s="1" t="s">
        <v>3</v>
      </c>
      <c r="G63" s="2" t="s">
        <v>65</v>
      </c>
      <c r="H63" s="3">
        <v>49547.209000000003</v>
      </c>
      <c r="I63" s="8">
        <f t="shared" si="2"/>
        <v>1004</v>
      </c>
      <c r="J63" s="9">
        <f t="shared" si="0"/>
        <v>24872.698918000002</v>
      </c>
      <c r="K63" s="8">
        <f t="shared" si="1"/>
        <v>22564.12903067781</v>
      </c>
    </row>
    <row r="64" spans="1:11" hidden="1" x14ac:dyDescent="0.25">
      <c r="A64" s="1">
        <v>3585</v>
      </c>
      <c r="B64" s="1">
        <v>2017</v>
      </c>
      <c r="C64" s="2" t="s">
        <v>66</v>
      </c>
      <c r="D64" s="2" t="s">
        <v>67</v>
      </c>
      <c r="E64" s="2" t="s">
        <v>2</v>
      </c>
      <c r="F64" s="1" t="s">
        <v>3</v>
      </c>
      <c r="G64" s="2" t="s">
        <v>66</v>
      </c>
      <c r="H64" s="3">
        <v>21064.639999999999</v>
      </c>
      <c r="I64" s="8">
        <f t="shared" si="2"/>
        <v>1004</v>
      </c>
      <c r="J64" s="9">
        <f t="shared" si="0"/>
        <v>10574.449279999999</v>
      </c>
      <c r="K64" s="8">
        <f t="shared" si="1"/>
        <v>9592.9773752700567</v>
      </c>
    </row>
    <row r="65" spans="1:11" hidden="1" x14ac:dyDescent="0.25">
      <c r="A65" s="1">
        <v>3586</v>
      </c>
      <c r="B65" s="1">
        <v>2017</v>
      </c>
      <c r="C65" s="2" t="s">
        <v>68</v>
      </c>
      <c r="D65" s="2" t="s">
        <v>67</v>
      </c>
      <c r="E65" s="2" t="s">
        <v>2</v>
      </c>
      <c r="F65" s="1" t="s">
        <v>3</v>
      </c>
      <c r="G65" s="2" t="s">
        <v>68</v>
      </c>
      <c r="H65" s="3">
        <v>413000</v>
      </c>
      <c r="I65" s="8">
        <f t="shared" si="2"/>
        <v>1004</v>
      </c>
      <c r="J65" s="9">
        <f t="shared" si="0"/>
        <v>207326</v>
      </c>
      <c r="K65" s="8">
        <f t="shared" si="1"/>
        <v>188082.95114402779</v>
      </c>
    </row>
    <row r="66" spans="1:11" hidden="1" x14ac:dyDescent="0.25">
      <c r="A66" s="1">
        <v>3587</v>
      </c>
      <c r="B66" s="1">
        <v>2017</v>
      </c>
      <c r="C66" s="2" t="s">
        <v>69</v>
      </c>
      <c r="D66" s="2" t="s">
        <v>70</v>
      </c>
      <c r="E66" s="2" t="s">
        <v>2</v>
      </c>
      <c r="F66" s="1" t="s">
        <v>3</v>
      </c>
      <c r="G66" s="2" t="s">
        <v>69</v>
      </c>
      <c r="H66" s="3">
        <v>-25311.027999999998</v>
      </c>
      <c r="I66" s="8">
        <f t="shared" si="2"/>
        <v>1004</v>
      </c>
      <c r="J66" s="9">
        <f t="shared" ref="J66:J129" si="3">(I66*H66)/2000</f>
        <v>-12706.136055999999</v>
      </c>
      <c r="K66" s="8">
        <f t="shared" ref="K66:K129" si="4">(H66*I66)/2204.623</f>
        <v>-11526.810757213365</v>
      </c>
    </row>
    <row r="67" spans="1:11" hidden="1" x14ac:dyDescent="0.25">
      <c r="A67" s="1">
        <v>3589</v>
      </c>
      <c r="B67" s="1">
        <v>2017</v>
      </c>
      <c r="C67" s="2" t="s">
        <v>68</v>
      </c>
      <c r="D67" s="2" t="s">
        <v>70</v>
      </c>
      <c r="E67" s="2" t="s">
        <v>2</v>
      </c>
      <c r="F67" s="1" t="s">
        <v>3</v>
      </c>
      <c r="G67" s="2" t="s">
        <v>68</v>
      </c>
      <c r="H67" s="3">
        <v>-413000</v>
      </c>
      <c r="I67" s="8">
        <f t="shared" ref="I67:I130" si="5">T$1</f>
        <v>1004</v>
      </c>
      <c r="J67" s="9">
        <f t="shared" si="3"/>
        <v>-207326</v>
      </c>
      <c r="K67" s="8">
        <f t="shared" si="4"/>
        <v>-188082.95114402779</v>
      </c>
    </row>
    <row r="68" spans="1:11" hidden="1" x14ac:dyDescent="0.25">
      <c r="A68" s="1">
        <v>3590</v>
      </c>
      <c r="B68" s="1">
        <v>2017</v>
      </c>
      <c r="C68" s="2" t="s">
        <v>38</v>
      </c>
      <c r="D68" s="2" t="s">
        <v>70</v>
      </c>
      <c r="E68" s="2" t="s">
        <v>2</v>
      </c>
      <c r="F68" s="1" t="s">
        <v>3</v>
      </c>
      <c r="G68" s="2" t="s">
        <v>38</v>
      </c>
      <c r="H68" s="3">
        <v>-200</v>
      </c>
      <c r="I68" s="8">
        <f t="shared" si="5"/>
        <v>1004</v>
      </c>
      <c r="J68" s="9">
        <f t="shared" si="3"/>
        <v>-100.4</v>
      </c>
      <c r="K68" s="8">
        <f t="shared" si="4"/>
        <v>-91.081332273136951</v>
      </c>
    </row>
    <row r="69" spans="1:11" hidden="1" x14ac:dyDescent="0.25">
      <c r="A69" s="1">
        <v>3593</v>
      </c>
      <c r="B69" s="1">
        <v>2017</v>
      </c>
      <c r="C69" s="2" t="s">
        <v>0</v>
      </c>
      <c r="D69" s="2" t="s">
        <v>71</v>
      </c>
      <c r="E69" s="2" t="s">
        <v>2</v>
      </c>
      <c r="F69" s="1" t="s">
        <v>3</v>
      </c>
      <c r="G69" s="2" t="s">
        <v>0</v>
      </c>
      <c r="H69" s="3">
        <v>-240</v>
      </c>
      <c r="I69" s="8">
        <f t="shared" si="5"/>
        <v>1004</v>
      </c>
      <c r="J69" s="9">
        <f t="shared" si="3"/>
        <v>-120.48</v>
      </c>
      <c r="K69" s="8">
        <f t="shared" si="4"/>
        <v>-109.29759872776434</v>
      </c>
    </row>
    <row r="70" spans="1:11" hidden="1" x14ac:dyDescent="0.25">
      <c r="A70" s="1">
        <v>3595</v>
      </c>
      <c r="B70" s="1">
        <v>2017</v>
      </c>
      <c r="C70" s="2" t="s">
        <v>72</v>
      </c>
      <c r="D70" s="2" t="s">
        <v>71</v>
      </c>
      <c r="E70" s="2" t="s">
        <v>2</v>
      </c>
      <c r="F70" s="1" t="s">
        <v>3</v>
      </c>
      <c r="G70" s="2" t="s">
        <v>72</v>
      </c>
      <c r="H70" s="3">
        <v>22036.59</v>
      </c>
      <c r="I70" s="8">
        <f t="shared" si="5"/>
        <v>1004</v>
      </c>
      <c r="J70" s="9">
        <f t="shared" si="3"/>
        <v>11062.368179999999</v>
      </c>
      <c r="K70" s="8">
        <f t="shared" si="4"/>
        <v>10035.609879784435</v>
      </c>
    </row>
    <row r="71" spans="1:11" hidden="1" x14ac:dyDescent="0.25">
      <c r="A71" s="1">
        <v>3596</v>
      </c>
      <c r="B71" s="1">
        <v>2017</v>
      </c>
      <c r="C71" s="2" t="s">
        <v>73</v>
      </c>
      <c r="D71" s="2" t="s">
        <v>71</v>
      </c>
      <c r="E71" s="2" t="s">
        <v>2</v>
      </c>
      <c r="F71" s="1" t="s">
        <v>3</v>
      </c>
      <c r="G71" s="2" t="s">
        <v>73</v>
      </c>
      <c r="H71" s="3">
        <v>86309</v>
      </c>
      <c r="I71" s="8">
        <f t="shared" si="5"/>
        <v>1004</v>
      </c>
      <c r="J71" s="9">
        <f t="shared" si="3"/>
        <v>43327.118000000002</v>
      </c>
      <c r="K71" s="8">
        <f t="shared" si="4"/>
        <v>39305.693535810882</v>
      </c>
    </row>
    <row r="72" spans="1:11" hidden="1" x14ac:dyDescent="0.25">
      <c r="A72" s="1">
        <v>3597</v>
      </c>
      <c r="B72" s="1">
        <v>2017</v>
      </c>
      <c r="C72" s="2" t="s">
        <v>74</v>
      </c>
      <c r="D72" s="2" t="s">
        <v>71</v>
      </c>
      <c r="E72" s="2" t="s">
        <v>2</v>
      </c>
      <c r="F72" s="1" t="s">
        <v>3</v>
      </c>
      <c r="G72" s="2" t="s">
        <v>74</v>
      </c>
      <c r="H72" s="3">
        <v>17365</v>
      </c>
      <c r="I72" s="8">
        <f t="shared" si="5"/>
        <v>1004</v>
      </c>
      <c r="J72" s="9">
        <f t="shared" si="3"/>
        <v>8717.23</v>
      </c>
      <c r="K72" s="8">
        <f t="shared" si="4"/>
        <v>7908.1366746151152</v>
      </c>
    </row>
    <row r="73" spans="1:11" hidden="1" x14ac:dyDescent="0.25">
      <c r="A73" s="1">
        <v>3598</v>
      </c>
      <c r="B73" s="1">
        <v>2017</v>
      </c>
      <c r="C73" s="2" t="s">
        <v>75</v>
      </c>
      <c r="D73" s="2" t="s">
        <v>71</v>
      </c>
      <c r="E73" s="2" t="s">
        <v>2</v>
      </c>
      <c r="F73" s="1" t="s">
        <v>3</v>
      </c>
      <c r="G73" s="2" t="s">
        <v>75</v>
      </c>
      <c r="H73" s="3">
        <v>38848.949999999997</v>
      </c>
      <c r="I73" s="8">
        <f t="shared" si="5"/>
        <v>1004</v>
      </c>
      <c r="J73" s="9">
        <f t="shared" si="3"/>
        <v>19502.172899999998</v>
      </c>
      <c r="K73" s="8">
        <f t="shared" si="4"/>
        <v>17692.070617062418</v>
      </c>
    </row>
    <row r="74" spans="1:11" hidden="1" x14ac:dyDescent="0.25">
      <c r="A74" s="1">
        <v>3605</v>
      </c>
      <c r="B74" s="1">
        <v>2017</v>
      </c>
      <c r="C74" s="2" t="s">
        <v>76</v>
      </c>
      <c r="D74" s="2" t="s">
        <v>71</v>
      </c>
      <c r="E74" s="2" t="s">
        <v>2</v>
      </c>
      <c r="F74" s="1" t="s">
        <v>3</v>
      </c>
      <c r="G74" s="2" t="s">
        <v>76</v>
      </c>
      <c r="H74" s="3">
        <v>8707</v>
      </c>
      <c r="I74" s="8">
        <f t="shared" si="5"/>
        <v>1004</v>
      </c>
      <c r="J74" s="9">
        <f t="shared" si="3"/>
        <v>4370.9139999999998</v>
      </c>
      <c r="K74" s="8">
        <f t="shared" si="4"/>
        <v>3965.225800511017</v>
      </c>
    </row>
    <row r="75" spans="1:11" hidden="1" x14ac:dyDescent="0.25">
      <c r="A75" s="1">
        <v>3610</v>
      </c>
      <c r="B75" s="1">
        <v>2017</v>
      </c>
      <c r="C75" s="2" t="s">
        <v>18</v>
      </c>
      <c r="D75" s="2" t="s">
        <v>71</v>
      </c>
      <c r="E75" s="2" t="s">
        <v>2</v>
      </c>
      <c r="F75" s="1" t="s">
        <v>3</v>
      </c>
      <c r="G75" s="2" t="s">
        <v>18</v>
      </c>
      <c r="H75" s="3">
        <v>-9400</v>
      </c>
      <c r="I75" s="8">
        <f t="shared" si="5"/>
        <v>1004</v>
      </c>
      <c r="J75" s="9">
        <f t="shared" si="3"/>
        <v>-4718.8</v>
      </c>
      <c r="K75" s="8">
        <f t="shared" si="4"/>
        <v>-4280.8226168374367</v>
      </c>
    </row>
    <row r="76" spans="1:11" hidden="1" x14ac:dyDescent="0.25">
      <c r="A76" s="1">
        <v>3612</v>
      </c>
      <c r="B76" s="1">
        <v>2017</v>
      </c>
      <c r="C76" s="2" t="s">
        <v>24</v>
      </c>
      <c r="D76" s="2" t="s">
        <v>71</v>
      </c>
      <c r="E76" s="2" t="s">
        <v>2</v>
      </c>
      <c r="F76" s="1" t="s">
        <v>3</v>
      </c>
      <c r="G76" s="2" t="s">
        <v>24</v>
      </c>
      <c r="H76" s="3">
        <v>-111804</v>
      </c>
      <c r="I76" s="8">
        <f t="shared" si="5"/>
        <v>1004</v>
      </c>
      <c r="J76" s="9">
        <f t="shared" si="3"/>
        <v>-56125.608</v>
      </c>
      <c r="K76" s="8">
        <f t="shared" si="4"/>
        <v>-50916.286367329019</v>
      </c>
    </row>
    <row r="77" spans="1:11" hidden="1" x14ac:dyDescent="0.25">
      <c r="A77" s="1">
        <v>3613</v>
      </c>
      <c r="B77" s="1">
        <v>2017</v>
      </c>
      <c r="C77" s="2" t="s">
        <v>25</v>
      </c>
      <c r="D77" s="2" t="s">
        <v>71</v>
      </c>
      <c r="E77" s="2" t="s">
        <v>2</v>
      </c>
      <c r="F77" s="1" t="s">
        <v>3</v>
      </c>
      <c r="G77" s="2" t="s">
        <v>25</v>
      </c>
      <c r="H77" s="3">
        <v>-27460</v>
      </c>
      <c r="I77" s="8">
        <f t="shared" si="5"/>
        <v>1004</v>
      </c>
      <c r="J77" s="9">
        <f t="shared" si="3"/>
        <v>-13784.92</v>
      </c>
      <c r="K77" s="8">
        <f t="shared" si="4"/>
        <v>-12505.466921101703</v>
      </c>
    </row>
    <row r="78" spans="1:11" hidden="1" x14ac:dyDescent="0.25">
      <c r="A78" s="1">
        <v>3616</v>
      </c>
      <c r="B78" s="1">
        <v>2017</v>
      </c>
      <c r="C78" s="2" t="s">
        <v>27</v>
      </c>
      <c r="D78" s="2" t="s">
        <v>71</v>
      </c>
      <c r="E78" s="2" t="s">
        <v>2</v>
      </c>
      <c r="F78" s="1" t="s">
        <v>3</v>
      </c>
      <c r="G78" s="2" t="s">
        <v>27</v>
      </c>
      <c r="H78" s="3">
        <v>-114665</v>
      </c>
      <c r="I78" s="8">
        <f t="shared" si="5"/>
        <v>1004</v>
      </c>
      <c r="J78" s="9">
        <f t="shared" si="3"/>
        <v>-57561.83</v>
      </c>
      <c r="K78" s="8">
        <f t="shared" si="4"/>
        <v>-52219.204825496243</v>
      </c>
    </row>
    <row r="79" spans="1:11" hidden="1" x14ac:dyDescent="0.25">
      <c r="A79" s="1">
        <v>3620</v>
      </c>
      <c r="B79" s="1">
        <v>2017</v>
      </c>
      <c r="C79" s="2" t="s">
        <v>31</v>
      </c>
      <c r="D79" s="2" t="s">
        <v>71</v>
      </c>
      <c r="E79" s="2" t="s">
        <v>2</v>
      </c>
      <c r="F79" s="1" t="s">
        <v>3</v>
      </c>
      <c r="G79" s="2" t="s">
        <v>31</v>
      </c>
      <c r="H79" s="3">
        <v>-31132</v>
      </c>
      <c r="I79" s="8">
        <f t="shared" si="5"/>
        <v>1004</v>
      </c>
      <c r="J79" s="9">
        <f t="shared" si="3"/>
        <v>-15628.263999999999</v>
      </c>
      <c r="K79" s="8">
        <f t="shared" si="4"/>
        <v>-14177.720181636498</v>
      </c>
    </row>
    <row r="80" spans="1:11" hidden="1" x14ac:dyDescent="0.25">
      <c r="A80" s="1">
        <v>3622</v>
      </c>
      <c r="B80" s="1">
        <v>2017</v>
      </c>
      <c r="C80" s="2" t="s">
        <v>33</v>
      </c>
      <c r="D80" s="2" t="s">
        <v>71</v>
      </c>
      <c r="E80" s="2" t="s">
        <v>2</v>
      </c>
      <c r="F80" s="1" t="s">
        <v>3</v>
      </c>
      <c r="G80" s="2" t="s">
        <v>33</v>
      </c>
      <c r="H80" s="3">
        <v>-1251160</v>
      </c>
      <c r="I80" s="8">
        <f t="shared" si="5"/>
        <v>1004</v>
      </c>
      <c r="J80" s="9">
        <f t="shared" si="3"/>
        <v>-628082.31999999995</v>
      </c>
      <c r="K80" s="8">
        <f t="shared" si="4"/>
        <v>-569786.59843429015</v>
      </c>
    </row>
    <row r="81" spans="1:11" hidden="1" x14ac:dyDescent="0.25">
      <c r="A81" s="1">
        <v>3623</v>
      </c>
      <c r="B81" s="1">
        <v>2017</v>
      </c>
      <c r="C81" s="2" t="s">
        <v>35</v>
      </c>
      <c r="D81" s="2" t="s">
        <v>71</v>
      </c>
      <c r="E81" s="2" t="s">
        <v>2</v>
      </c>
      <c r="F81" s="1" t="s">
        <v>3</v>
      </c>
      <c r="G81" s="2" t="s">
        <v>35</v>
      </c>
      <c r="H81" s="3">
        <v>-400</v>
      </c>
      <c r="I81" s="8">
        <f t="shared" si="5"/>
        <v>1004</v>
      </c>
      <c r="J81" s="9">
        <f t="shared" si="3"/>
        <v>-200.8</v>
      </c>
      <c r="K81" s="8">
        <f t="shared" si="4"/>
        <v>-182.1626645462739</v>
      </c>
    </row>
    <row r="82" spans="1:11" hidden="1" x14ac:dyDescent="0.25">
      <c r="A82" s="1">
        <v>3624</v>
      </c>
      <c r="B82" s="1">
        <v>2017</v>
      </c>
      <c r="C82" s="2" t="s">
        <v>38</v>
      </c>
      <c r="D82" s="2" t="s">
        <v>71</v>
      </c>
      <c r="E82" s="2" t="s">
        <v>2</v>
      </c>
      <c r="F82" s="1" t="s">
        <v>3</v>
      </c>
      <c r="G82" s="2" t="s">
        <v>38</v>
      </c>
      <c r="H82" s="3">
        <v>-52580</v>
      </c>
      <c r="I82" s="8">
        <f t="shared" si="5"/>
        <v>1004</v>
      </c>
      <c r="J82" s="9">
        <f t="shared" si="3"/>
        <v>-26395.16</v>
      </c>
      <c r="K82" s="8">
        <f t="shared" si="4"/>
        <v>-23945.282254607704</v>
      </c>
    </row>
    <row r="83" spans="1:11" hidden="1" x14ac:dyDescent="0.25">
      <c r="A83" s="1">
        <v>3626</v>
      </c>
      <c r="B83" s="1">
        <v>2017</v>
      </c>
      <c r="C83" s="2" t="s">
        <v>40</v>
      </c>
      <c r="D83" s="2" t="s">
        <v>71</v>
      </c>
      <c r="E83" s="2" t="s">
        <v>2</v>
      </c>
      <c r="F83" s="1" t="s">
        <v>3</v>
      </c>
      <c r="G83" s="2" t="s">
        <v>40</v>
      </c>
      <c r="H83" s="3">
        <v>-10150</v>
      </c>
      <c r="I83" s="8">
        <f t="shared" si="5"/>
        <v>1004</v>
      </c>
      <c r="J83" s="9">
        <f t="shared" si="3"/>
        <v>-5095.3</v>
      </c>
      <c r="K83" s="8">
        <f t="shared" si="4"/>
        <v>-4622.3776128617001</v>
      </c>
    </row>
    <row r="84" spans="1:11" hidden="1" x14ac:dyDescent="0.25">
      <c r="A84" s="1">
        <v>3627</v>
      </c>
      <c r="B84" s="1">
        <v>2017</v>
      </c>
      <c r="C84" s="2" t="s">
        <v>42</v>
      </c>
      <c r="D84" s="2" t="s">
        <v>71</v>
      </c>
      <c r="E84" s="2" t="s">
        <v>2</v>
      </c>
      <c r="F84" s="1" t="s">
        <v>3</v>
      </c>
      <c r="G84" s="2" t="s">
        <v>42</v>
      </c>
      <c r="H84" s="3">
        <v>-134399</v>
      </c>
      <c r="I84" s="8">
        <f t="shared" si="5"/>
        <v>1004</v>
      </c>
      <c r="J84" s="9">
        <f t="shared" si="3"/>
        <v>-67468.297999999995</v>
      </c>
      <c r="K84" s="8">
        <f t="shared" si="4"/>
        <v>-61206.199880886663</v>
      </c>
    </row>
    <row r="85" spans="1:11" hidden="1" x14ac:dyDescent="0.25">
      <c r="A85" s="1">
        <v>3629</v>
      </c>
      <c r="B85" s="1">
        <v>2017</v>
      </c>
      <c r="C85" s="2" t="s">
        <v>43</v>
      </c>
      <c r="D85" s="2" t="s">
        <v>71</v>
      </c>
      <c r="E85" s="2" t="s">
        <v>2</v>
      </c>
      <c r="F85" s="1" t="s">
        <v>3</v>
      </c>
      <c r="G85" s="2" t="s">
        <v>43</v>
      </c>
      <c r="H85" s="3">
        <v>-526014</v>
      </c>
      <c r="I85" s="8">
        <f t="shared" si="5"/>
        <v>1004</v>
      </c>
      <c r="J85" s="9">
        <f t="shared" si="3"/>
        <v>-264059.02799999999</v>
      </c>
      <c r="K85" s="8">
        <f t="shared" si="4"/>
        <v>-239550.27957160928</v>
      </c>
    </row>
    <row r="86" spans="1:11" hidden="1" x14ac:dyDescent="0.25">
      <c r="A86" s="1">
        <v>3631</v>
      </c>
      <c r="B86" s="1">
        <v>2017</v>
      </c>
      <c r="C86" s="2" t="s">
        <v>0</v>
      </c>
      <c r="D86" s="2" t="s">
        <v>77</v>
      </c>
      <c r="E86" s="2" t="s">
        <v>2</v>
      </c>
      <c r="F86" s="1" t="s">
        <v>3</v>
      </c>
      <c r="G86" s="2" t="s">
        <v>0</v>
      </c>
      <c r="H86" s="3">
        <v>-86171</v>
      </c>
      <c r="I86" s="8">
        <f t="shared" si="5"/>
        <v>1004</v>
      </c>
      <c r="J86" s="9">
        <f t="shared" si="3"/>
        <v>-43257.841999999997</v>
      </c>
      <c r="K86" s="8">
        <f t="shared" si="4"/>
        <v>-39242.84741654242</v>
      </c>
    </row>
    <row r="87" spans="1:11" hidden="1" x14ac:dyDescent="0.25">
      <c r="A87" s="1">
        <v>3632</v>
      </c>
      <c r="B87" s="1">
        <v>2017</v>
      </c>
      <c r="C87" s="2" t="s">
        <v>4</v>
      </c>
      <c r="D87" s="2" t="s">
        <v>77</v>
      </c>
      <c r="E87" s="2" t="s">
        <v>2</v>
      </c>
      <c r="F87" s="1" t="s">
        <v>3</v>
      </c>
      <c r="G87" s="2" t="s">
        <v>4</v>
      </c>
      <c r="H87" s="3">
        <v>-2800</v>
      </c>
      <c r="I87" s="8">
        <f t="shared" si="5"/>
        <v>1004</v>
      </c>
      <c r="J87" s="9">
        <f t="shared" si="3"/>
        <v>-1405.6</v>
      </c>
      <c r="K87" s="8">
        <f t="shared" si="4"/>
        <v>-1275.1386518239174</v>
      </c>
    </row>
    <row r="88" spans="1:11" hidden="1" x14ac:dyDescent="0.25">
      <c r="A88" s="1">
        <v>3634</v>
      </c>
      <c r="B88" s="1">
        <v>2017</v>
      </c>
      <c r="C88" s="2" t="s">
        <v>5</v>
      </c>
      <c r="D88" s="2" t="s">
        <v>77</v>
      </c>
      <c r="E88" s="2" t="s">
        <v>2</v>
      </c>
      <c r="F88" s="1" t="s">
        <v>3</v>
      </c>
      <c r="G88" s="2" t="s">
        <v>5</v>
      </c>
      <c r="H88" s="3">
        <v>-99714</v>
      </c>
      <c r="I88" s="8">
        <f t="shared" si="5"/>
        <v>1004</v>
      </c>
      <c r="J88" s="9">
        <f t="shared" si="3"/>
        <v>-50056.428</v>
      </c>
      <c r="K88" s="8">
        <f t="shared" si="4"/>
        <v>-45410.419831417887</v>
      </c>
    </row>
    <row r="89" spans="1:11" hidden="1" x14ac:dyDescent="0.25">
      <c r="A89" s="1">
        <v>3635</v>
      </c>
      <c r="B89" s="1">
        <v>2017</v>
      </c>
      <c r="C89" s="2" t="s">
        <v>6</v>
      </c>
      <c r="D89" s="2" t="s">
        <v>77</v>
      </c>
      <c r="E89" s="2" t="s">
        <v>2</v>
      </c>
      <c r="F89" s="1" t="s">
        <v>3</v>
      </c>
      <c r="G89" s="2" t="s">
        <v>6</v>
      </c>
      <c r="H89" s="3">
        <v>-221432</v>
      </c>
      <c r="I89" s="8">
        <f t="shared" si="5"/>
        <v>1004</v>
      </c>
      <c r="J89" s="9">
        <f t="shared" si="3"/>
        <v>-111158.864</v>
      </c>
      <c r="K89" s="8">
        <f t="shared" si="4"/>
        <v>-100841.6078395263</v>
      </c>
    </row>
    <row r="90" spans="1:11" hidden="1" x14ac:dyDescent="0.25">
      <c r="A90" s="1">
        <v>3636</v>
      </c>
      <c r="B90" s="1">
        <v>2017</v>
      </c>
      <c r="C90" s="2" t="s">
        <v>7</v>
      </c>
      <c r="D90" s="2" t="s">
        <v>77</v>
      </c>
      <c r="E90" s="2" t="s">
        <v>2</v>
      </c>
      <c r="F90" s="1" t="s">
        <v>3</v>
      </c>
      <c r="G90" s="2" t="s">
        <v>7</v>
      </c>
      <c r="H90" s="3">
        <v>-208</v>
      </c>
      <c r="I90" s="8">
        <f t="shared" si="5"/>
        <v>1004</v>
      </c>
      <c r="J90" s="9">
        <f t="shared" si="3"/>
        <v>-104.416</v>
      </c>
      <c r="K90" s="8">
        <f t="shared" si="4"/>
        <v>-94.724585564062423</v>
      </c>
    </row>
    <row r="91" spans="1:11" hidden="1" x14ac:dyDescent="0.25">
      <c r="A91" s="1">
        <v>3637</v>
      </c>
      <c r="B91" s="1">
        <v>2017</v>
      </c>
      <c r="C91" s="2" t="s">
        <v>8</v>
      </c>
      <c r="D91" s="2" t="s">
        <v>77</v>
      </c>
      <c r="E91" s="2" t="s">
        <v>2</v>
      </c>
      <c r="F91" s="1" t="s">
        <v>3</v>
      </c>
      <c r="G91" s="2" t="s">
        <v>8</v>
      </c>
      <c r="H91" s="3">
        <v>-16</v>
      </c>
      <c r="I91" s="8">
        <f t="shared" si="5"/>
        <v>1004</v>
      </c>
      <c r="J91" s="9">
        <f t="shared" si="3"/>
        <v>-8.032</v>
      </c>
      <c r="K91" s="8">
        <f t="shared" si="4"/>
        <v>-7.286506581850956</v>
      </c>
    </row>
    <row r="92" spans="1:11" hidden="1" x14ac:dyDescent="0.25">
      <c r="A92" s="1">
        <v>3638</v>
      </c>
      <c r="B92" s="1">
        <v>2017</v>
      </c>
      <c r="C92" s="2" t="s">
        <v>10</v>
      </c>
      <c r="D92" s="2" t="s">
        <v>77</v>
      </c>
      <c r="E92" s="2" t="s">
        <v>2</v>
      </c>
      <c r="F92" s="1" t="s">
        <v>3</v>
      </c>
      <c r="G92" s="2" t="s">
        <v>10</v>
      </c>
      <c r="H92" s="3">
        <v>-360452</v>
      </c>
      <c r="I92" s="8">
        <f t="shared" si="5"/>
        <v>1004</v>
      </c>
      <c r="J92" s="9">
        <f t="shared" si="3"/>
        <v>-180946.90400000001</v>
      </c>
      <c r="K92" s="8">
        <f t="shared" si="4"/>
        <v>-164152.2419025838</v>
      </c>
    </row>
    <row r="93" spans="1:11" hidden="1" x14ac:dyDescent="0.25">
      <c r="A93" s="1">
        <v>3639</v>
      </c>
      <c r="B93" s="1">
        <v>2017</v>
      </c>
      <c r="C93" s="2" t="s">
        <v>11</v>
      </c>
      <c r="D93" s="2" t="s">
        <v>77</v>
      </c>
      <c r="E93" s="2" t="s">
        <v>2</v>
      </c>
      <c r="F93" s="1" t="s">
        <v>3</v>
      </c>
      <c r="G93" s="2" t="s">
        <v>11</v>
      </c>
      <c r="H93" s="3">
        <v>-1800</v>
      </c>
      <c r="I93" s="8">
        <f t="shared" si="5"/>
        <v>1004</v>
      </c>
      <c r="J93" s="9">
        <f t="shared" si="3"/>
        <v>-903.6</v>
      </c>
      <c r="K93" s="8">
        <f t="shared" si="4"/>
        <v>-819.73199045823253</v>
      </c>
    </row>
    <row r="94" spans="1:11" hidden="1" x14ac:dyDescent="0.25">
      <c r="A94" s="1">
        <v>3640</v>
      </c>
      <c r="B94" s="1">
        <v>2017</v>
      </c>
      <c r="C94" s="2" t="s">
        <v>12</v>
      </c>
      <c r="D94" s="2" t="s">
        <v>77</v>
      </c>
      <c r="E94" s="2" t="s">
        <v>2</v>
      </c>
      <c r="F94" s="1" t="s">
        <v>3</v>
      </c>
      <c r="G94" s="2" t="s">
        <v>12</v>
      </c>
      <c r="H94" s="3">
        <v>-149608</v>
      </c>
      <c r="I94" s="8">
        <f t="shared" si="5"/>
        <v>1004</v>
      </c>
      <c r="J94" s="9">
        <f t="shared" si="3"/>
        <v>-75103.216</v>
      </c>
      <c r="K94" s="8">
        <f t="shared" si="4"/>
        <v>-68132.479793597362</v>
      </c>
    </row>
    <row r="95" spans="1:11" hidden="1" x14ac:dyDescent="0.25">
      <c r="A95" s="1">
        <v>3641</v>
      </c>
      <c r="B95" s="1">
        <v>2017</v>
      </c>
      <c r="C95" s="2" t="s">
        <v>13</v>
      </c>
      <c r="D95" s="2" t="s">
        <v>77</v>
      </c>
      <c r="E95" s="2" t="s">
        <v>2</v>
      </c>
      <c r="F95" s="1" t="s">
        <v>3</v>
      </c>
      <c r="G95" s="2" t="s">
        <v>13</v>
      </c>
      <c r="H95" s="3">
        <v>-500674</v>
      </c>
      <c r="I95" s="8">
        <f t="shared" si="5"/>
        <v>1004</v>
      </c>
      <c r="J95" s="9">
        <f t="shared" si="3"/>
        <v>-251338.348</v>
      </c>
      <c r="K95" s="8">
        <f t="shared" si="4"/>
        <v>-228010.27477260283</v>
      </c>
    </row>
    <row r="96" spans="1:11" hidden="1" x14ac:dyDescent="0.25">
      <c r="A96" s="1">
        <v>3642</v>
      </c>
      <c r="B96" s="1">
        <v>2017</v>
      </c>
      <c r="C96" s="2" t="s">
        <v>14</v>
      </c>
      <c r="D96" s="2" t="s">
        <v>77</v>
      </c>
      <c r="E96" s="2" t="s">
        <v>2</v>
      </c>
      <c r="F96" s="1" t="s">
        <v>3</v>
      </c>
      <c r="G96" s="2" t="s">
        <v>14</v>
      </c>
      <c r="H96" s="3">
        <v>-7135</v>
      </c>
      <c r="I96" s="8">
        <f t="shared" si="5"/>
        <v>1004</v>
      </c>
      <c r="J96" s="9">
        <f t="shared" si="3"/>
        <v>-3581.77</v>
      </c>
      <c r="K96" s="8">
        <f t="shared" si="4"/>
        <v>-3249.3265288441607</v>
      </c>
    </row>
    <row r="97" spans="1:11" hidden="1" x14ac:dyDescent="0.25">
      <c r="A97" s="1">
        <v>3643</v>
      </c>
      <c r="B97" s="1">
        <v>2017</v>
      </c>
      <c r="C97" s="2" t="s">
        <v>15</v>
      </c>
      <c r="D97" s="2" t="s">
        <v>77</v>
      </c>
      <c r="E97" s="2" t="s">
        <v>2</v>
      </c>
      <c r="F97" s="1" t="s">
        <v>3</v>
      </c>
      <c r="G97" s="2" t="s">
        <v>15</v>
      </c>
      <c r="H97" s="3">
        <v>-10667</v>
      </c>
      <c r="I97" s="8">
        <f t="shared" si="5"/>
        <v>1004</v>
      </c>
      <c r="J97" s="9">
        <f t="shared" si="3"/>
        <v>-5354.8339999999998</v>
      </c>
      <c r="K97" s="8">
        <f t="shared" si="4"/>
        <v>-4857.8228567877595</v>
      </c>
    </row>
    <row r="98" spans="1:11" hidden="1" x14ac:dyDescent="0.25">
      <c r="A98" s="1">
        <v>3644</v>
      </c>
      <c r="B98" s="1">
        <v>2017</v>
      </c>
      <c r="C98" s="2" t="s">
        <v>16</v>
      </c>
      <c r="D98" s="2" t="s">
        <v>77</v>
      </c>
      <c r="E98" s="2" t="s">
        <v>2</v>
      </c>
      <c r="F98" s="1" t="s">
        <v>3</v>
      </c>
      <c r="G98" s="2" t="s">
        <v>16</v>
      </c>
      <c r="H98" s="3">
        <v>-19000</v>
      </c>
      <c r="I98" s="8">
        <f t="shared" si="5"/>
        <v>1004</v>
      </c>
      <c r="J98" s="9">
        <f t="shared" si="3"/>
        <v>-9538</v>
      </c>
      <c r="K98" s="8">
        <f t="shared" si="4"/>
        <v>-8652.7265659480108</v>
      </c>
    </row>
    <row r="99" spans="1:11" hidden="1" x14ac:dyDescent="0.25">
      <c r="A99" s="1">
        <v>3646</v>
      </c>
      <c r="B99" s="1">
        <v>2017</v>
      </c>
      <c r="C99" s="2" t="s">
        <v>17</v>
      </c>
      <c r="D99" s="2" t="s">
        <v>77</v>
      </c>
      <c r="E99" s="2" t="s">
        <v>2</v>
      </c>
      <c r="F99" s="1" t="s">
        <v>3</v>
      </c>
      <c r="G99" s="2" t="s">
        <v>17</v>
      </c>
      <c r="H99" s="3">
        <v>-6630</v>
      </c>
      <c r="I99" s="8">
        <f t="shared" si="5"/>
        <v>1004</v>
      </c>
      <c r="J99" s="9">
        <f t="shared" si="3"/>
        <v>-3328.26</v>
      </c>
      <c r="K99" s="8">
        <f t="shared" si="4"/>
        <v>-3019.3461648544899</v>
      </c>
    </row>
    <row r="100" spans="1:11" hidden="1" x14ac:dyDescent="0.25">
      <c r="A100" s="1">
        <v>3647</v>
      </c>
      <c r="B100" s="1">
        <v>2017</v>
      </c>
      <c r="C100" s="2" t="s">
        <v>18</v>
      </c>
      <c r="D100" s="2" t="s">
        <v>77</v>
      </c>
      <c r="E100" s="2" t="s">
        <v>2</v>
      </c>
      <c r="F100" s="1" t="s">
        <v>3</v>
      </c>
      <c r="G100" s="2" t="s">
        <v>18</v>
      </c>
      <c r="H100" s="3">
        <v>-282299</v>
      </c>
      <c r="I100" s="8">
        <f t="shared" si="5"/>
        <v>1004</v>
      </c>
      <c r="J100" s="9">
        <f t="shared" si="3"/>
        <v>-141714.098</v>
      </c>
      <c r="K100" s="8">
        <f t="shared" si="4"/>
        <v>-128560.84509687143</v>
      </c>
    </row>
    <row r="101" spans="1:11" hidden="1" x14ac:dyDescent="0.25">
      <c r="A101" s="1">
        <v>3648</v>
      </c>
      <c r="B101" s="1">
        <v>2017</v>
      </c>
      <c r="C101" s="2" t="s">
        <v>19</v>
      </c>
      <c r="D101" s="2" t="s">
        <v>77</v>
      </c>
      <c r="E101" s="2" t="s">
        <v>2</v>
      </c>
      <c r="F101" s="1" t="s">
        <v>3</v>
      </c>
      <c r="G101" s="2" t="s">
        <v>19</v>
      </c>
      <c r="H101" s="3">
        <v>-100</v>
      </c>
      <c r="I101" s="8">
        <f t="shared" si="5"/>
        <v>1004</v>
      </c>
      <c r="J101" s="9">
        <f t="shared" si="3"/>
        <v>-50.2</v>
      </c>
      <c r="K101" s="8">
        <f t="shared" si="4"/>
        <v>-45.540666136568476</v>
      </c>
    </row>
    <row r="102" spans="1:11" hidden="1" x14ac:dyDescent="0.25">
      <c r="A102" s="1">
        <v>3649</v>
      </c>
      <c r="B102" s="1">
        <v>2017</v>
      </c>
      <c r="C102" s="2" t="s">
        <v>78</v>
      </c>
      <c r="D102" s="2" t="s">
        <v>77</v>
      </c>
      <c r="E102" s="2" t="s">
        <v>2</v>
      </c>
      <c r="F102" s="1" t="s">
        <v>3</v>
      </c>
      <c r="G102" s="2" t="s">
        <v>78</v>
      </c>
      <c r="H102" s="3">
        <v>-296</v>
      </c>
      <c r="I102" s="8">
        <f t="shared" si="5"/>
        <v>1004</v>
      </c>
      <c r="J102" s="9">
        <f t="shared" si="3"/>
        <v>-148.59200000000001</v>
      </c>
      <c r="K102" s="8">
        <f t="shared" si="4"/>
        <v>-134.80037176424267</v>
      </c>
    </row>
    <row r="103" spans="1:11" hidden="1" x14ac:dyDescent="0.25">
      <c r="A103" s="1">
        <v>3650</v>
      </c>
      <c r="B103" s="1">
        <v>2017</v>
      </c>
      <c r="C103" s="2" t="s">
        <v>20</v>
      </c>
      <c r="D103" s="2" t="s">
        <v>77</v>
      </c>
      <c r="E103" s="2" t="s">
        <v>2</v>
      </c>
      <c r="F103" s="1" t="s">
        <v>3</v>
      </c>
      <c r="G103" s="2" t="s">
        <v>20</v>
      </c>
      <c r="H103" s="3">
        <v>-78569</v>
      </c>
      <c r="I103" s="8">
        <f t="shared" si="5"/>
        <v>1004</v>
      </c>
      <c r="J103" s="9">
        <f t="shared" si="3"/>
        <v>-39441.637999999999</v>
      </c>
      <c r="K103" s="8">
        <f t="shared" si="4"/>
        <v>-35780.845976840486</v>
      </c>
    </row>
    <row r="104" spans="1:11" hidden="1" x14ac:dyDescent="0.25">
      <c r="A104" s="1">
        <v>3651</v>
      </c>
      <c r="B104" s="1">
        <v>2017</v>
      </c>
      <c r="C104" s="2" t="s">
        <v>21</v>
      </c>
      <c r="D104" s="2" t="s">
        <v>77</v>
      </c>
      <c r="E104" s="2" t="s">
        <v>2</v>
      </c>
      <c r="F104" s="1" t="s">
        <v>3</v>
      </c>
      <c r="G104" s="2" t="s">
        <v>21</v>
      </c>
      <c r="H104" s="3">
        <v>-109008</v>
      </c>
      <c r="I104" s="8">
        <f t="shared" si="5"/>
        <v>1004</v>
      </c>
      <c r="J104" s="9">
        <f t="shared" si="3"/>
        <v>-54722.016000000003</v>
      </c>
      <c r="K104" s="8">
        <f t="shared" si="4"/>
        <v>-49642.969342150558</v>
      </c>
    </row>
    <row r="105" spans="1:11" hidden="1" x14ac:dyDescent="0.25">
      <c r="A105" s="1">
        <v>3652</v>
      </c>
      <c r="B105" s="1">
        <v>2017</v>
      </c>
      <c r="C105" s="2" t="s">
        <v>22</v>
      </c>
      <c r="D105" s="2" t="s">
        <v>77</v>
      </c>
      <c r="E105" s="2" t="s">
        <v>2</v>
      </c>
      <c r="F105" s="1" t="s">
        <v>3</v>
      </c>
      <c r="G105" s="2" t="s">
        <v>22</v>
      </c>
      <c r="H105" s="3">
        <v>-31</v>
      </c>
      <c r="I105" s="8">
        <f t="shared" si="5"/>
        <v>1004</v>
      </c>
      <c r="J105" s="9">
        <f t="shared" si="3"/>
        <v>-15.561999999999999</v>
      </c>
      <c r="K105" s="8">
        <f t="shared" si="4"/>
        <v>-14.117606502336226</v>
      </c>
    </row>
    <row r="106" spans="1:11" hidden="1" x14ac:dyDescent="0.25">
      <c r="A106" s="1">
        <v>3653</v>
      </c>
      <c r="B106" s="1">
        <v>2017</v>
      </c>
      <c r="C106" s="2" t="s">
        <v>23</v>
      </c>
      <c r="D106" s="2" t="s">
        <v>77</v>
      </c>
      <c r="E106" s="2" t="s">
        <v>2</v>
      </c>
      <c r="F106" s="1" t="s">
        <v>3</v>
      </c>
      <c r="G106" s="2" t="s">
        <v>23</v>
      </c>
      <c r="H106" s="3">
        <v>-205</v>
      </c>
      <c r="I106" s="8">
        <f t="shared" si="5"/>
        <v>1004</v>
      </c>
      <c r="J106" s="9">
        <f t="shared" si="3"/>
        <v>-102.91</v>
      </c>
      <c r="K106" s="8">
        <f t="shared" si="4"/>
        <v>-93.358365579965366</v>
      </c>
    </row>
    <row r="107" spans="1:11" hidden="1" x14ac:dyDescent="0.25">
      <c r="A107" s="1">
        <v>3654</v>
      </c>
      <c r="B107" s="1">
        <v>2017</v>
      </c>
      <c r="C107" s="2" t="s">
        <v>24</v>
      </c>
      <c r="D107" s="2" t="s">
        <v>77</v>
      </c>
      <c r="E107" s="2" t="s">
        <v>2</v>
      </c>
      <c r="F107" s="1" t="s">
        <v>3</v>
      </c>
      <c r="G107" s="2" t="s">
        <v>24</v>
      </c>
      <c r="H107" s="3">
        <v>-370786</v>
      </c>
      <c r="I107" s="8">
        <f t="shared" si="5"/>
        <v>1004</v>
      </c>
      <c r="J107" s="9">
        <f t="shared" si="3"/>
        <v>-186134.57199999999</v>
      </c>
      <c r="K107" s="8">
        <f t="shared" si="4"/>
        <v>-168858.41434113678</v>
      </c>
    </row>
    <row r="108" spans="1:11" hidden="1" x14ac:dyDescent="0.25">
      <c r="A108" s="1">
        <v>3655</v>
      </c>
      <c r="B108" s="1">
        <v>2017</v>
      </c>
      <c r="C108" s="2" t="s">
        <v>25</v>
      </c>
      <c r="D108" s="2" t="s">
        <v>77</v>
      </c>
      <c r="E108" s="2" t="s">
        <v>2</v>
      </c>
      <c r="F108" s="1" t="s">
        <v>3</v>
      </c>
      <c r="G108" s="2" t="s">
        <v>25</v>
      </c>
      <c r="H108" s="3">
        <v>-26129</v>
      </c>
      <c r="I108" s="8">
        <f t="shared" si="5"/>
        <v>1004</v>
      </c>
      <c r="J108" s="9">
        <f t="shared" si="3"/>
        <v>-13116.758</v>
      </c>
      <c r="K108" s="8">
        <f t="shared" si="4"/>
        <v>-11899.320654823976</v>
      </c>
    </row>
    <row r="109" spans="1:11" hidden="1" x14ac:dyDescent="0.25">
      <c r="A109" s="1">
        <v>3656</v>
      </c>
      <c r="B109" s="1">
        <v>2017</v>
      </c>
      <c r="C109" s="2" t="s">
        <v>26</v>
      </c>
      <c r="D109" s="2" t="s">
        <v>77</v>
      </c>
      <c r="E109" s="2" t="s">
        <v>2</v>
      </c>
      <c r="F109" s="1" t="s">
        <v>3</v>
      </c>
      <c r="G109" s="2" t="s">
        <v>26</v>
      </c>
      <c r="H109" s="3">
        <v>-30800</v>
      </c>
      <c r="I109" s="8">
        <f t="shared" si="5"/>
        <v>1004</v>
      </c>
      <c r="J109" s="9">
        <f t="shared" si="3"/>
        <v>-15461.6</v>
      </c>
      <c r="K109" s="8">
        <f t="shared" si="4"/>
        <v>-14026.525170063091</v>
      </c>
    </row>
    <row r="110" spans="1:11" hidden="1" x14ac:dyDescent="0.25">
      <c r="A110" s="1">
        <v>3657</v>
      </c>
      <c r="B110" s="1">
        <v>2017</v>
      </c>
      <c r="C110" s="2" t="s">
        <v>27</v>
      </c>
      <c r="D110" s="2" t="s">
        <v>77</v>
      </c>
      <c r="E110" s="2" t="s">
        <v>2</v>
      </c>
      <c r="F110" s="1" t="s">
        <v>3</v>
      </c>
      <c r="G110" s="2" t="s">
        <v>27</v>
      </c>
      <c r="H110" s="3">
        <v>-242497</v>
      </c>
      <c r="I110" s="8">
        <f t="shared" si="5"/>
        <v>1004</v>
      </c>
      <c r="J110" s="9">
        <f t="shared" si="3"/>
        <v>-121733.49400000001</v>
      </c>
      <c r="K110" s="8">
        <f t="shared" si="4"/>
        <v>-110434.74916119446</v>
      </c>
    </row>
    <row r="111" spans="1:11" hidden="1" x14ac:dyDescent="0.25">
      <c r="A111" s="1">
        <v>3658</v>
      </c>
      <c r="B111" s="1">
        <v>2017</v>
      </c>
      <c r="C111" s="2" t="s">
        <v>79</v>
      </c>
      <c r="D111" s="2" t="s">
        <v>77</v>
      </c>
      <c r="E111" s="2" t="s">
        <v>2</v>
      </c>
      <c r="F111" s="1" t="s">
        <v>3</v>
      </c>
      <c r="G111" s="2" t="s">
        <v>79</v>
      </c>
      <c r="H111" s="3">
        <v>-211</v>
      </c>
      <c r="I111" s="8">
        <f t="shared" si="5"/>
        <v>1004</v>
      </c>
      <c r="J111" s="9">
        <f t="shared" si="3"/>
        <v>-105.922</v>
      </c>
      <c r="K111" s="8">
        <f t="shared" si="4"/>
        <v>-96.09080554815948</v>
      </c>
    </row>
    <row r="112" spans="1:11" hidden="1" x14ac:dyDescent="0.25">
      <c r="A112" s="1">
        <v>3659</v>
      </c>
      <c r="B112" s="1">
        <v>2017</v>
      </c>
      <c r="C112" s="2" t="s">
        <v>80</v>
      </c>
      <c r="D112" s="2" t="s">
        <v>77</v>
      </c>
      <c r="E112" s="2" t="s">
        <v>2</v>
      </c>
      <c r="F112" s="1" t="s">
        <v>3</v>
      </c>
      <c r="G112" s="2" t="s">
        <v>80</v>
      </c>
      <c r="H112" s="3">
        <v>-16</v>
      </c>
      <c r="I112" s="8">
        <f t="shared" si="5"/>
        <v>1004</v>
      </c>
      <c r="J112" s="9">
        <f t="shared" si="3"/>
        <v>-8.032</v>
      </c>
      <c r="K112" s="8">
        <f t="shared" si="4"/>
        <v>-7.286506581850956</v>
      </c>
    </row>
    <row r="113" spans="1:11" hidden="1" x14ac:dyDescent="0.25">
      <c r="A113" s="1">
        <v>3660</v>
      </c>
      <c r="B113" s="1">
        <v>2017</v>
      </c>
      <c r="C113" s="2" t="s">
        <v>28</v>
      </c>
      <c r="D113" s="2" t="s">
        <v>77</v>
      </c>
      <c r="E113" s="2" t="s">
        <v>2</v>
      </c>
      <c r="F113" s="1" t="s">
        <v>3</v>
      </c>
      <c r="G113" s="2" t="s">
        <v>28</v>
      </c>
      <c r="H113" s="3">
        <v>-388</v>
      </c>
      <c r="I113" s="8">
        <f t="shared" si="5"/>
        <v>1004</v>
      </c>
      <c r="J113" s="9">
        <f t="shared" si="3"/>
        <v>-194.77600000000001</v>
      </c>
      <c r="K113" s="8">
        <f t="shared" si="4"/>
        <v>-176.69778460988567</v>
      </c>
    </row>
    <row r="114" spans="1:11" hidden="1" x14ac:dyDescent="0.25">
      <c r="A114" s="1">
        <v>3661</v>
      </c>
      <c r="B114" s="1">
        <v>2017</v>
      </c>
      <c r="C114" s="2" t="s">
        <v>29</v>
      </c>
      <c r="D114" s="2" t="s">
        <v>77</v>
      </c>
      <c r="E114" s="2" t="s">
        <v>2</v>
      </c>
      <c r="F114" s="1" t="s">
        <v>3</v>
      </c>
      <c r="G114" s="2" t="s">
        <v>29</v>
      </c>
      <c r="H114" s="3">
        <v>-19661</v>
      </c>
      <c r="I114" s="8">
        <f t="shared" si="5"/>
        <v>1004</v>
      </c>
      <c r="J114" s="9">
        <f t="shared" si="3"/>
        <v>-9869.8220000000001</v>
      </c>
      <c r="K114" s="8">
        <f t="shared" si="4"/>
        <v>-8953.7503691107268</v>
      </c>
    </row>
    <row r="115" spans="1:11" hidden="1" x14ac:dyDescent="0.25">
      <c r="A115" s="1">
        <v>3662</v>
      </c>
      <c r="B115" s="1">
        <v>2017</v>
      </c>
      <c r="C115" s="2" t="s">
        <v>30</v>
      </c>
      <c r="D115" s="2" t="s">
        <v>77</v>
      </c>
      <c r="E115" s="2" t="s">
        <v>2</v>
      </c>
      <c r="F115" s="1" t="s">
        <v>3</v>
      </c>
      <c r="G115" s="2" t="s">
        <v>30</v>
      </c>
      <c r="H115" s="3">
        <v>-9135</v>
      </c>
      <c r="I115" s="8">
        <f t="shared" si="5"/>
        <v>1004</v>
      </c>
      <c r="J115" s="9">
        <f t="shared" si="3"/>
        <v>-4585.7700000000004</v>
      </c>
      <c r="K115" s="8">
        <f t="shared" si="4"/>
        <v>-4160.13985157553</v>
      </c>
    </row>
    <row r="116" spans="1:11" hidden="1" x14ac:dyDescent="0.25">
      <c r="A116" s="1">
        <v>3663</v>
      </c>
      <c r="B116" s="1">
        <v>2017</v>
      </c>
      <c r="C116" s="2" t="s">
        <v>31</v>
      </c>
      <c r="D116" s="2" t="s">
        <v>77</v>
      </c>
      <c r="E116" s="2" t="s">
        <v>2</v>
      </c>
      <c r="F116" s="1" t="s">
        <v>3</v>
      </c>
      <c r="G116" s="2" t="s">
        <v>31</v>
      </c>
      <c r="H116" s="3">
        <v>-283098</v>
      </c>
      <c r="I116" s="8">
        <f t="shared" si="5"/>
        <v>1004</v>
      </c>
      <c r="J116" s="9">
        <f t="shared" si="3"/>
        <v>-142115.196</v>
      </c>
      <c r="K116" s="8">
        <f t="shared" si="4"/>
        <v>-128924.71501930262</v>
      </c>
    </row>
    <row r="117" spans="1:11" hidden="1" x14ac:dyDescent="0.25">
      <c r="A117" s="1">
        <v>3664</v>
      </c>
      <c r="B117" s="1">
        <v>2017</v>
      </c>
      <c r="C117" s="2" t="s">
        <v>32</v>
      </c>
      <c r="D117" s="2" t="s">
        <v>77</v>
      </c>
      <c r="E117" s="2" t="s">
        <v>2</v>
      </c>
      <c r="F117" s="1" t="s">
        <v>3</v>
      </c>
      <c r="G117" s="2" t="s">
        <v>32</v>
      </c>
      <c r="H117" s="3">
        <v>-162211</v>
      </c>
      <c r="I117" s="8">
        <f t="shared" si="5"/>
        <v>1004</v>
      </c>
      <c r="J117" s="9">
        <f t="shared" si="3"/>
        <v>-81429.922000000006</v>
      </c>
      <c r="K117" s="8">
        <f t="shared" si="4"/>
        <v>-73871.96994678909</v>
      </c>
    </row>
    <row r="118" spans="1:11" hidden="1" x14ac:dyDescent="0.25">
      <c r="A118" s="1">
        <v>3665</v>
      </c>
      <c r="B118" s="1">
        <v>2017</v>
      </c>
      <c r="C118" s="2" t="s">
        <v>33</v>
      </c>
      <c r="D118" s="2" t="s">
        <v>77</v>
      </c>
      <c r="E118" s="2" t="s">
        <v>2</v>
      </c>
      <c r="F118" s="1" t="s">
        <v>3</v>
      </c>
      <c r="G118" s="2" t="s">
        <v>33</v>
      </c>
      <c r="H118" s="3">
        <v>-368833</v>
      </c>
      <c r="I118" s="8">
        <f t="shared" si="5"/>
        <v>1004</v>
      </c>
      <c r="J118" s="9">
        <f t="shared" si="3"/>
        <v>-185154.166</v>
      </c>
      <c r="K118" s="8">
        <f t="shared" si="4"/>
        <v>-167969.0051314896</v>
      </c>
    </row>
    <row r="119" spans="1:11" hidden="1" x14ac:dyDescent="0.25">
      <c r="A119" s="1">
        <v>3666</v>
      </c>
      <c r="B119" s="1">
        <v>2017</v>
      </c>
      <c r="C119" s="2" t="s">
        <v>34</v>
      </c>
      <c r="D119" s="2" t="s">
        <v>77</v>
      </c>
      <c r="E119" s="2" t="s">
        <v>2</v>
      </c>
      <c r="F119" s="1" t="s">
        <v>3</v>
      </c>
      <c r="G119" s="2" t="s">
        <v>34</v>
      </c>
      <c r="H119" s="3">
        <v>-57836</v>
      </c>
      <c r="I119" s="8">
        <f t="shared" si="5"/>
        <v>1004</v>
      </c>
      <c r="J119" s="9">
        <f t="shared" si="3"/>
        <v>-29033.671999999999</v>
      </c>
      <c r="K119" s="8">
        <f t="shared" si="4"/>
        <v>-26338.899666745743</v>
      </c>
    </row>
    <row r="120" spans="1:11" hidden="1" x14ac:dyDescent="0.25">
      <c r="A120" s="1">
        <v>3667</v>
      </c>
      <c r="B120" s="1">
        <v>2017</v>
      </c>
      <c r="C120" s="2" t="s">
        <v>35</v>
      </c>
      <c r="D120" s="2" t="s">
        <v>77</v>
      </c>
      <c r="E120" s="2" t="s">
        <v>2</v>
      </c>
      <c r="F120" s="1" t="s">
        <v>3</v>
      </c>
      <c r="G120" s="2" t="s">
        <v>35</v>
      </c>
      <c r="H120" s="3">
        <v>-13816</v>
      </c>
      <c r="I120" s="8">
        <f t="shared" si="5"/>
        <v>1004</v>
      </c>
      <c r="J120" s="9">
        <f t="shared" si="3"/>
        <v>-6935.6319999999996</v>
      </c>
      <c r="K120" s="8">
        <f t="shared" si="4"/>
        <v>-6291.8984334283005</v>
      </c>
    </row>
    <row r="121" spans="1:11" hidden="1" x14ac:dyDescent="0.25">
      <c r="A121" s="1">
        <v>3668</v>
      </c>
      <c r="B121" s="1">
        <v>2017</v>
      </c>
      <c r="C121" s="2" t="s">
        <v>36</v>
      </c>
      <c r="D121" s="2" t="s">
        <v>77</v>
      </c>
      <c r="E121" s="2" t="s">
        <v>2</v>
      </c>
      <c r="F121" s="1" t="s">
        <v>3</v>
      </c>
      <c r="G121" s="2" t="s">
        <v>36</v>
      </c>
      <c r="H121" s="3">
        <v>-29</v>
      </c>
      <c r="I121" s="8">
        <f t="shared" si="5"/>
        <v>1004</v>
      </c>
      <c r="J121" s="9">
        <f t="shared" si="3"/>
        <v>-14.558</v>
      </c>
      <c r="K121" s="8">
        <f t="shared" si="4"/>
        <v>-13.206793179604857</v>
      </c>
    </row>
    <row r="122" spans="1:11" hidden="1" x14ac:dyDescent="0.25">
      <c r="A122" s="1">
        <v>3669</v>
      </c>
      <c r="B122" s="1">
        <v>2017</v>
      </c>
      <c r="C122" s="2" t="s">
        <v>37</v>
      </c>
      <c r="D122" s="2" t="s">
        <v>77</v>
      </c>
      <c r="E122" s="2" t="s">
        <v>2</v>
      </c>
      <c r="F122" s="1" t="s">
        <v>3</v>
      </c>
      <c r="G122" s="2" t="s">
        <v>37</v>
      </c>
      <c r="H122" s="3">
        <v>-28737</v>
      </c>
      <c r="I122" s="8">
        <f t="shared" si="5"/>
        <v>1004</v>
      </c>
      <c r="J122" s="9">
        <f t="shared" si="3"/>
        <v>-14425.974</v>
      </c>
      <c r="K122" s="8">
        <f t="shared" si="4"/>
        <v>-13087.021227665682</v>
      </c>
    </row>
    <row r="123" spans="1:11" hidden="1" x14ac:dyDescent="0.25">
      <c r="A123" s="1">
        <v>3670</v>
      </c>
      <c r="B123" s="1">
        <v>2017</v>
      </c>
      <c r="C123" s="2" t="s">
        <v>38</v>
      </c>
      <c r="D123" s="2" t="s">
        <v>77</v>
      </c>
      <c r="E123" s="2" t="s">
        <v>2</v>
      </c>
      <c r="F123" s="1" t="s">
        <v>3</v>
      </c>
      <c r="G123" s="2" t="s">
        <v>38</v>
      </c>
      <c r="H123" s="3">
        <v>-449480</v>
      </c>
      <c r="I123" s="8">
        <f t="shared" si="5"/>
        <v>1004</v>
      </c>
      <c r="J123" s="9">
        <f t="shared" si="3"/>
        <v>-225638.96</v>
      </c>
      <c r="K123" s="8">
        <f t="shared" si="4"/>
        <v>-204696.18615064796</v>
      </c>
    </row>
    <row r="124" spans="1:11" hidden="1" x14ac:dyDescent="0.25">
      <c r="A124" s="1">
        <v>3671</v>
      </c>
      <c r="B124" s="1">
        <v>2017</v>
      </c>
      <c r="C124" s="2" t="s">
        <v>39</v>
      </c>
      <c r="D124" s="2" t="s">
        <v>77</v>
      </c>
      <c r="E124" s="2" t="s">
        <v>2</v>
      </c>
      <c r="F124" s="1" t="s">
        <v>3</v>
      </c>
      <c r="G124" s="2" t="s">
        <v>39</v>
      </c>
      <c r="H124" s="3">
        <v>-29329</v>
      </c>
      <c r="I124" s="8">
        <f t="shared" si="5"/>
        <v>1004</v>
      </c>
      <c r="J124" s="9">
        <f t="shared" si="3"/>
        <v>-14723.157999999999</v>
      </c>
      <c r="K124" s="8">
        <f t="shared" si="4"/>
        <v>-13356.621971194169</v>
      </c>
    </row>
    <row r="125" spans="1:11" hidden="1" x14ac:dyDescent="0.25">
      <c r="A125" s="1">
        <v>3672</v>
      </c>
      <c r="B125" s="1">
        <v>2017</v>
      </c>
      <c r="C125" s="2" t="s">
        <v>40</v>
      </c>
      <c r="D125" s="2" t="s">
        <v>77</v>
      </c>
      <c r="E125" s="2" t="s">
        <v>2</v>
      </c>
      <c r="F125" s="1" t="s">
        <v>3</v>
      </c>
      <c r="G125" s="2" t="s">
        <v>40</v>
      </c>
      <c r="H125" s="3">
        <v>-28128</v>
      </c>
      <c r="I125" s="8">
        <f t="shared" si="5"/>
        <v>1004</v>
      </c>
      <c r="J125" s="9">
        <f t="shared" si="3"/>
        <v>-14120.255999999999</v>
      </c>
      <c r="K125" s="8">
        <f t="shared" si="4"/>
        <v>-12809.678570893981</v>
      </c>
    </row>
    <row r="126" spans="1:11" hidden="1" x14ac:dyDescent="0.25">
      <c r="A126" s="1">
        <v>3673</v>
      </c>
      <c r="B126" s="1">
        <v>2017</v>
      </c>
      <c r="C126" s="2" t="s">
        <v>41</v>
      </c>
      <c r="D126" s="2" t="s">
        <v>77</v>
      </c>
      <c r="E126" s="2" t="s">
        <v>2</v>
      </c>
      <c r="F126" s="1" t="s">
        <v>3</v>
      </c>
      <c r="G126" s="2" t="s">
        <v>41</v>
      </c>
      <c r="H126" s="3">
        <v>-5008</v>
      </c>
      <c r="I126" s="8">
        <f t="shared" si="5"/>
        <v>1004</v>
      </c>
      <c r="J126" s="9">
        <f t="shared" si="3"/>
        <v>-2514.0160000000001</v>
      </c>
      <c r="K126" s="8">
        <f t="shared" si="4"/>
        <v>-2280.6765601193492</v>
      </c>
    </row>
    <row r="127" spans="1:11" hidden="1" x14ac:dyDescent="0.25">
      <c r="A127" s="1">
        <v>3674</v>
      </c>
      <c r="B127" s="1">
        <v>2017</v>
      </c>
      <c r="C127" s="2" t="s">
        <v>81</v>
      </c>
      <c r="D127" s="2" t="s">
        <v>77</v>
      </c>
      <c r="E127" s="2" t="s">
        <v>2</v>
      </c>
      <c r="F127" s="1" t="s">
        <v>3</v>
      </c>
      <c r="G127" s="2" t="s">
        <v>81</v>
      </c>
      <c r="H127" s="3">
        <v>-3000</v>
      </c>
      <c r="I127" s="8">
        <f t="shared" si="5"/>
        <v>1004</v>
      </c>
      <c r="J127" s="9">
        <f t="shared" si="3"/>
        <v>-1506</v>
      </c>
      <c r="K127" s="8">
        <f t="shared" si="4"/>
        <v>-1366.2199840970543</v>
      </c>
    </row>
    <row r="128" spans="1:11" hidden="1" x14ac:dyDescent="0.25">
      <c r="A128" s="1">
        <v>3675</v>
      </c>
      <c r="B128" s="1">
        <v>2017</v>
      </c>
      <c r="C128" s="2" t="s">
        <v>42</v>
      </c>
      <c r="D128" s="2" t="s">
        <v>77</v>
      </c>
      <c r="E128" s="2" t="s">
        <v>2</v>
      </c>
      <c r="F128" s="1" t="s">
        <v>3</v>
      </c>
      <c r="G128" s="2" t="s">
        <v>42</v>
      </c>
      <c r="H128" s="3">
        <v>-98471</v>
      </c>
      <c r="I128" s="8">
        <f t="shared" si="5"/>
        <v>1004</v>
      </c>
      <c r="J128" s="9">
        <f t="shared" si="3"/>
        <v>-49432.442000000003</v>
      </c>
      <c r="K128" s="8">
        <f t="shared" si="4"/>
        <v>-44844.349351340345</v>
      </c>
    </row>
    <row r="129" spans="1:11" hidden="1" x14ac:dyDescent="0.25">
      <c r="A129" s="1">
        <v>3677</v>
      </c>
      <c r="B129" s="1">
        <v>2017</v>
      </c>
      <c r="C129" s="2" t="s">
        <v>43</v>
      </c>
      <c r="D129" s="2" t="s">
        <v>77</v>
      </c>
      <c r="E129" s="2" t="s">
        <v>2</v>
      </c>
      <c r="F129" s="1" t="s">
        <v>3</v>
      </c>
      <c r="G129" s="2" t="s">
        <v>43</v>
      </c>
      <c r="H129" s="3">
        <v>-394672</v>
      </c>
      <c r="I129" s="8">
        <f t="shared" si="5"/>
        <v>1004</v>
      </c>
      <c r="J129" s="9">
        <f t="shared" si="3"/>
        <v>-198125.34400000001</v>
      </c>
      <c r="K129" s="8">
        <f t="shared" si="4"/>
        <v>-179736.25785451752</v>
      </c>
    </row>
    <row r="130" spans="1:11" hidden="1" x14ac:dyDescent="0.25">
      <c r="A130" s="1">
        <v>3678</v>
      </c>
      <c r="B130" s="1">
        <v>2017</v>
      </c>
      <c r="C130" s="2" t="s">
        <v>44</v>
      </c>
      <c r="D130" s="2" t="s">
        <v>77</v>
      </c>
      <c r="E130" s="2" t="s">
        <v>2</v>
      </c>
      <c r="F130" s="1" t="s">
        <v>3</v>
      </c>
      <c r="G130" s="2" t="s">
        <v>44</v>
      </c>
      <c r="H130" s="3">
        <v>-54752</v>
      </c>
      <c r="I130" s="8">
        <f t="shared" si="5"/>
        <v>1004</v>
      </c>
      <c r="J130" s="9">
        <f t="shared" ref="J130:J146" si="6">(I130*H130)/2000</f>
        <v>-27485.504000000001</v>
      </c>
      <c r="K130" s="8">
        <f t="shared" ref="K130:K146" si="7">(H130*I130)/2204.623</f>
        <v>-24934.425523093971</v>
      </c>
    </row>
    <row r="131" spans="1:11" hidden="1" x14ac:dyDescent="0.25">
      <c r="A131" s="1">
        <v>3679</v>
      </c>
      <c r="B131" s="1">
        <v>2017</v>
      </c>
      <c r="C131" s="2" t="s">
        <v>45</v>
      </c>
      <c r="D131" s="2" t="s">
        <v>77</v>
      </c>
      <c r="E131" s="2" t="s">
        <v>2</v>
      </c>
      <c r="F131" s="1" t="s">
        <v>3</v>
      </c>
      <c r="G131" s="2" t="s">
        <v>45</v>
      </c>
      <c r="H131" s="3">
        <v>-258</v>
      </c>
      <c r="I131" s="8">
        <f t="shared" ref="I131:I146" si="8">T$1</f>
        <v>1004</v>
      </c>
      <c r="J131" s="9">
        <f t="shared" si="6"/>
        <v>-129.51599999999999</v>
      </c>
      <c r="K131" s="8">
        <f t="shared" si="7"/>
        <v>-117.49491863234667</v>
      </c>
    </row>
    <row r="132" spans="1:11" hidden="1" x14ac:dyDescent="0.25">
      <c r="A132" s="1">
        <v>3680</v>
      </c>
      <c r="B132" s="1">
        <v>2017</v>
      </c>
      <c r="C132" s="2" t="s">
        <v>46</v>
      </c>
      <c r="D132" s="2" t="s">
        <v>77</v>
      </c>
      <c r="E132" s="2" t="s">
        <v>2</v>
      </c>
      <c r="F132" s="1" t="s">
        <v>3</v>
      </c>
      <c r="G132" s="2" t="s">
        <v>46</v>
      </c>
      <c r="H132" s="3">
        <v>-775270</v>
      </c>
      <c r="I132" s="8">
        <f t="shared" si="8"/>
        <v>1004</v>
      </c>
      <c r="J132" s="9">
        <f t="shared" si="6"/>
        <v>-389185.54</v>
      </c>
      <c r="K132" s="8">
        <f t="shared" si="7"/>
        <v>-353063.1223569744</v>
      </c>
    </row>
    <row r="133" spans="1:11" hidden="1" x14ac:dyDescent="0.25">
      <c r="A133" s="1">
        <v>3681</v>
      </c>
      <c r="B133" s="1">
        <v>2017</v>
      </c>
      <c r="C133" s="2" t="s">
        <v>82</v>
      </c>
      <c r="D133" s="2" t="s">
        <v>77</v>
      </c>
      <c r="E133" s="2" t="s">
        <v>2</v>
      </c>
      <c r="F133" s="1" t="s">
        <v>3</v>
      </c>
      <c r="G133" s="2" t="s">
        <v>82</v>
      </c>
      <c r="H133" s="3">
        <v>-3928</v>
      </c>
      <c r="I133" s="8">
        <f t="shared" si="8"/>
        <v>1004</v>
      </c>
      <c r="J133" s="9">
        <f t="shared" si="6"/>
        <v>-1971.856</v>
      </c>
      <c r="K133" s="8">
        <f t="shared" si="7"/>
        <v>-1788.8373658444095</v>
      </c>
    </row>
    <row r="134" spans="1:11" hidden="1" x14ac:dyDescent="0.25">
      <c r="A134" s="1">
        <v>3682</v>
      </c>
      <c r="B134" s="1">
        <v>2017</v>
      </c>
      <c r="C134" s="2" t="s">
        <v>49</v>
      </c>
      <c r="D134" s="2" t="s">
        <v>83</v>
      </c>
      <c r="E134" s="2" t="s">
        <v>2</v>
      </c>
      <c r="F134" s="1" t="s">
        <v>3</v>
      </c>
      <c r="G134" s="2" t="s">
        <v>49</v>
      </c>
      <c r="H134" s="3">
        <v>5905.067</v>
      </c>
      <c r="I134" s="8">
        <f t="shared" si="8"/>
        <v>1004</v>
      </c>
      <c r="J134" s="9">
        <f t="shared" si="6"/>
        <v>2964.3436340000003</v>
      </c>
      <c r="K134" s="8">
        <f t="shared" si="7"/>
        <v>2689.2068476106801</v>
      </c>
    </row>
    <row r="135" spans="1:11" hidden="1" x14ac:dyDescent="0.25">
      <c r="A135" s="1">
        <v>3683</v>
      </c>
      <c r="B135" s="1">
        <v>2017</v>
      </c>
      <c r="C135" s="2" t="s">
        <v>51</v>
      </c>
      <c r="D135" s="2" t="s">
        <v>83</v>
      </c>
      <c r="E135" s="2" t="s">
        <v>2</v>
      </c>
      <c r="F135" s="1" t="s">
        <v>3</v>
      </c>
      <c r="G135" s="2" t="s">
        <v>51</v>
      </c>
      <c r="H135" s="3">
        <v>-66917.213000000003</v>
      </c>
      <c r="I135" s="8">
        <f t="shared" si="8"/>
        <v>1004</v>
      </c>
      <c r="J135" s="9">
        <f t="shared" si="6"/>
        <v>-33592.440925999996</v>
      </c>
      <c r="K135" s="8">
        <f t="shared" si="7"/>
        <v>-30474.544560226397</v>
      </c>
    </row>
    <row r="136" spans="1:11" x14ac:dyDescent="0.25">
      <c r="A136" s="1">
        <v>3684</v>
      </c>
      <c r="B136" s="1">
        <v>2017</v>
      </c>
      <c r="C136" s="2" t="s">
        <v>52</v>
      </c>
      <c r="D136" s="2" t="s">
        <v>83</v>
      </c>
      <c r="E136" s="2" t="s">
        <v>2</v>
      </c>
      <c r="F136" s="1" t="s">
        <v>3</v>
      </c>
      <c r="G136" s="2" t="s">
        <v>52</v>
      </c>
      <c r="H136" s="3">
        <v>-12822.23</v>
      </c>
      <c r="I136" s="8">
        <f t="shared" si="8"/>
        <v>1004</v>
      </c>
      <c r="J136" s="9">
        <f t="shared" si="6"/>
        <v>-6436.7594600000002</v>
      </c>
      <c r="K136" s="8">
        <f t="shared" si="7"/>
        <v>-5839.3289555629235</v>
      </c>
    </row>
    <row r="137" spans="1:11" x14ac:dyDescent="0.25">
      <c r="A137" s="1">
        <v>3685</v>
      </c>
      <c r="B137" s="1">
        <v>2017</v>
      </c>
      <c r="C137" s="2" t="s">
        <v>53</v>
      </c>
      <c r="D137" s="2" t="s">
        <v>83</v>
      </c>
      <c r="E137" s="2" t="s">
        <v>2</v>
      </c>
      <c r="F137" s="1" t="s">
        <v>3</v>
      </c>
      <c r="G137" s="2" t="s">
        <v>53</v>
      </c>
      <c r="H137" s="3">
        <v>-32912.249000000003</v>
      </c>
      <c r="I137" s="8">
        <f t="shared" si="8"/>
        <v>1004</v>
      </c>
      <c r="J137" s="9">
        <f t="shared" si="6"/>
        <v>-16521.948998</v>
      </c>
      <c r="K137" s="8">
        <f t="shared" si="7"/>
        <v>-14988.457435126098</v>
      </c>
    </row>
    <row r="138" spans="1:11" x14ac:dyDescent="0.25">
      <c r="A138" s="1">
        <v>3686</v>
      </c>
      <c r="B138" s="1">
        <v>2017</v>
      </c>
      <c r="C138" s="2" t="s">
        <v>55</v>
      </c>
      <c r="D138" s="2" t="s">
        <v>83</v>
      </c>
      <c r="E138" s="2" t="s">
        <v>2</v>
      </c>
      <c r="F138" s="1" t="s">
        <v>3</v>
      </c>
      <c r="G138" s="2" t="s">
        <v>55</v>
      </c>
      <c r="H138" s="3">
        <v>-27333.734</v>
      </c>
      <c r="I138" s="8">
        <f t="shared" si="8"/>
        <v>1004</v>
      </c>
      <c r="J138" s="9">
        <f t="shared" si="6"/>
        <v>-13721.534468</v>
      </c>
      <c r="K138" s="8">
        <f t="shared" si="7"/>
        <v>-12447.964543597704</v>
      </c>
    </row>
    <row r="139" spans="1:11" x14ac:dyDescent="0.25">
      <c r="A139" s="1">
        <v>3687</v>
      </c>
      <c r="B139" s="1">
        <v>2017</v>
      </c>
      <c r="C139" s="2" t="s">
        <v>56</v>
      </c>
      <c r="D139" s="2" t="s">
        <v>83</v>
      </c>
      <c r="E139" s="2" t="s">
        <v>2</v>
      </c>
      <c r="F139" s="1" t="s">
        <v>3</v>
      </c>
      <c r="G139" s="2" t="s">
        <v>56</v>
      </c>
      <c r="H139" s="3">
        <v>-4299.5050000000001</v>
      </c>
      <c r="I139" s="8">
        <f t="shared" si="8"/>
        <v>1004</v>
      </c>
      <c r="J139" s="9">
        <f t="shared" si="6"/>
        <v>-2158.3515100000004</v>
      </c>
      <c r="K139" s="8">
        <f t="shared" si="7"/>
        <v>-1958.0232175750687</v>
      </c>
    </row>
    <row r="140" spans="1:11" x14ac:dyDescent="0.25">
      <c r="A140" s="1">
        <v>3688</v>
      </c>
      <c r="B140" s="1">
        <v>2017</v>
      </c>
      <c r="C140" s="2" t="s">
        <v>57</v>
      </c>
      <c r="D140" s="2" t="s">
        <v>83</v>
      </c>
      <c r="E140" s="2" t="s">
        <v>2</v>
      </c>
      <c r="F140" s="1" t="s">
        <v>3</v>
      </c>
      <c r="G140" s="2" t="s">
        <v>57</v>
      </c>
      <c r="H140" s="3">
        <v>-84238.312000000005</v>
      </c>
      <c r="I140" s="8">
        <f t="shared" si="8"/>
        <v>1004</v>
      </c>
      <c r="J140" s="9">
        <f t="shared" si="6"/>
        <v>-42287.632624000005</v>
      </c>
      <c r="K140" s="8">
        <f t="shared" si="7"/>
        <v>-38362.688427000903</v>
      </c>
    </row>
    <row r="141" spans="1:11" hidden="1" x14ac:dyDescent="0.25">
      <c r="A141" s="1">
        <v>3689</v>
      </c>
      <c r="B141" s="1">
        <v>2017</v>
      </c>
      <c r="C141" s="2" t="s">
        <v>59</v>
      </c>
      <c r="D141" s="2" t="s">
        <v>83</v>
      </c>
      <c r="E141" s="2" t="s">
        <v>2</v>
      </c>
      <c r="F141" s="1" t="s">
        <v>3</v>
      </c>
      <c r="G141" s="2" t="s">
        <v>59</v>
      </c>
      <c r="H141" s="3">
        <v>-142281.611</v>
      </c>
      <c r="I141" s="8">
        <f t="shared" si="8"/>
        <v>1004</v>
      </c>
      <c r="J141" s="9">
        <f t="shared" si="6"/>
        <v>-71425.368721999999</v>
      </c>
      <c r="K141" s="8">
        <f t="shared" si="7"/>
        <v>-64795.993439241087</v>
      </c>
    </row>
    <row r="142" spans="1:11" x14ac:dyDescent="0.25">
      <c r="A142" s="1">
        <v>3690</v>
      </c>
      <c r="B142" s="1">
        <v>2017</v>
      </c>
      <c r="C142" s="2" t="s">
        <v>60</v>
      </c>
      <c r="D142" s="2" t="s">
        <v>83</v>
      </c>
      <c r="E142" s="2" t="s">
        <v>2</v>
      </c>
      <c r="F142" s="1" t="s">
        <v>3</v>
      </c>
      <c r="G142" s="2" t="s">
        <v>60</v>
      </c>
      <c r="H142" s="3">
        <v>-50360.652999999998</v>
      </c>
      <c r="I142" s="8">
        <f t="shared" si="8"/>
        <v>1004</v>
      </c>
      <c r="J142" s="9">
        <f t="shared" si="6"/>
        <v>-25281.047805999999</v>
      </c>
      <c r="K142" s="8">
        <f t="shared" si="7"/>
        <v>-22934.576846925753</v>
      </c>
    </row>
    <row r="143" spans="1:11" x14ac:dyDescent="0.25">
      <c r="A143" s="1">
        <v>3691</v>
      </c>
      <c r="B143" s="1">
        <v>2017</v>
      </c>
      <c r="C143" s="2" t="s">
        <v>62</v>
      </c>
      <c r="D143" s="2" t="s">
        <v>83</v>
      </c>
      <c r="E143" s="2" t="s">
        <v>2</v>
      </c>
      <c r="F143" s="1" t="s">
        <v>3</v>
      </c>
      <c r="G143" s="2" t="s">
        <v>62</v>
      </c>
      <c r="H143" s="3">
        <v>-7309.4719999999998</v>
      </c>
      <c r="I143" s="8">
        <f t="shared" si="8"/>
        <v>1004</v>
      </c>
      <c r="J143" s="9">
        <f t="shared" si="6"/>
        <v>-3669.3549439999997</v>
      </c>
      <c r="K143" s="8">
        <f t="shared" si="7"/>
        <v>-3328.7822398659541</v>
      </c>
    </row>
    <row r="144" spans="1:11" x14ac:dyDescent="0.25">
      <c r="A144" s="1">
        <v>3692</v>
      </c>
      <c r="B144" s="1">
        <v>2017</v>
      </c>
      <c r="C144" s="2" t="s">
        <v>63</v>
      </c>
      <c r="D144" s="2" t="s">
        <v>83</v>
      </c>
      <c r="E144" s="2" t="s">
        <v>2</v>
      </c>
      <c r="F144" s="1" t="s">
        <v>3</v>
      </c>
      <c r="G144" s="2" t="s">
        <v>63</v>
      </c>
      <c r="H144" s="3">
        <v>-26009.092000000001</v>
      </c>
      <c r="I144" s="8">
        <f t="shared" si="8"/>
        <v>1004</v>
      </c>
      <c r="J144" s="9">
        <f t="shared" si="6"/>
        <v>-13056.564184000001</v>
      </c>
      <c r="K144" s="8">
        <f t="shared" si="7"/>
        <v>-11844.71375287294</v>
      </c>
    </row>
    <row r="145" spans="1:11" x14ac:dyDescent="0.25">
      <c r="A145" s="1">
        <v>3693</v>
      </c>
      <c r="B145" s="1">
        <v>2017</v>
      </c>
      <c r="C145" s="2" t="s">
        <v>64</v>
      </c>
      <c r="D145" s="2" t="s">
        <v>83</v>
      </c>
      <c r="E145" s="2" t="s">
        <v>2</v>
      </c>
      <c r="F145" s="1" t="s">
        <v>3</v>
      </c>
      <c r="G145" s="2" t="s">
        <v>64</v>
      </c>
      <c r="H145" s="3">
        <v>-5563.2830000000004</v>
      </c>
      <c r="I145" s="8">
        <f t="shared" si="8"/>
        <v>1004</v>
      </c>
      <c r="J145" s="9">
        <f t="shared" si="6"/>
        <v>-2792.7680660000001</v>
      </c>
      <c r="K145" s="8">
        <f t="shared" si="7"/>
        <v>-2533.5561372624707</v>
      </c>
    </row>
    <row r="146" spans="1:11" x14ac:dyDescent="0.25">
      <c r="A146" s="1">
        <v>3694</v>
      </c>
      <c r="B146" s="1">
        <v>2017</v>
      </c>
      <c r="C146" s="2" t="s">
        <v>65</v>
      </c>
      <c r="D146" s="2" t="s">
        <v>83</v>
      </c>
      <c r="E146" s="2" t="s">
        <v>2</v>
      </c>
      <c r="F146" s="1" t="s">
        <v>3</v>
      </c>
      <c r="G146" s="2" t="s">
        <v>65</v>
      </c>
      <c r="H146" s="3">
        <v>-56041.966999999997</v>
      </c>
      <c r="I146" s="8">
        <f t="shared" si="8"/>
        <v>1004</v>
      </c>
      <c r="J146" s="9">
        <f t="shared" si="6"/>
        <v>-28133.067433999997</v>
      </c>
      <c r="K146" s="8">
        <f t="shared" si="7"/>
        <v>-25521.885087835875</v>
      </c>
    </row>
    <row r="147" spans="1:11" hidden="1" x14ac:dyDescent="0.25">
      <c r="H147" s="7"/>
      <c r="I147" s="10"/>
      <c r="J147" s="10">
        <f>SUM(J2:J146)</f>
        <v>1272230.1048359985</v>
      </c>
      <c r="K147" s="10">
        <f>SUM(K2:K146)</f>
        <v>1154147.5389089179</v>
      </c>
    </row>
  </sheetData>
  <autoFilter ref="A1:K147">
    <filterColumn colId="2">
      <filters>
        <filter val="Colstrip - Energy Imbalance Market"/>
        <filter val="Encogen"/>
        <filter val="Ferndale Co-Generation"/>
        <filter val="Freddie #1"/>
        <filter val="Fredonia - Energy Imbalance Market"/>
        <filter val="Fredrickson 1 &amp; 2"/>
        <filter val="Goldendale"/>
        <filter val="Lower Baker"/>
        <filter val="Mint Farm"/>
        <filter val="Snoqualmie-Energy Imbalance Market"/>
        <filter val="Sumas"/>
        <filter val="Upper Baker"/>
        <filter val="Whitehorn 2&amp;3"/>
        <filter val="Wild Horse (W183)"/>
      </filters>
    </filterColumn>
  </autoFilter>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7"/>
  <sheetViews>
    <sheetView workbookViewId="0">
      <pane ySplit="1500" topLeftCell="A64" activePane="bottomLeft"/>
      <selection activeCell="C2" sqref="C2"/>
      <selection pane="bottomLeft" activeCell="A84" sqref="A84:A87"/>
    </sheetView>
  </sheetViews>
  <sheetFormatPr defaultColWidth="17.7109375" defaultRowHeight="15" x14ac:dyDescent="0.25"/>
  <cols>
    <col min="1" max="1" width="36.85546875" style="4" customWidth="1"/>
    <col min="2" max="2" width="17.7109375" style="4"/>
    <col min="3" max="3" width="17.7109375" style="11"/>
    <col min="4" max="16384" width="17.7109375" style="4"/>
  </cols>
  <sheetData>
    <row r="1" spans="1:9" x14ac:dyDescent="0.25">
      <c r="C1" s="11" t="s">
        <v>95</v>
      </c>
      <c r="D1" s="6">
        <v>1004</v>
      </c>
      <c r="E1" s="4" t="s">
        <v>94</v>
      </c>
    </row>
    <row r="2" spans="1:9" x14ac:dyDescent="0.25">
      <c r="C2" s="5" t="s">
        <v>115</v>
      </c>
      <c r="D2" s="6">
        <v>1092.2703265173072</v>
      </c>
      <c r="E2" s="4" t="s">
        <v>94</v>
      </c>
    </row>
    <row r="3" spans="1:9" ht="30" x14ac:dyDescent="0.25">
      <c r="A3" s="22" t="s">
        <v>96</v>
      </c>
      <c r="B3" s="4" t="s">
        <v>98</v>
      </c>
      <c r="C3" s="11" t="s">
        <v>116</v>
      </c>
      <c r="D3" s="11" t="s">
        <v>98</v>
      </c>
      <c r="E3" s="11" t="s">
        <v>119</v>
      </c>
      <c r="F3" s="4" t="s">
        <v>114</v>
      </c>
      <c r="G3" s="23" t="s">
        <v>100</v>
      </c>
      <c r="H3" s="23" t="s">
        <v>99</v>
      </c>
      <c r="I3" s="23"/>
    </row>
    <row r="4" spans="1:9" x14ac:dyDescent="0.25">
      <c r="A4" s="1" t="s">
        <v>0</v>
      </c>
      <c r="B4" s="7">
        <v>55283</v>
      </c>
      <c r="C4" s="11" t="s">
        <v>117</v>
      </c>
      <c r="D4" s="10">
        <f>GETPIVOTDATA("MWh",$A$3,"Facility / Firm","Avista Corp. WWP Division")</f>
        <v>55283</v>
      </c>
      <c r="E4" s="10">
        <f>IF(D4&gt;0,D$1,D$2)</f>
        <v>1004</v>
      </c>
      <c r="F4" s="10">
        <f>E4*D4</f>
        <v>55504132</v>
      </c>
      <c r="G4" s="10">
        <f>F4/2000</f>
        <v>27752.065999999999</v>
      </c>
      <c r="H4" s="10">
        <f>F4/2204.623</f>
        <v>25176.246460279148</v>
      </c>
      <c r="I4" s="10"/>
    </row>
    <row r="5" spans="1:9" x14ac:dyDescent="0.25">
      <c r="A5" s="1" t="s">
        <v>66</v>
      </c>
      <c r="B5" s="7">
        <v>21064.639999999999</v>
      </c>
      <c r="C5" s="11" t="s">
        <v>117</v>
      </c>
      <c r="D5" s="10">
        <f>GETPIVOTDATA("MWh",$A$3,"Facility / Firm","Avista Nichols Pump")</f>
        <v>21064.639999999999</v>
      </c>
      <c r="E5" s="10">
        <f t="shared" ref="E5:E24" si="0">IF(D5&gt;0,D$1,D$2)</f>
        <v>1004</v>
      </c>
      <c r="F5" s="10">
        <f t="shared" ref="F5:F68" si="1">E5*D5</f>
        <v>21148898.559999999</v>
      </c>
      <c r="G5" s="10">
        <f t="shared" ref="G5:G68" si="2">F5/2000</f>
        <v>10574.449279999999</v>
      </c>
      <c r="H5" s="10">
        <f t="shared" ref="H5:H68" si="3">F5/2204.623</f>
        <v>9592.9773752700567</v>
      </c>
      <c r="I5" s="10"/>
    </row>
    <row r="6" spans="1:9" x14ac:dyDescent="0.25">
      <c r="A6" s="1" t="s">
        <v>4</v>
      </c>
      <c r="B6" s="7">
        <v>-2600</v>
      </c>
      <c r="C6" s="11" t="s">
        <v>117</v>
      </c>
      <c r="D6" s="10">
        <f>GETPIVOTDATA("MWh",$A$3,"Facility / Firm","Black Hills Power")</f>
        <v>-2600</v>
      </c>
      <c r="E6" s="10">
        <f t="shared" si="0"/>
        <v>1092.2703265173072</v>
      </c>
      <c r="F6" s="10">
        <f t="shared" si="1"/>
        <v>-2839902.8489449988</v>
      </c>
      <c r="G6" s="10">
        <f t="shared" si="2"/>
        <v>-1419.9514244724994</v>
      </c>
      <c r="H6" s="10">
        <f t="shared" si="3"/>
        <v>-1288.1580428694606</v>
      </c>
      <c r="I6" s="10"/>
    </row>
    <row r="7" spans="1:9" x14ac:dyDescent="0.25">
      <c r="A7" s="1" t="s">
        <v>5</v>
      </c>
      <c r="B7" s="7">
        <v>217861</v>
      </c>
      <c r="C7" s="11" t="s">
        <v>117</v>
      </c>
      <c r="D7" s="10">
        <f>GETPIVOTDATA("MWh",$A$3,"Facility / Firm","BP Energy Co.")</f>
        <v>217861</v>
      </c>
      <c r="E7" s="10">
        <f t="shared" si="0"/>
        <v>1004</v>
      </c>
      <c r="F7" s="10">
        <f t="shared" si="1"/>
        <v>218732444</v>
      </c>
      <c r="G7" s="10">
        <f t="shared" si="2"/>
        <v>109366.22199999999</v>
      </c>
      <c r="H7" s="10">
        <f t="shared" si="3"/>
        <v>99215.350651789442</v>
      </c>
      <c r="I7" s="10"/>
    </row>
    <row r="8" spans="1:9" x14ac:dyDescent="0.25">
      <c r="A8" s="1" t="s">
        <v>6</v>
      </c>
      <c r="B8" s="7">
        <v>98054</v>
      </c>
      <c r="C8" s="11" t="s">
        <v>117</v>
      </c>
      <c r="D8" s="10">
        <f>GETPIVOTDATA("MWh",$A$3,"Facility / Firm","BPA")</f>
        <v>98054</v>
      </c>
      <c r="E8" s="10">
        <f t="shared" si="0"/>
        <v>1004</v>
      </c>
      <c r="F8" s="10">
        <f t="shared" si="1"/>
        <v>98446216</v>
      </c>
      <c r="G8" s="10">
        <f t="shared" si="2"/>
        <v>49223.108</v>
      </c>
      <c r="H8" s="10">
        <f t="shared" si="3"/>
        <v>44654.444773550851</v>
      </c>
      <c r="I8" s="10"/>
    </row>
    <row r="9" spans="1:9" x14ac:dyDescent="0.25">
      <c r="A9" s="1" t="s">
        <v>72</v>
      </c>
      <c r="B9" s="7">
        <v>22036.59</v>
      </c>
      <c r="C9" s="11" t="s">
        <v>117</v>
      </c>
      <c r="D9" s="10">
        <f>GETPIVOTDATA("MWh",$A$3,"Facility / Firm","BPA - CA Wind Integration")</f>
        <v>22036.59</v>
      </c>
      <c r="E9" s="10">
        <f t="shared" si="0"/>
        <v>1004</v>
      </c>
      <c r="F9" s="10">
        <f t="shared" si="1"/>
        <v>22124736.359999999</v>
      </c>
      <c r="G9" s="10">
        <f t="shared" si="2"/>
        <v>11062.368179999999</v>
      </c>
      <c r="H9" s="10">
        <f t="shared" si="3"/>
        <v>10035.609879784435</v>
      </c>
      <c r="I9" s="10"/>
    </row>
    <row r="10" spans="1:9" x14ac:dyDescent="0.25">
      <c r="A10" s="1" t="s">
        <v>7</v>
      </c>
      <c r="B10" s="7">
        <v>159</v>
      </c>
      <c r="C10" s="11" t="s">
        <v>117</v>
      </c>
      <c r="D10" s="10">
        <f>GETPIVOTDATA("MWh",$A$3,"Facility / Firm","BPA - NWPP Reserve Sharing Energy")</f>
        <v>159</v>
      </c>
      <c r="E10" s="10">
        <f t="shared" si="0"/>
        <v>1004</v>
      </c>
      <c r="F10" s="10">
        <f t="shared" si="1"/>
        <v>159636</v>
      </c>
      <c r="G10" s="10">
        <f t="shared" si="2"/>
        <v>79.817999999999998</v>
      </c>
      <c r="H10" s="10">
        <f t="shared" si="3"/>
        <v>72.409659157143878</v>
      </c>
      <c r="I10" s="10"/>
    </row>
    <row r="11" spans="1:9" x14ac:dyDescent="0.25">
      <c r="A11" s="1" t="s">
        <v>73</v>
      </c>
      <c r="B11" s="7">
        <v>86309</v>
      </c>
      <c r="C11" s="11" t="s">
        <v>117</v>
      </c>
      <c r="D11" s="10">
        <f>GETPIVOTDATA("MWh",$A$3,"Facility / Firm","BPA - PTP Transactions")</f>
        <v>86309</v>
      </c>
      <c r="E11" s="10">
        <f t="shared" si="0"/>
        <v>1004</v>
      </c>
      <c r="F11" s="10">
        <f t="shared" si="1"/>
        <v>86654236</v>
      </c>
      <c r="G11" s="10">
        <f t="shared" si="2"/>
        <v>43327.118000000002</v>
      </c>
      <c r="H11" s="10">
        <f t="shared" si="3"/>
        <v>39305.693535810882</v>
      </c>
      <c r="I11" s="10"/>
    </row>
    <row r="12" spans="1:9" x14ac:dyDescent="0.25">
      <c r="A12" s="1" t="s">
        <v>74</v>
      </c>
      <c r="B12" s="7">
        <v>17365</v>
      </c>
      <c r="C12" s="11" t="s">
        <v>117</v>
      </c>
      <c r="D12" s="10">
        <f>GETPIVOTDATA("MWh",$A$3,"Facility / Firm","BPA - SCD Hourly NF")</f>
        <v>17365</v>
      </c>
      <c r="E12" s="10">
        <f t="shared" si="0"/>
        <v>1004</v>
      </c>
      <c r="F12" s="10">
        <f t="shared" si="1"/>
        <v>17434460</v>
      </c>
      <c r="G12" s="10">
        <f t="shared" si="2"/>
        <v>8717.23</v>
      </c>
      <c r="H12" s="10">
        <f t="shared" si="3"/>
        <v>7908.1366746151152</v>
      </c>
      <c r="I12" s="10"/>
    </row>
    <row r="13" spans="1:9" x14ac:dyDescent="0.25">
      <c r="A13" s="1" t="s">
        <v>75</v>
      </c>
      <c r="B13" s="7">
        <v>38848.949999999997</v>
      </c>
      <c r="C13" s="11" t="s">
        <v>117</v>
      </c>
      <c r="D13" s="10">
        <f>GETPIVOTDATA("MWh",$A$3,"Facility / Firm","BPA - Spin Reserv Requirement")</f>
        <v>38848.949999999997</v>
      </c>
      <c r="E13" s="10">
        <f t="shared" si="0"/>
        <v>1004</v>
      </c>
      <c r="F13" s="10">
        <f t="shared" si="1"/>
        <v>39004345.799999997</v>
      </c>
      <c r="G13" s="10">
        <f t="shared" si="2"/>
        <v>19502.172899999998</v>
      </c>
      <c r="H13" s="10">
        <f t="shared" si="3"/>
        <v>17692.070617062418</v>
      </c>
      <c r="I13" s="10"/>
    </row>
    <row r="14" spans="1:9" x14ac:dyDescent="0.25">
      <c r="A14" s="1" t="s">
        <v>76</v>
      </c>
      <c r="B14" s="7">
        <v>8707</v>
      </c>
      <c r="C14" s="11" t="s">
        <v>117</v>
      </c>
      <c r="D14" s="10">
        <f>GETPIVOTDATA("MWh",$A$3,"Facility / Firm","BPA IS - Hourly Non-Firm")</f>
        <v>8707</v>
      </c>
      <c r="E14" s="10">
        <f t="shared" si="0"/>
        <v>1004</v>
      </c>
      <c r="F14" s="10">
        <f t="shared" si="1"/>
        <v>8741828</v>
      </c>
      <c r="G14" s="10">
        <f t="shared" si="2"/>
        <v>4370.9139999999998</v>
      </c>
      <c r="H14" s="10">
        <f t="shared" si="3"/>
        <v>3965.225800511017</v>
      </c>
      <c r="I14" s="10"/>
    </row>
    <row r="15" spans="1:9" x14ac:dyDescent="0.25">
      <c r="A15" s="1" t="s">
        <v>8</v>
      </c>
      <c r="B15" s="7">
        <v>409</v>
      </c>
      <c r="C15" s="11" t="s">
        <v>117</v>
      </c>
      <c r="D15" s="10">
        <f>GETPIVOTDATA("MWh",$A$3,"Facility / Firm","British Columbia Transmission Corp")</f>
        <v>409</v>
      </c>
      <c r="E15" s="10">
        <f t="shared" si="0"/>
        <v>1004</v>
      </c>
      <c r="F15" s="10">
        <f t="shared" si="1"/>
        <v>410636</v>
      </c>
      <c r="G15" s="10">
        <f t="shared" si="2"/>
        <v>205.31800000000001</v>
      </c>
      <c r="H15" s="10">
        <f t="shared" si="3"/>
        <v>186.26132449856505</v>
      </c>
      <c r="I15" s="10"/>
    </row>
    <row r="16" spans="1:9" x14ac:dyDescent="0.25">
      <c r="A16" s="1" t="s">
        <v>47</v>
      </c>
      <c r="B16" s="7">
        <v>33124.885999999999</v>
      </c>
      <c r="C16" s="11" t="s">
        <v>117</v>
      </c>
      <c r="D16" s="10">
        <f>GETPIVOTDATA("MWh",$A$3,"Facility / Firm","CAISO EESC Load Undistributed Costs")</f>
        <v>33124.885999999999</v>
      </c>
      <c r="E16" s="10">
        <f t="shared" si="0"/>
        <v>1004</v>
      </c>
      <c r="F16" s="10">
        <f t="shared" si="1"/>
        <v>33257385.544</v>
      </c>
      <c r="G16" s="10">
        <f t="shared" si="2"/>
        <v>16628.692771999999</v>
      </c>
      <c r="H16" s="10">
        <f t="shared" si="3"/>
        <v>15085.293741378911</v>
      </c>
      <c r="I16" s="10"/>
    </row>
    <row r="17" spans="1:9" x14ac:dyDescent="0.25">
      <c r="A17" s="1" t="s">
        <v>49</v>
      </c>
      <c r="B17" s="7">
        <v>-8712.773000000001</v>
      </c>
      <c r="C17" s="11" t="s">
        <v>117</v>
      </c>
      <c r="D17" s="10">
        <f>GETPIVOTDATA("MWh",$A$3,"Facility / Firm","CAISO PRSC Undistributed Costs")</f>
        <v>-8712.773000000001</v>
      </c>
      <c r="E17" s="10">
        <f t="shared" si="0"/>
        <v>1092.2703265173072</v>
      </c>
      <c r="F17" s="10">
        <f t="shared" si="1"/>
        <v>-9516703.4095811788</v>
      </c>
      <c r="G17" s="10">
        <f t="shared" si="2"/>
        <v>-4758.3517047905898</v>
      </c>
      <c r="H17" s="10">
        <f t="shared" si="3"/>
        <v>-4316.7033137099534</v>
      </c>
      <c r="I17" s="10"/>
    </row>
    <row r="18" spans="1:9" x14ac:dyDescent="0.25">
      <c r="A18" s="1" t="s">
        <v>9</v>
      </c>
      <c r="B18" s="7">
        <v>23659</v>
      </c>
      <c r="C18" s="11" t="s">
        <v>117</v>
      </c>
      <c r="D18" s="10">
        <f>GETPIVOTDATA("MWh",$A$3,"Facility / Firm","California ISO")</f>
        <v>23659</v>
      </c>
      <c r="E18" s="10">
        <f t="shared" si="0"/>
        <v>1004</v>
      </c>
      <c r="F18" s="10">
        <f t="shared" si="1"/>
        <v>23753636</v>
      </c>
      <c r="G18" s="10">
        <f t="shared" si="2"/>
        <v>11876.817999999999</v>
      </c>
      <c r="H18" s="10">
        <f t="shared" si="3"/>
        <v>10774.466201250736</v>
      </c>
      <c r="I18" s="10"/>
    </row>
    <row r="19" spans="1:9" x14ac:dyDescent="0.25">
      <c r="A19" s="1" t="s">
        <v>10</v>
      </c>
      <c r="B19" s="7">
        <v>-252611</v>
      </c>
      <c r="C19" s="11" t="s">
        <v>117</v>
      </c>
      <c r="D19" s="10">
        <f>GETPIVOTDATA("MWh",$A$3,"Facility / Firm","Calpine Energy Services")</f>
        <v>-252611</v>
      </c>
      <c r="E19" s="10">
        <f t="shared" si="0"/>
        <v>1092.2703265173072</v>
      </c>
      <c r="F19" s="10">
        <f t="shared" si="1"/>
        <v>-275919499.45186353</v>
      </c>
      <c r="G19" s="10">
        <f t="shared" si="2"/>
        <v>-137959.74972593176</v>
      </c>
      <c r="H19" s="10">
        <f t="shared" si="3"/>
        <v>-125154.95821819128</v>
      </c>
      <c r="I19" s="10"/>
    </row>
    <row r="20" spans="1:9" x14ac:dyDescent="0.25">
      <c r="A20" s="1" t="s">
        <v>11</v>
      </c>
      <c r="B20" s="7">
        <v>157955</v>
      </c>
      <c r="C20" s="11" t="s">
        <v>117</v>
      </c>
      <c r="D20" s="10">
        <f>GETPIVOTDATA("MWh",$A$3,"Facility / Firm","Cargill Power Markets")</f>
        <v>157955</v>
      </c>
      <c r="E20" s="10">
        <f t="shared" si="0"/>
        <v>1004</v>
      </c>
      <c r="F20" s="10">
        <f t="shared" si="1"/>
        <v>158586820</v>
      </c>
      <c r="G20" s="10">
        <f t="shared" si="2"/>
        <v>79293.41</v>
      </c>
      <c r="H20" s="10">
        <f t="shared" si="3"/>
        <v>71933.759196016734</v>
      </c>
      <c r="I20" s="10"/>
    </row>
    <row r="21" spans="1:9" x14ac:dyDescent="0.25">
      <c r="A21" s="1" t="s">
        <v>12</v>
      </c>
      <c r="B21" s="7">
        <v>-52667</v>
      </c>
      <c r="C21" s="11" t="s">
        <v>117</v>
      </c>
      <c r="D21" s="10">
        <f>GETPIVOTDATA("MWh",$A$3,"Facility / Firm","Chelan County PUD #1")</f>
        <v>-52667</v>
      </c>
      <c r="E21" s="10">
        <f t="shared" si="0"/>
        <v>1092.2703265173072</v>
      </c>
      <c r="F21" s="10">
        <f t="shared" si="1"/>
        <v>-57526601.286687024</v>
      </c>
      <c r="G21" s="10">
        <f t="shared" si="2"/>
        <v>-28763.300643343511</v>
      </c>
      <c r="H21" s="10">
        <f t="shared" si="3"/>
        <v>-26093.622939925339</v>
      </c>
      <c r="I21" s="10"/>
    </row>
    <row r="22" spans="1:9" x14ac:dyDescent="0.25">
      <c r="A22" s="1" t="s">
        <v>13</v>
      </c>
      <c r="B22" s="7">
        <v>312832</v>
      </c>
      <c r="C22" s="11" t="s">
        <v>117</v>
      </c>
      <c r="D22" s="10">
        <f>GETPIVOTDATA("MWh",$A$3,"Facility / Firm","Citigroup Energy Inc")</f>
        <v>312832</v>
      </c>
      <c r="E22" s="10">
        <f t="shared" si="0"/>
        <v>1004</v>
      </c>
      <c r="F22" s="10">
        <f t="shared" si="1"/>
        <v>314083328</v>
      </c>
      <c r="G22" s="10">
        <f t="shared" si="2"/>
        <v>157041.66399999999</v>
      </c>
      <c r="H22" s="10">
        <f t="shared" si="3"/>
        <v>142465.7766883499</v>
      </c>
      <c r="I22" s="10"/>
    </row>
    <row r="23" spans="1:9" x14ac:dyDescent="0.25">
      <c r="A23" s="1" t="s">
        <v>14</v>
      </c>
      <c r="B23" s="7">
        <v>-2830</v>
      </c>
      <c r="C23" s="11" t="s">
        <v>117</v>
      </c>
      <c r="D23" s="10">
        <f>GETPIVOTDATA("MWh",$A$3,"Facility / Firm","Clark Public Utilities")</f>
        <v>-2830</v>
      </c>
      <c r="E23" s="10">
        <f t="shared" si="0"/>
        <v>1092.2703265173072</v>
      </c>
      <c r="F23" s="10">
        <f t="shared" si="1"/>
        <v>-3091125.0240439796</v>
      </c>
      <c r="G23" s="10">
        <f t="shared" si="2"/>
        <v>-1545.5625120219897</v>
      </c>
      <c r="H23" s="10">
        <f t="shared" si="3"/>
        <v>-1402.1104851232976</v>
      </c>
      <c r="I23" s="10"/>
    </row>
    <row r="24" spans="1:9" x14ac:dyDescent="0.25">
      <c r="A24" s="1" t="s">
        <v>15</v>
      </c>
      <c r="B24" s="7">
        <v>-7310</v>
      </c>
      <c r="C24" s="11" t="s">
        <v>117</v>
      </c>
      <c r="D24" s="10">
        <f>GETPIVOTDATA("MWh",$A$3,"Facility / Firm","Clatskanie PUD")</f>
        <v>-7310</v>
      </c>
      <c r="E24" s="10">
        <f t="shared" si="0"/>
        <v>1092.2703265173072</v>
      </c>
      <c r="F24" s="10">
        <f t="shared" si="1"/>
        <v>-7984496.0868415162</v>
      </c>
      <c r="G24" s="10">
        <f t="shared" si="2"/>
        <v>-3992.2480434207582</v>
      </c>
      <c r="H24" s="10">
        <f t="shared" si="3"/>
        <v>-3621.7058820675988</v>
      </c>
      <c r="I24" s="10"/>
    </row>
    <row r="25" spans="1:9" x14ac:dyDescent="0.25">
      <c r="A25" s="1" t="s">
        <v>50</v>
      </c>
      <c r="B25" s="7">
        <v>105630.905</v>
      </c>
      <c r="C25" s="43" t="s">
        <v>118</v>
      </c>
      <c r="D25" s="44">
        <f>GETPIVOTDATA("MWh",$A$3,"Facility / Firm","Colstrip - Energy Imbalance Market")</f>
        <v>105630.905</v>
      </c>
      <c r="E25" s="42">
        <f>IF(D25&gt;0,D$1,0)</f>
        <v>1004</v>
      </c>
      <c r="F25" s="10">
        <f t="shared" si="1"/>
        <v>106053428.62</v>
      </c>
      <c r="G25" s="10">
        <f t="shared" si="2"/>
        <v>53026.714310000003</v>
      </c>
      <c r="H25" s="10">
        <f t="shared" si="3"/>
        <v>48105.017783085816</v>
      </c>
      <c r="I25" s="10"/>
    </row>
    <row r="26" spans="1:9" x14ac:dyDescent="0.25">
      <c r="A26" s="1" t="s">
        <v>16</v>
      </c>
      <c r="B26" s="7">
        <v>-8000</v>
      </c>
      <c r="C26" s="11" t="s">
        <v>117</v>
      </c>
      <c r="D26" s="10">
        <f>GETPIVOTDATA("MWh",$A$3,"Facility / Firm","Conoco, Inc.")</f>
        <v>-8000</v>
      </c>
      <c r="E26" s="10">
        <f t="shared" ref="E26:E30" si="4">IF(D26&gt;0,D$1,D$2)</f>
        <v>1092.2703265173072</v>
      </c>
      <c r="F26" s="10">
        <f t="shared" si="1"/>
        <v>-8738162.6121384576</v>
      </c>
      <c r="G26" s="10">
        <f t="shared" si="2"/>
        <v>-4369.081306069229</v>
      </c>
      <c r="H26" s="10">
        <f t="shared" si="3"/>
        <v>-3963.5632088291095</v>
      </c>
      <c r="I26" s="10"/>
    </row>
    <row r="27" spans="1:9" x14ac:dyDescent="0.25">
      <c r="A27" s="1" t="s">
        <v>69</v>
      </c>
      <c r="B27" s="7">
        <v>-25311.027999999998</v>
      </c>
      <c r="C27" s="11" t="s">
        <v>117</v>
      </c>
      <c r="D27" s="10">
        <f>GETPIVOTDATA("MWh",$A$3,"Facility / Firm","Deviation")</f>
        <v>-25311.027999999998</v>
      </c>
      <c r="E27" s="10">
        <f t="shared" si="4"/>
        <v>1092.2703265173072</v>
      </c>
      <c r="F27" s="10">
        <f t="shared" si="1"/>
        <v>-27646484.818048704</v>
      </c>
      <c r="G27" s="10">
        <f t="shared" si="2"/>
        <v>-13823.242409024353</v>
      </c>
      <c r="H27" s="10">
        <f t="shared" si="3"/>
        <v>-12540.232419805428</v>
      </c>
      <c r="I27" s="10"/>
    </row>
    <row r="28" spans="1:9" x14ac:dyDescent="0.25">
      <c r="A28" s="1" t="s">
        <v>17</v>
      </c>
      <c r="B28" s="7">
        <v>212117</v>
      </c>
      <c r="C28" s="11" t="s">
        <v>117</v>
      </c>
      <c r="D28" s="10">
        <f>GETPIVOTDATA("MWh",$A$3,"Facility / Firm","Douglas County PUD #1")</f>
        <v>212117</v>
      </c>
      <c r="E28" s="10">
        <f t="shared" si="4"/>
        <v>1004</v>
      </c>
      <c r="F28" s="10">
        <f t="shared" si="1"/>
        <v>212965468</v>
      </c>
      <c r="G28" s="10">
        <f t="shared" si="2"/>
        <v>106482.734</v>
      </c>
      <c r="H28" s="10">
        <f t="shared" si="3"/>
        <v>96599.494788904951</v>
      </c>
      <c r="I28" s="10"/>
    </row>
    <row r="29" spans="1:9" x14ac:dyDescent="0.25">
      <c r="A29" s="1" t="s">
        <v>51</v>
      </c>
      <c r="B29" s="7">
        <v>20574.114999999991</v>
      </c>
      <c r="C29" s="11" t="s">
        <v>117</v>
      </c>
      <c r="D29" s="10">
        <f>GETPIVOTDATA("MWh",$A$3,"Facility / Firm","Douglas PUD - Wells Project")</f>
        <v>20574.114999999991</v>
      </c>
      <c r="E29" s="10">
        <f t="shared" si="4"/>
        <v>1004</v>
      </c>
      <c r="F29" s="10">
        <f t="shared" si="1"/>
        <v>20656411.45999999</v>
      </c>
      <c r="G29" s="10">
        <f t="shared" si="2"/>
        <v>10328.205729999994</v>
      </c>
      <c r="H29" s="10">
        <f t="shared" si="3"/>
        <v>9369.5890227036507</v>
      </c>
      <c r="I29" s="10"/>
    </row>
    <row r="30" spans="1:9" x14ac:dyDescent="0.25">
      <c r="A30" s="1" t="s">
        <v>18</v>
      </c>
      <c r="B30" s="7">
        <v>475784</v>
      </c>
      <c r="C30" s="11" t="s">
        <v>117</v>
      </c>
      <c r="D30" s="10">
        <f>GETPIVOTDATA("MWh",$A$3,"Facility / Firm","EDF Trading NA LLC")</f>
        <v>475784</v>
      </c>
      <c r="E30" s="10">
        <f t="shared" si="4"/>
        <v>1004</v>
      </c>
      <c r="F30" s="10">
        <f t="shared" si="1"/>
        <v>477687136</v>
      </c>
      <c r="G30" s="10">
        <f t="shared" si="2"/>
        <v>238843.568</v>
      </c>
      <c r="H30" s="10">
        <f t="shared" si="3"/>
        <v>216675.20297121094</v>
      </c>
      <c r="I30" s="10"/>
    </row>
    <row r="31" spans="1:9" x14ac:dyDescent="0.25">
      <c r="A31" s="1" t="s">
        <v>52</v>
      </c>
      <c r="B31" s="7">
        <v>1723.08</v>
      </c>
      <c r="C31" s="43" t="s">
        <v>118</v>
      </c>
      <c r="D31" s="44">
        <f>GETPIVOTDATA("MWh",$A$3,"Facility / Firm","Encogen")</f>
        <v>1723.08</v>
      </c>
      <c r="E31" s="42">
        <f>IF(D31&gt;0,D$1,0)</f>
        <v>1004</v>
      </c>
      <c r="F31" s="10">
        <f t="shared" si="1"/>
        <v>1729972.3199999998</v>
      </c>
      <c r="G31" s="10">
        <f t="shared" si="2"/>
        <v>864.98615999999993</v>
      </c>
      <c r="H31" s="10">
        <f t="shared" si="3"/>
        <v>784.70211006598402</v>
      </c>
      <c r="I31" s="10"/>
    </row>
    <row r="32" spans="1:9" x14ac:dyDescent="0.25">
      <c r="A32" s="1" t="s">
        <v>19</v>
      </c>
      <c r="B32" s="7">
        <v>60</v>
      </c>
      <c r="C32" s="11" t="s">
        <v>117</v>
      </c>
      <c r="D32" s="10">
        <f>GETPIVOTDATA("MWh",$A$3,"Facility / Firm","Energy Keepers Inc.")</f>
        <v>60</v>
      </c>
      <c r="E32" s="10">
        <f t="shared" ref="E32:E35" si="5">IF(D32&gt;0,D$1,D$2)</f>
        <v>1004</v>
      </c>
      <c r="F32" s="10">
        <f t="shared" si="1"/>
        <v>60240</v>
      </c>
      <c r="G32" s="10">
        <f t="shared" si="2"/>
        <v>30.12</v>
      </c>
      <c r="H32" s="10">
        <f t="shared" si="3"/>
        <v>27.324399681941085</v>
      </c>
      <c r="I32" s="10"/>
    </row>
    <row r="33" spans="1:9" x14ac:dyDescent="0.25">
      <c r="A33" s="1" t="s">
        <v>78</v>
      </c>
      <c r="B33" s="7">
        <v>-296</v>
      </c>
      <c r="C33" s="11" t="s">
        <v>117</v>
      </c>
      <c r="D33" s="10">
        <f>GETPIVOTDATA("MWh",$A$3,"Facility / Firm","ENMAX Energy Marketing, Inc.")</f>
        <v>-296</v>
      </c>
      <c r="E33" s="10">
        <f t="shared" si="5"/>
        <v>1092.2703265173072</v>
      </c>
      <c r="F33" s="10">
        <f t="shared" si="1"/>
        <v>-323312.01664912293</v>
      </c>
      <c r="G33" s="10">
        <f t="shared" si="2"/>
        <v>-161.65600832456147</v>
      </c>
      <c r="H33" s="10">
        <f t="shared" si="3"/>
        <v>-146.65183872667706</v>
      </c>
      <c r="I33" s="10"/>
    </row>
    <row r="34" spans="1:9" x14ac:dyDescent="0.25">
      <c r="A34" s="1" t="s">
        <v>20</v>
      </c>
      <c r="B34" s="7">
        <v>-63712</v>
      </c>
      <c r="C34" s="11" t="s">
        <v>117</v>
      </c>
      <c r="D34" s="10">
        <f>GETPIVOTDATA("MWh",$A$3,"Facility / Firm","Eugene Water &amp; Electric")</f>
        <v>-63712</v>
      </c>
      <c r="E34" s="10">
        <f t="shared" si="5"/>
        <v>1092.2703265173072</v>
      </c>
      <c r="F34" s="10">
        <f t="shared" si="1"/>
        <v>-69590727.043070674</v>
      </c>
      <c r="G34" s="10">
        <f t="shared" si="2"/>
        <v>-34795.363521535335</v>
      </c>
      <c r="H34" s="10">
        <f t="shared" si="3"/>
        <v>-31565.817395115024</v>
      </c>
      <c r="I34" s="10"/>
    </row>
    <row r="35" spans="1:9" x14ac:dyDescent="0.25">
      <c r="A35" s="1" t="s">
        <v>21</v>
      </c>
      <c r="B35" s="7">
        <v>149950</v>
      </c>
      <c r="C35" s="11" t="s">
        <v>117</v>
      </c>
      <c r="D35" s="10">
        <f>GETPIVOTDATA("MWh",$A$3,"Facility / Firm","Exelon Generation Co LLC")</f>
        <v>149950</v>
      </c>
      <c r="E35" s="10">
        <f t="shared" si="5"/>
        <v>1004</v>
      </c>
      <c r="F35" s="10">
        <f t="shared" si="1"/>
        <v>150549800</v>
      </c>
      <c r="G35" s="10">
        <f t="shared" si="2"/>
        <v>75274.899999999994</v>
      </c>
      <c r="H35" s="10">
        <f t="shared" si="3"/>
        <v>68288.22887178442</v>
      </c>
      <c r="I35" s="10"/>
    </row>
    <row r="36" spans="1:9" x14ac:dyDescent="0.25">
      <c r="A36" s="1" t="s">
        <v>53</v>
      </c>
      <c r="B36" s="7">
        <v>70220.598999999987</v>
      </c>
      <c r="C36" s="43" t="s">
        <v>118</v>
      </c>
      <c r="D36" s="44">
        <f>GETPIVOTDATA("MWh",$A$3,"Facility / Firm","Ferndale Co-Generation")</f>
        <v>70220.598999999987</v>
      </c>
      <c r="E36" s="42">
        <f t="shared" ref="E36:E40" si="6">IF(D36&gt;0,D$1,0)</f>
        <v>1004</v>
      </c>
      <c r="F36" s="10">
        <f t="shared" si="1"/>
        <v>70501481.395999983</v>
      </c>
      <c r="G36" s="10">
        <f t="shared" si="2"/>
        <v>35250.740697999994</v>
      </c>
      <c r="H36" s="10">
        <f t="shared" si="3"/>
        <v>31978.928549688531</v>
      </c>
      <c r="I36" s="10"/>
    </row>
    <row r="37" spans="1:9" x14ac:dyDescent="0.25">
      <c r="A37" s="1" t="s">
        <v>54</v>
      </c>
      <c r="B37" s="7">
        <v>214.42699999999999</v>
      </c>
      <c r="C37" s="43" t="s">
        <v>118</v>
      </c>
      <c r="D37" s="44">
        <f>GETPIVOTDATA("MWh",$A$3,"Facility / Firm","Freddie #1")</f>
        <v>214.42699999999999</v>
      </c>
      <c r="E37" s="42">
        <f t="shared" si="6"/>
        <v>1004</v>
      </c>
      <c r="F37" s="10">
        <f t="shared" si="1"/>
        <v>215284.70799999998</v>
      </c>
      <c r="G37" s="10">
        <f t="shared" si="2"/>
        <v>107.642354</v>
      </c>
      <c r="H37" s="10">
        <f t="shared" si="3"/>
        <v>97.651484176659679</v>
      </c>
      <c r="I37" s="10"/>
    </row>
    <row r="38" spans="1:9" x14ac:dyDescent="0.25">
      <c r="A38" s="1" t="s">
        <v>55</v>
      </c>
      <c r="B38" s="7">
        <v>8211.0470000000023</v>
      </c>
      <c r="C38" s="43" t="s">
        <v>118</v>
      </c>
      <c r="D38" s="44">
        <f>GETPIVOTDATA("MWh",$A$3,"Facility / Firm","Fredonia - Energy Imbalance Market")</f>
        <v>8211.0470000000023</v>
      </c>
      <c r="E38" s="42">
        <f t="shared" si="6"/>
        <v>1004</v>
      </c>
      <c r="F38" s="10">
        <f t="shared" si="1"/>
        <v>8243891.1880000019</v>
      </c>
      <c r="G38" s="10">
        <f t="shared" si="2"/>
        <v>4121.9455940000007</v>
      </c>
      <c r="H38" s="10">
        <f t="shared" si="3"/>
        <v>3739.3655005867226</v>
      </c>
      <c r="I38" s="10"/>
    </row>
    <row r="39" spans="1:9" x14ac:dyDescent="0.25">
      <c r="A39" s="1" t="s">
        <v>56</v>
      </c>
      <c r="B39" s="7">
        <v>6813.1130000000003</v>
      </c>
      <c r="C39" s="43" t="s">
        <v>118</v>
      </c>
      <c r="D39" s="44">
        <f>GETPIVOTDATA("MWh",$A$3,"Facility / Firm","Fredrickson 1 &amp; 2")</f>
        <v>6813.1130000000003</v>
      </c>
      <c r="E39" s="42">
        <f t="shared" si="6"/>
        <v>1004</v>
      </c>
      <c r="F39" s="10">
        <f t="shared" si="1"/>
        <v>6840365.4520000005</v>
      </c>
      <c r="G39" s="10">
        <f t="shared" si="2"/>
        <v>3420.1827260000005</v>
      </c>
      <c r="H39" s="10">
        <f t="shared" si="3"/>
        <v>3102.7370448371448</v>
      </c>
      <c r="I39" s="10"/>
    </row>
    <row r="40" spans="1:9" x14ac:dyDescent="0.25">
      <c r="A40" s="1" t="s">
        <v>57</v>
      </c>
      <c r="B40" s="7">
        <v>-40989.185000000005</v>
      </c>
      <c r="C40" s="43" t="s">
        <v>118</v>
      </c>
      <c r="D40" s="44">
        <f>GETPIVOTDATA("MWh",$A$3,"Facility / Firm","Goldendale")</f>
        <v>-40989.185000000005</v>
      </c>
      <c r="E40" s="42">
        <f t="shared" si="6"/>
        <v>0</v>
      </c>
      <c r="F40" s="10">
        <f t="shared" si="1"/>
        <v>0</v>
      </c>
      <c r="G40" s="10">
        <f t="shared" si="2"/>
        <v>0</v>
      </c>
      <c r="H40" s="10">
        <f t="shared" si="3"/>
        <v>0</v>
      </c>
      <c r="I40" s="10"/>
    </row>
    <row r="41" spans="1:9" x14ac:dyDescent="0.25">
      <c r="A41" s="1" t="s">
        <v>22</v>
      </c>
      <c r="B41" s="7">
        <v>-4</v>
      </c>
      <c r="C41" s="11" t="s">
        <v>117</v>
      </c>
      <c r="D41" s="10">
        <f>GETPIVOTDATA("MWh",$A$3,"Facility / Firm","Grant County PUD #2")</f>
        <v>-4</v>
      </c>
      <c r="E41" s="10">
        <f t="shared" ref="E41:E45" si="7">IF(D41&gt;0,D$1,D$2)</f>
        <v>1092.2703265173072</v>
      </c>
      <c r="F41" s="10">
        <f t="shared" si="1"/>
        <v>-4369.081306069229</v>
      </c>
      <c r="G41" s="10">
        <f t="shared" si="2"/>
        <v>-2.1845406530346145</v>
      </c>
      <c r="H41" s="10">
        <f t="shared" si="3"/>
        <v>-1.9817816044145546</v>
      </c>
      <c r="I41" s="10"/>
    </row>
    <row r="42" spans="1:9" x14ac:dyDescent="0.25">
      <c r="A42" s="1" t="s">
        <v>23</v>
      </c>
      <c r="B42" s="7">
        <v>-202</v>
      </c>
      <c r="C42" s="11" t="s">
        <v>117</v>
      </c>
      <c r="D42" s="10">
        <f>GETPIVOTDATA("MWh",$A$3,"Facility / Firm","GRIDFORCE ENERGY MANAGEMENT, LLC.")</f>
        <v>-202</v>
      </c>
      <c r="E42" s="10">
        <f t="shared" si="7"/>
        <v>1092.2703265173072</v>
      </c>
      <c r="F42" s="10">
        <f t="shared" si="1"/>
        <v>-220638.60595649606</v>
      </c>
      <c r="G42" s="10">
        <f t="shared" si="2"/>
        <v>-110.31930297824803</v>
      </c>
      <c r="H42" s="10">
        <f t="shared" si="3"/>
        <v>-100.07997102293501</v>
      </c>
      <c r="I42" s="10"/>
    </row>
    <row r="43" spans="1:9" x14ac:dyDescent="0.25">
      <c r="A43" s="1" t="s">
        <v>24</v>
      </c>
      <c r="B43" s="7">
        <v>731570</v>
      </c>
      <c r="C43" s="11" t="s">
        <v>117</v>
      </c>
      <c r="D43" s="10">
        <f>GETPIVOTDATA("MWh",$A$3,"Facility / Firm","Iberdrola Renewables (PPM Energy)")</f>
        <v>731570</v>
      </c>
      <c r="E43" s="10">
        <f t="shared" si="7"/>
        <v>1004</v>
      </c>
      <c r="F43" s="10">
        <f t="shared" si="1"/>
        <v>734496280</v>
      </c>
      <c r="G43" s="10">
        <f t="shared" si="2"/>
        <v>367248.14</v>
      </c>
      <c r="H43" s="10">
        <f t="shared" si="3"/>
        <v>333161.85125529399</v>
      </c>
      <c r="I43" s="10"/>
    </row>
    <row r="44" spans="1:9" x14ac:dyDescent="0.25">
      <c r="A44" s="1" t="s">
        <v>25</v>
      </c>
      <c r="B44" s="7">
        <v>-40797</v>
      </c>
      <c r="C44" s="11" t="s">
        <v>117</v>
      </c>
      <c r="D44" s="10">
        <f>GETPIVOTDATA("MWh",$A$3,"Facility / Firm","Idaho Power Company")</f>
        <v>-40797</v>
      </c>
      <c r="E44" s="10">
        <f t="shared" si="7"/>
        <v>1092.2703265173072</v>
      </c>
      <c r="F44" s="10">
        <f t="shared" si="1"/>
        <v>-44561352.510926582</v>
      </c>
      <c r="G44" s="10">
        <f t="shared" si="2"/>
        <v>-22280.676255463291</v>
      </c>
      <c r="H44" s="10">
        <f t="shared" si="3"/>
        <v>-20212.686028825148</v>
      </c>
      <c r="I44" s="10"/>
    </row>
    <row r="45" spans="1:9" x14ac:dyDescent="0.25">
      <c r="A45" s="1" t="s">
        <v>26</v>
      </c>
      <c r="B45" s="7">
        <v>30000</v>
      </c>
      <c r="C45" s="11" t="s">
        <v>117</v>
      </c>
      <c r="D45" s="10">
        <f>GETPIVOTDATA("MWh",$A$3,"Facility / Firm","J. Aron &amp; Company")</f>
        <v>30000</v>
      </c>
      <c r="E45" s="10">
        <f t="shared" si="7"/>
        <v>1004</v>
      </c>
      <c r="F45" s="10">
        <f t="shared" si="1"/>
        <v>30120000</v>
      </c>
      <c r="G45" s="10">
        <f t="shared" si="2"/>
        <v>15060</v>
      </c>
      <c r="H45" s="10">
        <f t="shared" si="3"/>
        <v>13662.199840970543</v>
      </c>
      <c r="I45" s="10"/>
    </row>
    <row r="46" spans="1:9" x14ac:dyDescent="0.25">
      <c r="A46" s="1" t="s">
        <v>58</v>
      </c>
      <c r="B46" s="7">
        <v>2625.971</v>
      </c>
      <c r="C46" s="43" t="s">
        <v>118</v>
      </c>
      <c r="D46" s="44">
        <f>GETPIVOTDATA("MWh",$A$3,"Facility / Firm","Lower Baker")</f>
        <v>2625.971</v>
      </c>
      <c r="E46" s="42">
        <f>IF(D46&gt;0,D$1,0)</f>
        <v>1004</v>
      </c>
      <c r="F46" s="10">
        <f t="shared" si="1"/>
        <v>2636474.8840000001</v>
      </c>
      <c r="G46" s="10">
        <f t="shared" si="2"/>
        <v>1318.2374420000001</v>
      </c>
      <c r="H46" s="10">
        <f t="shared" si="3"/>
        <v>1195.8846859531086</v>
      </c>
      <c r="I46" s="10"/>
    </row>
    <row r="47" spans="1:9" x14ac:dyDescent="0.25">
      <c r="A47" s="1" t="s">
        <v>59</v>
      </c>
      <c r="B47" s="7">
        <v>110530.56299999999</v>
      </c>
      <c r="C47" s="11" t="s">
        <v>117</v>
      </c>
      <c r="D47" s="10">
        <f>GETPIVOTDATA("MWh",$A$3,"Facility / Firm","MID-C for Energy Imbalance Market")</f>
        <v>110530.56299999999</v>
      </c>
      <c r="E47" s="10">
        <f>IF(D47&gt;0,D$1,D$2)</f>
        <v>1004</v>
      </c>
      <c r="F47" s="10">
        <f t="shared" si="1"/>
        <v>110972685.25199999</v>
      </c>
      <c r="G47" s="10">
        <f t="shared" si="2"/>
        <v>55486.342625999998</v>
      </c>
      <c r="H47" s="10">
        <f t="shared" si="3"/>
        <v>50336.354674699476</v>
      </c>
      <c r="I47" s="10"/>
    </row>
    <row r="48" spans="1:9" x14ac:dyDescent="0.25">
      <c r="A48" s="1" t="s">
        <v>60</v>
      </c>
      <c r="B48" s="7">
        <v>-16758.375999999997</v>
      </c>
      <c r="C48" s="43" t="s">
        <v>118</v>
      </c>
      <c r="D48" s="44">
        <f>GETPIVOTDATA("MWh",$A$3,"Facility / Firm","Mint Farm")</f>
        <v>-16758.375999999997</v>
      </c>
      <c r="E48" s="42">
        <f>IF(D48&gt;0,D$1,0)</f>
        <v>0</v>
      </c>
      <c r="F48" s="10">
        <f t="shared" si="1"/>
        <v>0</v>
      </c>
      <c r="G48" s="10">
        <f t="shared" si="2"/>
        <v>0</v>
      </c>
      <c r="H48" s="10">
        <f t="shared" si="3"/>
        <v>0</v>
      </c>
      <c r="I48" s="10"/>
    </row>
    <row r="49" spans="1:9" x14ac:dyDescent="0.25">
      <c r="A49" s="1" t="s">
        <v>27</v>
      </c>
      <c r="B49" s="7">
        <v>513602</v>
      </c>
      <c r="C49" s="11" t="s">
        <v>117</v>
      </c>
      <c r="D49" s="10">
        <f>GETPIVOTDATA("MWh",$A$3,"Facility / Firm","Morgan Stanley CG")</f>
        <v>513602</v>
      </c>
      <c r="E49" s="10">
        <f t="shared" ref="E49:E64" si="8">IF(D49&gt;0,D$1,D$2)</f>
        <v>1004</v>
      </c>
      <c r="F49" s="10">
        <f t="shared" si="1"/>
        <v>515656408</v>
      </c>
      <c r="G49" s="10">
        <f t="shared" si="2"/>
        <v>257828.204</v>
      </c>
      <c r="H49" s="10">
        <f t="shared" si="3"/>
        <v>233897.77209073841</v>
      </c>
      <c r="I49" s="10"/>
    </row>
    <row r="50" spans="1:9" x14ac:dyDescent="0.25">
      <c r="A50" s="1" t="s">
        <v>79</v>
      </c>
      <c r="B50" s="7">
        <v>-211</v>
      </c>
      <c r="C50" s="11" t="s">
        <v>117</v>
      </c>
      <c r="D50" s="10">
        <f>GETPIVOTDATA("MWh",$A$3,"Facility / Firm","Natur Ener USA")</f>
        <v>-211</v>
      </c>
      <c r="E50" s="10">
        <f t="shared" si="8"/>
        <v>1092.2703265173072</v>
      </c>
      <c r="F50" s="10">
        <f t="shared" si="1"/>
        <v>-230469.03889515184</v>
      </c>
      <c r="G50" s="10">
        <f t="shared" si="2"/>
        <v>-115.23451944757592</v>
      </c>
      <c r="H50" s="10">
        <f t="shared" si="3"/>
        <v>-104.53897963286776</v>
      </c>
      <c r="I50" s="10"/>
    </row>
    <row r="51" spans="1:9" x14ac:dyDescent="0.25">
      <c r="A51" s="1" t="s">
        <v>80</v>
      </c>
      <c r="B51" s="7">
        <v>-16</v>
      </c>
      <c r="C51" s="11" t="s">
        <v>117</v>
      </c>
      <c r="D51" s="10">
        <f>GETPIVOTDATA("MWh",$A$3,"Facility / Firm","Nevada Power Company")</f>
        <v>-16</v>
      </c>
      <c r="E51" s="10">
        <f t="shared" si="8"/>
        <v>1092.2703265173072</v>
      </c>
      <c r="F51" s="10">
        <f t="shared" si="1"/>
        <v>-17476.325224276916</v>
      </c>
      <c r="G51" s="10">
        <f t="shared" si="2"/>
        <v>-8.7381626121384581</v>
      </c>
      <c r="H51" s="10">
        <f t="shared" si="3"/>
        <v>-7.9271264176582186</v>
      </c>
      <c r="I51" s="10"/>
    </row>
    <row r="52" spans="1:9" x14ac:dyDescent="0.25">
      <c r="A52" s="1" t="s">
        <v>28</v>
      </c>
      <c r="B52" s="7">
        <v>4000</v>
      </c>
      <c r="C52" s="11" t="s">
        <v>117</v>
      </c>
      <c r="D52" s="10">
        <f>GETPIVOTDATA("MWh",$A$3,"Facility / Firm","NextEra Energy Power Marketing")</f>
        <v>4000</v>
      </c>
      <c r="E52" s="10">
        <f t="shared" si="8"/>
        <v>1004</v>
      </c>
      <c r="F52" s="10">
        <f t="shared" si="1"/>
        <v>4016000</v>
      </c>
      <c r="G52" s="10">
        <f t="shared" si="2"/>
        <v>2008</v>
      </c>
      <c r="H52" s="10">
        <f t="shared" si="3"/>
        <v>1821.6266454627389</v>
      </c>
      <c r="I52" s="10"/>
    </row>
    <row r="53" spans="1:9" x14ac:dyDescent="0.25">
      <c r="A53" s="1" t="s">
        <v>29</v>
      </c>
      <c r="B53" s="7">
        <v>-15807</v>
      </c>
      <c r="C53" s="11" t="s">
        <v>117</v>
      </c>
      <c r="D53" s="10">
        <f>GETPIVOTDATA("MWh",$A$3,"Facility / Firm","Northwestern Energy")</f>
        <v>-15807</v>
      </c>
      <c r="E53" s="10">
        <f t="shared" si="8"/>
        <v>1092.2703265173072</v>
      </c>
      <c r="F53" s="10">
        <f t="shared" si="1"/>
        <v>-17265517.051259074</v>
      </c>
      <c r="G53" s="10">
        <f t="shared" si="2"/>
        <v>-8632.758525629537</v>
      </c>
      <c r="H53" s="10">
        <f t="shared" si="3"/>
        <v>-7831.5054552452157</v>
      </c>
      <c r="I53" s="10"/>
    </row>
    <row r="54" spans="1:9" x14ac:dyDescent="0.25">
      <c r="A54" s="1" t="s">
        <v>30</v>
      </c>
      <c r="B54" s="7">
        <v>26026</v>
      </c>
      <c r="C54" s="11" t="s">
        <v>117</v>
      </c>
      <c r="D54" s="10">
        <f>GETPIVOTDATA("MWh",$A$3,"Facility / Firm","Okanogan PUD")</f>
        <v>26026</v>
      </c>
      <c r="E54" s="10">
        <f t="shared" si="8"/>
        <v>1004</v>
      </c>
      <c r="F54" s="10">
        <f t="shared" si="1"/>
        <v>26130104</v>
      </c>
      <c r="G54" s="10">
        <f t="shared" si="2"/>
        <v>13065.052</v>
      </c>
      <c r="H54" s="10">
        <f t="shared" si="3"/>
        <v>11852.413768703311</v>
      </c>
      <c r="I54" s="10"/>
    </row>
    <row r="55" spans="1:9" x14ac:dyDescent="0.25">
      <c r="A55" s="1" t="s">
        <v>68</v>
      </c>
      <c r="B55" s="7">
        <v>0</v>
      </c>
      <c r="C55" s="11" t="s">
        <v>117</v>
      </c>
      <c r="D55" s="10">
        <f>GETPIVOTDATA("MWh",$A$3,"Facility / Firm","Pacific Gas &amp; Elec - Exchange")</f>
        <v>0</v>
      </c>
      <c r="E55" s="10">
        <f t="shared" si="8"/>
        <v>1092.2703265173072</v>
      </c>
      <c r="F55" s="10">
        <f t="shared" si="1"/>
        <v>0</v>
      </c>
      <c r="G55" s="10">
        <f t="shared" si="2"/>
        <v>0</v>
      </c>
      <c r="H55" s="10">
        <f t="shared" si="3"/>
        <v>0</v>
      </c>
      <c r="I55" s="10"/>
    </row>
    <row r="56" spans="1:9" x14ac:dyDescent="0.25">
      <c r="A56" s="1" t="s">
        <v>31</v>
      </c>
      <c r="B56" s="7">
        <v>-237749</v>
      </c>
      <c r="C56" s="11" t="s">
        <v>117</v>
      </c>
      <c r="D56" s="10">
        <f>GETPIVOTDATA("MWh",$A$3,"Facility / Firm","Pacificorp")</f>
        <v>-237749</v>
      </c>
      <c r="E56" s="10">
        <f t="shared" si="8"/>
        <v>1092.2703265173072</v>
      </c>
      <c r="F56" s="10">
        <f t="shared" si="1"/>
        <v>-259686177.85916328</v>
      </c>
      <c r="G56" s="10">
        <f t="shared" si="2"/>
        <v>-129843.08892958165</v>
      </c>
      <c r="H56" s="10">
        <f t="shared" si="3"/>
        <v>-117791.648666989</v>
      </c>
      <c r="I56" s="10"/>
    </row>
    <row r="57" spans="1:9" x14ac:dyDescent="0.25">
      <c r="A57" s="1" t="s">
        <v>32</v>
      </c>
      <c r="B57" s="7">
        <v>-133050</v>
      </c>
      <c r="C57" s="11" t="s">
        <v>117</v>
      </c>
      <c r="D57" s="10">
        <f>GETPIVOTDATA("MWh",$A$3,"Facility / Firm","Portland General Electric")</f>
        <v>-133050</v>
      </c>
      <c r="E57" s="10">
        <f t="shared" si="8"/>
        <v>1092.2703265173072</v>
      </c>
      <c r="F57" s="10">
        <f t="shared" si="1"/>
        <v>-145326566.94312772</v>
      </c>
      <c r="G57" s="10">
        <f t="shared" si="2"/>
        <v>-72663.28347156386</v>
      </c>
      <c r="H57" s="10">
        <f t="shared" si="3"/>
        <v>-65919.010616839121</v>
      </c>
      <c r="I57" s="10"/>
    </row>
    <row r="58" spans="1:9" x14ac:dyDescent="0.25">
      <c r="A58" s="1" t="s">
        <v>33</v>
      </c>
      <c r="B58" s="7">
        <v>-1371536</v>
      </c>
      <c r="C58" s="11" t="s">
        <v>117</v>
      </c>
      <c r="D58" s="10">
        <f>GETPIVOTDATA("MWh",$A$3,"Facility / Firm","Powerex Corp.")</f>
        <v>-1371536</v>
      </c>
      <c r="E58" s="10">
        <f t="shared" si="8"/>
        <v>1092.2703265173072</v>
      </c>
      <c r="F58" s="10">
        <f t="shared" si="1"/>
        <v>-1498088074.5502415</v>
      </c>
      <c r="G58" s="10">
        <f t="shared" si="2"/>
        <v>-749044.03727512073</v>
      </c>
      <c r="H58" s="10">
        <f t="shared" si="3"/>
        <v>-679521.20364808012</v>
      </c>
      <c r="I58" s="10"/>
    </row>
    <row r="59" spans="1:9" x14ac:dyDescent="0.25">
      <c r="A59" s="1" t="s">
        <v>34</v>
      </c>
      <c r="B59" s="7">
        <v>130513</v>
      </c>
      <c r="C59" s="11" t="s">
        <v>117</v>
      </c>
      <c r="D59" s="10">
        <f>GETPIVOTDATA("MWh",$A$3,"Facility / Firm","Public Service of Colorado")</f>
        <v>130513</v>
      </c>
      <c r="E59" s="10">
        <f t="shared" si="8"/>
        <v>1004</v>
      </c>
      <c r="F59" s="10">
        <f t="shared" si="1"/>
        <v>131035052</v>
      </c>
      <c r="G59" s="10">
        <f t="shared" si="2"/>
        <v>65517.525999999998</v>
      </c>
      <c r="H59" s="10">
        <f t="shared" si="3"/>
        <v>59436.489594819614</v>
      </c>
      <c r="I59" s="10"/>
    </row>
    <row r="60" spans="1:9" x14ac:dyDescent="0.25">
      <c r="A60" s="1" t="s">
        <v>35</v>
      </c>
      <c r="B60" s="7">
        <v>-2638</v>
      </c>
      <c r="C60" s="11" t="s">
        <v>117</v>
      </c>
      <c r="D60" s="10">
        <f>GETPIVOTDATA("MWh",$A$3,"Facility / Firm","Rainbow Energy Marketing")</f>
        <v>-2638</v>
      </c>
      <c r="E60" s="10">
        <f t="shared" si="8"/>
        <v>1092.2703265173072</v>
      </c>
      <c r="F60" s="10">
        <f t="shared" si="1"/>
        <v>-2881409.1213526563</v>
      </c>
      <c r="G60" s="10">
        <f t="shared" si="2"/>
        <v>-1440.7045606763281</v>
      </c>
      <c r="H60" s="10">
        <f t="shared" si="3"/>
        <v>-1306.9849681113988</v>
      </c>
      <c r="I60" s="10"/>
    </row>
    <row r="61" spans="1:9" x14ac:dyDescent="0.25">
      <c r="A61" s="1" t="s">
        <v>36</v>
      </c>
      <c r="B61" s="7">
        <v>139</v>
      </c>
      <c r="C61" s="11" t="s">
        <v>117</v>
      </c>
      <c r="D61" s="10">
        <f>GETPIVOTDATA("MWh",$A$3,"Facility / Firm","Sacramento Municipal")</f>
        <v>139</v>
      </c>
      <c r="E61" s="10">
        <f t="shared" si="8"/>
        <v>1004</v>
      </c>
      <c r="F61" s="10">
        <f t="shared" si="1"/>
        <v>139556</v>
      </c>
      <c r="G61" s="10">
        <f t="shared" si="2"/>
        <v>69.778000000000006</v>
      </c>
      <c r="H61" s="10">
        <f t="shared" si="3"/>
        <v>63.301525929830177</v>
      </c>
      <c r="I61" s="10"/>
    </row>
    <row r="62" spans="1:9" x14ac:dyDescent="0.25">
      <c r="A62" s="1" t="s">
        <v>37</v>
      </c>
      <c r="B62" s="7">
        <v>132196</v>
      </c>
      <c r="C62" s="11" t="s">
        <v>117</v>
      </c>
      <c r="D62" s="10">
        <f>GETPIVOTDATA("MWh",$A$3,"Facility / Firm","Seattle City Light Marketing")</f>
        <v>132196</v>
      </c>
      <c r="E62" s="10">
        <f t="shared" si="8"/>
        <v>1004</v>
      </c>
      <c r="F62" s="10">
        <f t="shared" si="1"/>
        <v>132724784</v>
      </c>
      <c r="G62" s="10">
        <f t="shared" si="2"/>
        <v>66362.392000000007</v>
      </c>
      <c r="H62" s="10">
        <f t="shared" si="3"/>
        <v>60202.939005898057</v>
      </c>
      <c r="I62" s="10"/>
    </row>
    <row r="63" spans="1:9" x14ac:dyDescent="0.25">
      <c r="A63" s="1" t="s">
        <v>38</v>
      </c>
      <c r="B63" s="7">
        <v>-73192</v>
      </c>
      <c r="C63" s="11" t="s">
        <v>117</v>
      </c>
      <c r="D63" s="10">
        <f>GETPIVOTDATA("MWh",$A$3,"Facility / Firm","Shell Energy (Coral Pwr)")</f>
        <v>-73192</v>
      </c>
      <c r="E63" s="10">
        <f t="shared" si="8"/>
        <v>1092.2703265173072</v>
      </c>
      <c r="F63" s="10">
        <f t="shared" si="1"/>
        <v>-79945449.738454744</v>
      </c>
      <c r="G63" s="10">
        <f t="shared" si="2"/>
        <v>-39972.724869227372</v>
      </c>
      <c r="H63" s="10">
        <f t="shared" si="3"/>
        <v>-36262.639797577518</v>
      </c>
      <c r="I63" s="10"/>
    </row>
    <row r="64" spans="1:9" x14ac:dyDescent="0.25">
      <c r="A64" s="1" t="s">
        <v>39</v>
      </c>
      <c r="B64" s="7">
        <v>12341</v>
      </c>
      <c r="C64" s="11" t="s">
        <v>117</v>
      </c>
      <c r="D64" s="10">
        <f>GETPIVOTDATA("MWh",$A$3,"Facility / Firm","Snohomish County PUD #1")</f>
        <v>12341</v>
      </c>
      <c r="E64" s="10">
        <f t="shared" si="8"/>
        <v>1004</v>
      </c>
      <c r="F64" s="10">
        <f t="shared" si="1"/>
        <v>12390364</v>
      </c>
      <c r="G64" s="10">
        <f t="shared" si="2"/>
        <v>6195.1819999999998</v>
      </c>
      <c r="H64" s="10">
        <f t="shared" si="3"/>
        <v>5620.1736079139155</v>
      </c>
      <c r="I64" s="10"/>
    </row>
    <row r="65" spans="1:9" x14ac:dyDescent="0.25">
      <c r="A65" s="1" t="s">
        <v>61</v>
      </c>
      <c r="B65" s="7">
        <v>1788.0920000000001</v>
      </c>
      <c r="C65" s="43" t="s">
        <v>118</v>
      </c>
      <c r="D65" s="44">
        <f>GETPIVOTDATA("MWh",$A$3,"Facility / Firm","Snoqualmie-Energy Imbalance Market")</f>
        <v>1788.0920000000001</v>
      </c>
      <c r="E65" s="42">
        <f t="shared" ref="E65:E66" si="9">IF(D65&gt;0,D$1,0)</f>
        <v>1004</v>
      </c>
      <c r="F65" s="10">
        <f t="shared" si="1"/>
        <v>1795244.368</v>
      </c>
      <c r="G65" s="10">
        <f t="shared" si="2"/>
        <v>897.62218400000006</v>
      </c>
      <c r="H65" s="10">
        <f t="shared" si="3"/>
        <v>814.30900793468993</v>
      </c>
      <c r="I65" s="10"/>
    </row>
    <row r="66" spans="1:9" x14ac:dyDescent="0.25">
      <c r="A66" s="1" t="s">
        <v>62</v>
      </c>
      <c r="B66" s="7">
        <v>24528.660000000003</v>
      </c>
      <c r="C66" s="43" t="s">
        <v>118</v>
      </c>
      <c r="D66" s="44">
        <f>GETPIVOTDATA("MWh",$A$3,"Facility / Firm","Sumas")</f>
        <v>24528.660000000003</v>
      </c>
      <c r="E66" s="42">
        <f t="shared" si="9"/>
        <v>1004</v>
      </c>
      <c r="F66" s="10">
        <f t="shared" si="1"/>
        <v>24626774.640000004</v>
      </c>
      <c r="G66" s="10">
        <f t="shared" si="2"/>
        <v>12313.387320000002</v>
      </c>
      <c r="H66" s="10">
        <f t="shared" si="3"/>
        <v>11170.515158374019</v>
      </c>
      <c r="I66" s="10"/>
    </row>
    <row r="67" spans="1:9" x14ac:dyDescent="0.25">
      <c r="A67" s="1" t="s">
        <v>40</v>
      </c>
      <c r="B67" s="7">
        <v>30313</v>
      </c>
      <c r="C67" s="11" t="s">
        <v>117</v>
      </c>
      <c r="D67" s="10">
        <f>GETPIVOTDATA("MWh",$A$3,"Facility / Firm","Tacoma Power")</f>
        <v>30313</v>
      </c>
      <c r="E67" s="10">
        <f t="shared" ref="E67:E73" si="10">IF(D67&gt;0,D$1,D$2)</f>
        <v>1004</v>
      </c>
      <c r="F67" s="10">
        <f t="shared" si="1"/>
        <v>30434252</v>
      </c>
      <c r="G67" s="10">
        <f t="shared" si="2"/>
        <v>15217.126</v>
      </c>
      <c r="H67" s="10">
        <f t="shared" si="3"/>
        <v>13804.742125978002</v>
      </c>
      <c r="I67" s="10"/>
    </row>
    <row r="68" spans="1:9" x14ac:dyDescent="0.25">
      <c r="A68" s="1" t="s">
        <v>41</v>
      </c>
      <c r="B68" s="7">
        <v>221765</v>
      </c>
      <c r="C68" s="11" t="s">
        <v>117</v>
      </c>
      <c r="D68" s="10">
        <f>GETPIVOTDATA("MWh",$A$3,"Facility / Firm","Talen Energy (PPL Energy Plus)")</f>
        <v>221765</v>
      </c>
      <c r="E68" s="10">
        <f t="shared" si="10"/>
        <v>1004</v>
      </c>
      <c r="F68" s="10">
        <f t="shared" si="1"/>
        <v>222652060</v>
      </c>
      <c r="G68" s="10">
        <f t="shared" si="2"/>
        <v>111326.03</v>
      </c>
      <c r="H68" s="10">
        <f t="shared" si="3"/>
        <v>100993.25825776107</v>
      </c>
      <c r="I68" s="10"/>
    </row>
    <row r="69" spans="1:9" x14ac:dyDescent="0.25">
      <c r="A69" s="1" t="s">
        <v>81</v>
      </c>
      <c r="B69" s="7">
        <v>-3000</v>
      </c>
      <c r="C69" s="11" t="s">
        <v>117</v>
      </c>
      <c r="D69" s="10">
        <f>GETPIVOTDATA("MWh",$A$3,"Facility / Firm","Tenaska Power Services Co.")</f>
        <v>-3000</v>
      </c>
      <c r="E69" s="10">
        <f t="shared" si="10"/>
        <v>1092.2703265173072</v>
      </c>
      <c r="F69" s="10">
        <f t="shared" ref="F69:F78" si="11">E69*D69</f>
        <v>-3276810.9795519216</v>
      </c>
      <c r="G69" s="10">
        <f t="shared" ref="G69:G78" si="12">F69/2000</f>
        <v>-1638.4054897759609</v>
      </c>
      <c r="H69" s="10">
        <f t="shared" ref="H69:H78" si="13">F69/2204.623</f>
        <v>-1486.3362033109161</v>
      </c>
      <c r="I69" s="10"/>
    </row>
    <row r="70" spans="1:9" x14ac:dyDescent="0.25">
      <c r="A70" s="1" t="s">
        <v>42</v>
      </c>
      <c r="B70" s="7">
        <v>788491</v>
      </c>
      <c r="C70" s="11" t="s">
        <v>117</v>
      </c>
      <c r="D70" s="10">
        <f>GETPIVOTDATA("MWh",$A$3,"Facility / Firm","The Energy Authority")</f>
        <v>788491</v>
      </c>
      <c r="E70" s="10">
        <f t="shared" si="10"/>
        <v>1004</v>
      </c>
      <c r="F70" s="10">
        <f t="shared" si="11"/>
        <v>791644964</v>
      </c>
      <c r="G70" s="10">
        <f t="shared" si="12"/>
        <v>395822.48200000002</v>
      </c>
      <c r="H70" s="10">
        <f t="shared" si="13"/>
        <v>359084.05382689013</v>
      </c>
      <c r="I70" s="10"/>
    </row>
    <row r="71" spans="1:9" x14ac:dyDescent="0.25">
      <c r="A71" s="1" t="s">
        <v>43</v>
      </c>
      <c r="B71" s="7">
        <v>-271727</v>
      </c>
      <c r="C71" s="11" t="s">
        <v>117</v>
      </c>
      <c r="D71" s="10">
        <f>GETPIVOTDATA("MWh",$A$3,"Facility / Firm","TransAlta Energy Marketing")</f>
        <v>-271727</v>
      </c>
      <c r="E71" s="10">
        <f t="shared" si="10"/>
        <v>1092.2703265173072</v>
      </c>
      <c r="F71" s="10">
        <f t="shared" si="11"/>
        <v>-296799339.01356834</v>
      </c>
      <c r="G71" s="10">
        <f t="shared" si="12"/>
        <v>-148399.66950678418</v>
      </c>
      <c r="H71" s="10">
        <f t="shared" si="13"/>
        <v>-134625.89250568842</v>
      </c>
      <c r="I71" s="10"/>
    </row>
    <row r="72" spans="1:9" x14ac:dyDescent="0.25">
      <c r="A72" s="1" t="s">
        <v>44</v>
      </c>
      <c r="B72" s="7">
        <v>-46100</v>
      </c>
      <c r="C72" s="11" t="s">
        <v>117</v>
      </c>
      <c r="D72" s="10">
        <f>GETPIVOTDATA("MWh",$A$3,"Facility / Firm","TransCanada Energy Sales Ltd")</f>
        <v>-46100</v>
      </c>
      <c r="E72" s="10">
        <f t="shared" si="10"/>
        <v>1092.2703265173072</v>
      </c>
      <c r="F72" s="10">
        <f t="shared" si="11"/>
        <v>-50353662.052447863</v>
      </c>
      <c r="G72" s="10">
        <f t="shared" si="12"/>
        <v>-25176.831026223932</v>
      </c>
      <c r="H72" s="10">
        <f t="shared" si="13"/>
        <v>-22840.032990877742</v>
      </c>
      <c r="I72" s="10"/>
    </row>
    <row r="73" spans="1:9" x14ac:dyDescent="0.25">
      <c r="A73" s="1" t="s">
        <v>45</v>
      </c>
      <c r="B73" s="7">
        <v>8325</v>
      </c>
      <c r="C73" s="11" t="s">
        <v>117</v>
      </c>
      <c r="D73" s="10">
        <f>GETPIVOTDATA("MWh",$A$3,"Facility / Firm","Turlock Irrigation District")</f>
        <v>8325</v>
      </c>
      <c r="E73" s="10">
        <f t="shared" si="10"/>
        <v>1004</v>
      </c>
      <c r="F73" s="10">
        <f t="shared" si="11"/>
        <v>8358300</v>
      </c>
      <c r="G73" s="10">
        <f t="shared" si="12"/>
        <v>4179.1499999999996</v>
      </c>
      <c r="H73" s="10">
        <f t="shared" si="13"/>
        <v>3791.2604558693256</v>
      </c>
      <c r="I73" s="10"/>
    </row>
    <row r="74" spans="1:9" x14ac:dyDescent="0.25">
      <c r="A74" s="1" t="s">
        <v>63</v>
      </c>
      <c r="B74" s="7">
        <v>68798.140999999989</v>
      </c>
      <c r="C74" s="43" t="s">
        <v>118</v>
      </c>
      <c r="D74" s="44">
        <f>GETPIVOTDATA("MWh",$A$3,"Facility / Firm","Upper Baker")</f>
        <v>68798.140999999989</v>
      </c>
      <c r="E74" s="42">
        <f>IF(D74&gt;0,D$1,0)</f>
        <v>1004</v>
      </c>
      <c r="F74" s="10">
        <f t="shared" si="11"/>
        <v>69073333.563999996</v>
      </c>
      <c r="G74" s="10">
        <f t="shared" si="12"/>
        <v>34536.666782</v>
      </c>
      <c r="H74" s="10">
        <f t="shared" si="13"/>
        <v>31331.131700975628</v>
      </c>
      <c r="I74" s="10"/>
    </row>
    <row r="75" spans="1:9" x14ac:dyDescent="0.25">
      <c r="A75" s="1" t="s">
        <v>46</v>
      </c>
      <c r="B75" s="7">
        <v>226338</v>
      </c>
      <c r="C75" s="11" t="s">
        <v>117</v>
      </c>
      <c r="D75" s="10">
        <f>GETPIVOTDATA("MWh",$A$3,"Facility / Firm","Vitol Inc.")</f>
        <v>226338</v>
      </c>
      <c r="E75" s="10">
        <f>IF(D75&gt;0,D$1,D$2)</f>
        <v>1004</v>
      </c>
      <c r="F75" s="10">
        <f t="shared" si="11"/>
        <v>227243352</v>
      </c>
      <c r="G75" s="10">
        <f t="shared" si="12"/>
        <v>113621.67600000001</v>
      </c>
      <c r="H75" s="10">
        <f t="shared" si="13"/>
        <v>103075.83292018635</v>
      </c>
      <c r="I75" s="10"/>
    </row>
    <row r="76" spans="1:9" x14ac:dyDescent="0.25">
      <c r="A76" s="1" t="s">
        <v>64</v>
      </c>
      <c r="B76" s="7">
        <v>13715.259000000002</v>
      </c>
      <c r="C76" s="43" t="s">
        <v>118</v>
      </c>
      <c r="D76" s="44">
        <f>GETPIVOTDATA("MWh",$A$3,"Facility / Firm","Whitehorn 2&amp;3")</f>
        <v>13715.259000000002</v>
      </c>
      <c r="E76" s="42">
        <f t="shared" ref="E76:E77" si="14">IF(D76&gt;0,D$1,0)</f>
        <v>1004</v>
      </c>
      <c r="F76" s="10">
        <f t="shared" si="11"/>
        <v>13770120.036000002</v>
      </c>
      <c r="G76" s="10">
        <f t="shared" si="12"/>
        <v>6885.060018000001</v>
      </c>
      <c r="H76" s="10">
        <f t="shared" si="13"/>
        <v>6246.0203109556605</v>
      </c>
      <c r="I76" s="10"/>
    </row>
    <row r="77" spans="1:9" x14ac:dyDescent="0.25">
      <c r="A77" s="1" t="s">
        <v>65</v>
      </c>
      <c r="B77" s="7">
        <v>-6494.7579999999944</v>
      </c>
      <c r="C77" s="43" t="s">
        <v>118</v>
      </c>
      <c r="D77" s="44">
        <f>GETPIVOTDATA("MWh",$A$3,"Facility / Firm","Wild Horse (W183)")</f>
        <v>-6494.7579999999944</v>
      </c>
      <c r="E77" s="42">
        <f t="shared" si="14"/>
        <v>0</v>
      </c>
      <c r="F77" s="10">
        <f t="shared" si="11"/>
        <v>0</v>
      </c>
      <c r="G77" s="10">
        <f t="shared" si="12"/>
        <v>0</v>
      </c>
      <c r="H77" s="10">
        <f t="shared" si="13"/>
        <v>0</v>
      </c>
      <c r="I77" s="10"/>
    </row>
    <row r="78" spans="1:9" x14ac:dyDescent="0.25">
      <c r="A78" s="24" t="s">
        <v>82</v>
      </c>
      <c r="B78" s="25">
        <v>-3928</v>
      </c>
      <c r="C78" s="37" t="s">
        <v>117</v>
      </c>
      <c r="D78" s="26">
        <f>GETPIVOTDATA("MWh",$A$3,"Facility / Firm","Williams Power Company")</f>
        <v>-3928</v>
      </c>
      <c r="E78" s="26">
        <f>IF(D78&gt;0,D$1,D$2)</f>
        <v>1092.2703265173072</v>
      </c>
      <c r="F78" s="26">
        <f t="shared" si="11"/>
        <v>-4290437.842559983</v>
      </c>
      <c r="G78" s="26">
        <f t="shared" si="12"/>
        <v>-2145.2189212799917</v>
      </c>
      <c r="H78" s="26">
        <f t="shared" si="13"/>
        <v>-1946.1095355350928</v>
      </c>
      <c r="I78" s="41"/>
    </row>
    <row r="79" spans="1:9" x14ac:dyDescent="0.25">
      <c r="A79" s="1" t="s">
        <v>97</v>
      </c>
      <c r="B79" s="7">
        <v>2534322.9179999991</v>
      </c>
      <c r="D79" s="10">
        <f>SUM(D4:D78)</f>
        <v>2534322.9179999991</v>
      </c>
      <c r="E79" s="10"/>
      <c r="F79" s="10">
        <f t="shared" ref="F79:H79" si="15">SUM(F4:F78)</f>
        <v>2377337560.8400941</v>
      </c>
      <c r="G79" s="10">
        <f t="shared" si="15"/>
        <v>1188668.7804200475</v>
      </c>
      <c r="H79" s="27">
        <f t="shared" si="15"/>
        <v>1078341.9935472396</v>
      </c>
      <c r="I79" s="27"/>
    </row>
    <row r="80" spans="1:9" x14ac:dyDescent="0.25">
      <c r="G80" s="5"/>
      <c r="H80" s="7"/>
      <c r="I80" s="7"/>
    </row>
    <row r="81" spans="1:9" x14ac:dyDescent="0.25">
      <c r="G81" s="5"/>
      <c r="H81" s="7"/>
      <c r="I81" s="7"/>
    </row>
    <row r="83" spans="1:9" x14ac:dyDescent="0.25">
      <c r="H83" s="38"/>
      <c r="I83" s="39"/>
    </row>
    <row r="84" spans="1:9" x14ac:dyDescent="0.25">
      <c r="A84" s="4" t="s">
        <v>123</v>
      </c>
      <c r="H84" s="40"/>
      <c r="I84" s="40"/>
    </row>
    <row r="85" spans="1:9" x14ac:dyDescent="0.25">
      <c r="A85" s="4" t="s">
        <v>122</v>
      </c>
    </row>
    <row r="86" spans="1:9" x14ac:dyDescent="0.25">
      <c r="A86" s="4" t="s">
        <v>120</v>
      </c>
    </row>
    <row r="87" spans="1:9" x14ac:dyDescent="0.25">
      <c r="A87" s="4" t="s">
        <v>121</v>
      </c>
    </row>
  </sheetData>
  <autoFilter ref="A1:E79"/>
  <dataConsolidate/>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1"/>
  <sheetViews>
    <sheetView topLeftCell="A133" workbookViewId="0">
      <selection activeCell="F162" sqref="F162"/>
    </sheetView>
  </sheetViews>
  <sheetFormatPr defaultRowHeight="15" x14ac:dyDescent="0.25"/>
  <cols>
    <col min="3" max="3" width="23" customWidth="1"/>
    <col min="4" max="4" width="15.42578125" customWidth="1"/>
    <col min="5" max="5" width="20.42578125" customWidth="1"/>
    <col min="6" max="9" width="12.7109375" customWidth="1"/>
  </cols>
  <sheetData>
    <row r="1" spans="1:23" ht="45.75" thickBot="1" x14ac:dyDescent="0.3">
      <c r="A1" s="12" t="s">
        <v>84</v>
      </c>
      <c r="B1" s="13" t="s">
        <v>85</v>
      </c>
      <c r="C1" s="13" t="s">
        <v>86</v>
      </c>
      <c r="D1" s="13" t="s">
        <v>89</v>
      </c>
      <c r="E1" s="13" t="s">
        <v>86</v>
      </c>
      <c r="F1" s="14" t="s">
        <v>90</v>
      </c>
      <c r="G1" s="15" t="s">
        <v>91</v>
      </c>
      <c r="H1" s="16" t="s">
        <v>92</v>
      </c>
      <c r="I1" s="16" t="s">
        <v>93</v>
      </c>
      <c r="J1" s="4"/>
      <c r="K1" s="4" t="s">
        <v>95</v>
      </c>
      <c r="L1" s="4"/>
      <c r="M1" s="4"/>
      <c r="N1" s="4"/>
      <c r="O1" s="4"/>
      <c r="P1" s="4"/>
      <c r="Q1" s="4"/>
      <c r="R1" s="4">
        <v>895</v>
      </c>
      <c r="S1" s="4" t="s">
        <v>94</v>
      </c>
      <c r="T1" s="4"/>
      <c r="U1" s="4"/>
      <c r="V1" s="4"/>
      <c r="W1" s="4"/>
    </row>
    <row r="2" spans="1:23" x14ac:dyDescent="0.25">
      <c r="A2">
        <v>3298</v>
      </c>
      <c r="B2">
        <v>2016</v>
      </c>
      <c r="C2" t="s">
        <v>1</v>
      </c>
      <c r="D2" t="s">
        <v>3</v>
      </c>
      <c r="E2" t="s">
        <v>0</v>
      </c>
      <c r="F2" s="17">
        <v>72218</v>
      </c>
      <c r="G2" s="8">
        <f>R$1</f>
        <v>895</v>
      </c>
      <c r="H2" s="9">
        <f t="shared" ref="H2" si="0">(G2*F2)/2000</f>
        <v>32317.555</v>
      </c>
      <c r="I2" s="8">
        <f t="shared" ref="I2" si="1">(F2*G2)/2204.623</f>
        <v>29317.987701298589</v>
      </c>
      <c r="J2" t="s">
        <v>101</v>
      </c>
    </row>
    <row r="3" spans="1:23" x14ac:dyDescent="0.25">
      <c r="A3">
        <v>3299</v>
      </c>
      <c r="B3">
        <v>2016</v>
      </c>
      <c r="C3" t="s">
        <v>1</v>
      </c>
      <c r="D3" t="s">
        <v>3</v>
      </c>
      <c r="E3" t="s">
        <v>4</v>
      </c>
      <c r="F3" s="17">
        <v>201</v>
      </c>
      <c r="G3" s="17">
        <v>895</v>
      </c>
      <c r="H3" s="9">
        <f t="shared" ref="H3:H66" si="2">(G3*F3)/2000</f>
        <v>89.947500000000005</v>
      </c>
      <c r="I3" s="8">
        <f t="shared" ref="I3:I66" si="3">(F3*G3)/2204.623</f>
        <v>81.598985404760811</v>
      </c>
      <c r="J3" t="s">
        <v>101</v>
      </c>
    </row>
    <row r="4" spans="1:23" x14ac:dyDescent="0.25">
      <c r="A4">
        <v>3300</v>
      </c>
      <c r="B4">
        <v>2016</v>
      </c>
      <c r="C4" t="s">
        <v>1</v>
      </c>
      <c r="D4" t="s">
        <v>3</v>
      </c>
      <c r="E4" t="s">
        <v>102</v>
      </c>
      <c r="F4" s="17">
        <v>-6081614</v>
      </c>
      <c r="G4" s="17">
        <v>895</v>
      </c>
      <c r="H4" s="9">
        <f t="shared" si="2"/>
        <v>-2721522.2650000001</v>
      </c>
      <c r="I4" s="8">
        <f t="shared" si="3"/>
        <v>-2468923.0448924829</v>
      </c>
      <c r="J4" t="s">
        <v>101</v>
      </c>
    </row>
    <row r="5" spans="1:23" x14ac:dyDescent="0.25">
      <c r="A5">
        <v>3301</v>
      </c>
      <c r="B5">
        <v>2016</v>
      </c>
      <c r="C5" t="s">
        <v>1</v>
      </c>
      <c r="D5" t="s">
        <v>3</v>
      </c>
      <c r="E5" t="s">
        <v>5</v>
      </c>
      <c r="F5" s="17">
        <v>688626</v>
      </c>
      <c r="G5" s="17">
        <v>895</v>
      </c>
      <c r="H5" s="9">
        <f t="shared" si="2"/>
        <v>308160.13500000001</v>
      </c>
      <c r="I5" s="8">
        <f t="shared" si="3"/>
        <v>279558.12399671052</v>
      </c>
      <c r="J5" t="s">
        <v>101</v>
      </c>
    </row>
    <row r="6" spans="1:23" x14ac:dyDescent="0.25">
      <c r="A6">
        <v>3302</v>
      </c>
      <c r="B6">
        <v>2016</v>
      </c>
      <c r="C6" t="s">
        <v>1</v>
      </c>
      <c r="D6" t="s">
        <v>3</v>
      </c>
      <c r="E6" t="s">
        <v>6</v>
      </c>
      <c r="F6" s="17">
        <v>374896</v>
      </c>
      <c r="G6" s="17">
        <v>895</v>
      </c>
      <c r="H6" s="9">
        <f t="shared" si="2"/>
        <v>167765.96</v>
      </c>
      <c r="I6" s="8">
        <f t="shared" si="3"/>
        <v>152194.69269802593</v>
      </c>
      <c r="J6" t="s">
        <v>101</v>
      </c>
    </row>
    <row r="7" spans="1:23" x14ac:dyDescent="0.25">
      <c r="A7">
        <v>3303</v>
      </c>
      <c r="B7">
        <v>2016</v>
      </c>
      <c r="C7" t="s">
        <v>1</v>
      </c>
      <c r="D7" t="s">
        <v>3</v>
      </c>
      <c r="E7" t="s">
        <v>7</v>
      </c>
      <c r="F7" s="17">
        <v>233</v>
      </c>
      <c r="G7" s="17">
        <v>895</v>
      </c>
      <c r="H7" s="9">
        <f t="shared" si="2"/>
        <v>104.2675</v>
      </c>
      <c r="I7" s="8">
        <f t="shared" si="3"/>
        <v>94.58986865327995</v>
      </c>
      <c r="J7" t="s">
        <v>101</v>
      </c>
    </row>
    <row r="8" spans="1:23" x14ac:dyDescent="0.25">
      <c r="A8">
        <v>3304</v>
      </c>
      <c r="B8">
        <v>2016</v>
      </c>
      <c r="C8" t="s">
        <v>1</v>
      </c>
      <c r="D8" t="s">
        <v>3</v>
      </c>
      <c r="E8" t="s">
        <v>8</v>
      </c>
      <c r="F8" s="17">
        <v>16</v>
      </c>
      <c r="G8" s="17">
        <v>895</v>
      </c>
      <c r="H8" s="9">
        <f t="shared" si="2"/>
        <v>7.16</v>
      </c>
      <c r="I8" s="8">
        <f t="shared" si="3"/>
        <v>6.4954416242595672</v>
      </c>
      <c r="J8" t="s">
        <v>101</v>
      </c>
    </row>
    <row r="9" spans="1:23" x14ac:dyDescent="0.25">
      <c r="A9">
        <v>3305</v>
      </c>
      <c r="B9">
        <v>2016</v>
      </c>
      <c r="C9" t="s">
        <v>1</v>
      </c>
      <c r="D9" t="s">
        <v>3</v>
      </c>
      <c r="E9" t="s">
        <v>9</v>
      </c>
      <c r="F9" s="17">
        <v>33095</v>
      </c>
      <c r="G9" s="17">
        <v>895</v>
      </c>
      <c r="H9" s="9">
        <f t="shared" si="2"/>
        <v>14810.012500000001</v>
      </c>
      <c r="I9" s="8">
        <f t="shared" si="3"/>
        <v>13435.415034679398</v>
      </c>
      <c r="J9" t="s">
        <v>101</v>
      </c>
    </row>
    <row r="10" spans="1:23" x14ac:dyDescent="0.25">
      <c r="A10">
        <v>3306</v>
      </c>
      <c r="B10">
        <v>2016</v>
      </c>
      <c r="C10" t="s">
        <v>1</v>
      </c>
      <c r="D10" t="s">
        <v>3</v>
      </c>
      <c r="E10" t="s">
        <v>10</v>
      </c>
      <c r="F10" s="17">
        <v>169176</v>
      </c>
      <c r="G10" s="17">
        <v>895</v>
      </c>
      <c r="H10" s="9">
        <f t="shared" si="2"/>
        <v>75706.259999999995</v>
      </c>
      <c r="I10" s="8">
        <f t="shared" si="3"/>
        <v>68679.552014108529</v>
      </c>
      <c r="J10" t="s">
        <v>101</v>
      </c>
    </row>
    <row r="11" spans="1:23" x14ac:dyDescent="0.25">
      <c r="A11">
        <v>3307</v>
      </c>
      <c r="B11">
        <v>2016</v>
      </c>
      <c r="C11" t="s">
        <v>1</v>
      </c>
      <c r="D11" t="s">
        <v>3</v>
      </c>
      <c r="E11" t="s">
        <v>11</v>
      </c>
      <c r="F11" s="17">
        <v>812939</v>
      </c>
      <c r="G11" s="17">
        <v>895</v>
      </c>
      <c r="H11" s="9">
        <f t="shared" si="2"/>
        <v>363790.20250000001</v>
      </c>
      <c r="I11" s="8">
        <f t="shared" si="3"/>
        <v>330024.86366149678</v>
      </c>
      <c r="J11" t="s">
        <v>101</v>
      </c>
    </row>
    <row r="12" spans="1:23" x14ac:dyDescent="0.25">
      <c r="A12">
        <v>3308</v>
      </c>
      <c r="B12">
        <v>2016</v>
      </c>
      <c r="C12" t="s">
        <v>1</v>
      </c>
      <c r="D12" t="s">
        <v>3</v>
      </c>
      <c r="E12" t="s">
        <v>12</v>
      </c>
      <c r="F12" s="17">
        <v>62409</v>
      </c>
      <c r="G12" s="17">
        <v>895</v>
      </c>
      <c r="H12" s="9">
        <f t="shared" si="2"/>
        <v>27928.0275</v>
      </c>
      <c r="I12" s="8">
        <f t="shared" si="3"/>
        <v>25335.876020525957</v>
      </c>
      <c r="J12" t="s">
        <v>101</v>
      </c>
    </row>
    <row r="13" spans="1:23" x14ac:dyDescent="0.25">
      <c r="A13">
        <v>3309</v>
      </c>
      <c r="B13">
        <v>2016</v>
      </c>
      <c r="C13" t="s">
        <v>1</v>
      </c>
      <c r="D13" t="s">
        <v>3</v>
      </c>
      <c r="E13" t="s">
        <v>13</v>
      </c>
      <c r="F13" s="17">
        <v>1224171</v>
      </c>
      <c r="G13" s="17">
        <v>895</v>
      </c>
      <c r="H13" s="9">
        <f t="shared" si="2"/>
        <v>547816.52249999996</v>
      </c>
      <c r="I13" s="8">
        <f t="shared" si="3"/>
        <v>496970.70428821613</v>
      </c>
      <c r="J13" t="s">
        <v>101</v>
      </c>
    </row>
    <row r="14" spans="1:23" x14ac:dyDescent="0.25">
      <c r="A14">
        <v>3310</v>
      </c>
      <c r="B14">
        <v>2016</v>
      </c>
      <c r="C14" t="s">
        <v>1</v>
      </c>
      <c r="D14" t="s">
        <v>3</v>
      </c>
      <c r="E14" t="s">
        <v>14</v>
      </c>
      <c r="F14" s="17">
        <v>8332</v>
      </c>
      <c r="G14" s="17">
        <v>895</v>
      </c>
      <c r="H14" s="9">
        <f t="shared" si="2"/>
        <v>3728.57</v>
      </c>
      <c r="I14" s="8">
        <f t="shared" si="3"/>
        <v>3382.5012258331694</v>
      </c>
      <c r="J14" t="s">
        <v>101</v>
      </c>
    </row>
    <row r="15" spans="1:23" x14ac:dyDescent="0.25">
      <c r="A15">
        <v>3311</v>
      </c>
      <c r="B15">
        <v>2016</v>
      </c>
      <c r="C15" t="s">
        <v>1</v>
      </c>
      <c r="D15" t="s">
        <v>3</v>
      </c>
      <c r="E15" t="s">
        <v>15</v>
      </c>
      <c r="F15" s="17">
        <v>4432</v>
      </c>
      <c r="G15" s="17">
        <v>895</v>
      </c>
      <c r="H15" s="9">
        <f t="shared" si="2"/>
        <v>1983.32</v>
      </c>
      <c r="I15" s="8">
        <f t="shared" si="3"/>
        <v>1799.2373299199</v>
      </c>
      <c r="J15" t="s">
        <v>101</v>
      </c>
    </row>
    <row r="16" spans="1:23" x14ac:dyDescent="0.25">
      <c r="A16">
        <v>3312</v>
      </c>
      <c r="B16">
        <v>2016</v>
      </c>
      <c r="C16" t="s">
        <v>1</v>
      </c>
      <c r="D16" t="s">
        <v>3</v>
      </c>
      <c r="E16" t="s">
        <v>16</v>
      </c>
      <c r="F16" s="17">
        <v>6600</v>
      </c>
      <c r="G16" s="17">
        <v>895</v>
      </c>
      <c r="H16" s="9">
        <f t="shared" si="2"/>
        <v>2953.5</v>
      </c>
      <c r="I16" s="8">
        <f t="shared" si="3"/>
        <v>2679.3696700070714</v>
      </c>
      <c r="J16" t="s">
        <v>101</v>
      </c>
    </row>
    <row r="17" spans="1:10" x14ac:dyDescent="0.25">
      <c r="A17">
        <v>3313</v>
      </c>
      <c r="B17">
        <v>2016</v>
      </c>
      <c r="C17" t="s">
        <v>1</v>
      </c>
      <c r="D17" t="s">
        <v>3</v>
      </c>
      <c r="E17" t="s">
        <v>103</v>
      </c>
      <c r="F17" s="17">
        <v>500</v>
      </c>
      <c r="G17" s="17">
        <v>895</v>
      </c>
      <c r="H17" s="9">
        <f t="shared" si="2"/>
        <v>223.75</v>
      </c>
      <c r="I17" s="8">
        <f t="shared" si="3"/>
        <v>202.98255075811147</v>
      </c>
      <c r="J17" t="s">
        <v>101</v>
      </c>
    </row>
    <row r="18" spans="1:10" x14ac:dyDescent="0.25">
      <c r="A18">
        <v>3314</v>
      </c>
      <c r="B18">
        <v>2016</v>
      </c>
      <c r="C18" t="s">
        <v>1</v>
      </c>
      <c r="D18" t="s">
        <v>3</v>
      </c>
      <c r="E18" t="s">
        <v>17</v>
      </c>
      <c r="F18" s="17">
        <v>281095</v>
      </c>
      <c r="G18" s="17">
        <v>895</v>
      </c>
      <c r="H18" s="9">
        <f t="shared" si="2"/>
        <v>125790.0125</v>
      </c>
      <c r="I18" s="8">
        <f t="shared" si="3"/>
        <v>114114.76021070269</v>
      </c>
      <c r="J18" t="s">
        <v>101</v>
      </c>
    </row>
    <row r="19" spans="1:10" x14ac:dyDescent="0.25">
      <c r="A19">
        <v>3315</v>
      </c>
      <c r="B19">
        <v>2016</v>
      </c>
      <c r="C19" t="s">
        <v>1</v>
      </c>
      <c r="D19" t="s">
        <v>3</v>
      </c>
      <c r="E19" t="s">
        <v>18</v>
      </c>
      <c r="F19" s="17">
        <v>483150</v>
      </c>
      <c r="G19" s="17">
        <v>895</v>
      </c>
      <c r="H19" s="9">
        <f t="shared" si="2"/>
        <v>216209.625</v>
      </c>
      <c r="I19" s="8">
        <f t="shared" si="3"/>
        <v>196142.03879756312</v>
      </c>
      <c r="J19" t="s">
        <v>101</v>
      </c>
    </row>
    <row r="20" spans="1:10" x14ac:dyDescent="0.25">
      <c r="A20">
        <v>3316</v>
      </c>
      <c r="B20">
        <v>2016</v>
      </c>
      <c r="C20" t="s">
        <v>1</v>
      </c>
      <c r="D20" t="s">
        <v>3</v>
      </c>
      <c r="E20" t="s">
        <v>20</v>
      </c>
      <c r="F20" s="17">
        <v>15232</v>
      </c>
      <c r="G20" s="17">
        <v>895</v>
      </c>
      <c r="H20" s="9">
        <f t="shared" si="2"/>
        <v>6816.32</v>
      </c>
      <c r="I20" s="8">
        <f t="shared" si="3"/>
        <v>6183.6604262951078</v>
      </c>
      <c r="J20" t="s">
        <v>101</v>
      </c>
    </row>
    <row r="21" spans="1:10" x14ac:dyDescent="0.25">
      <c r="A21">
        <v>3317</v>
      </c>
      <c r="B21">
        <v>2016</v>
      </c>
      <c r="C21" t="s">
        <v>1</v>
      </c>
      <c r="D21" t="s">
        <v>3</v>
      </c>
      <c r="E21" t="s">
        <v>21</v>
      </c>
      <c r="F21" s="17">
        <v>160970</v>
      </c>
      <c r="G21" s="17">
        <v>895</v>
      </c>
      <c r="H21" s="9">
        <f t="shared" si="2"/>
        <v>72034.074999999997</v>
      </c>
      <c r="I21" s="8">
        <f t="shared" si="3"/>
        <v>65348.202391066407</v>
      </c>
      <c r="J21" t="s">
        <v>101</v>
      </c>
    </row>
    <row r="22" spans="1:10" x14ac:dyDescent="0.25">
      <c r="A22">
        <v>3318</v>
      </c>
      <c r="B22">
        <v>2016</v>
      </c>
      <c r="C22" t="s">
        <v>1</v>
      </c>
      <c r="D22" t="s">
        <v>3</v>
      </c>
      <c r="E22" t="s">
        <v>22</v>
      </c>
      <c r="F22" s="17">
        <v>20</v>
      </c>
      <c r="G22" s="17">
        <v>895</v>
      </c>
      <c r="H22" s="9">
        <f t="shared" si="2"/>
        <v>8.9499999999999993</v>
      </c>
      <c r="I22" s="8">
        <f t="shared" si="3"/>
        <v>8.1193020303244587</v>
      </c>
      <c r="J22" t="s">
        <v>101</v>
      </c>
    </row>
    <row r="23" spans="1:10" x14ac:dyDescent="0.25">
      <c r="A23">
        <v>3319</v>
      </c>
      <c r="B23">
        <v>2016</v>
      </c>
      <c r="C23" t="s">
        <v>1</v>
      </c>
      <c r="D23" t="s">
        <v>3</v>
      </c>
      <c r="E23" t="s">
        <v>23</v>
      </c>
      <c r="F23" s="17">
        <v>5</v>
      </c>
      <c r="G23" s="17">
        <v>895</v>
      </c>
      <c r="H23" s="9">
        <f t="shared" si="2"/>
        <v>2.2374999999999998</v>
      </c>
      <c r="I23" s="8">
        <f t="shared" si="3"/>
        <v>2.0298255075811147</v>
      </c>
      <c r="J23" t="s">
        <v>101</v>
      </c>
    </row>
    <row r="24" spans="1:10" x14ac:dyDescent="0.25">
      <c r="A24">
        <v>3320</v>
      </c>
      <c r="B24">
        <v>2016</v>
      </c>
      <c r="C24" t="s">
        <v>1</v>
      </c>
      <c r="D24" t="s">
        <v>3</v>
      </c>
      <c r="E24" t="s">
        <v>24</v>
      </c>
      <c r="F24" s="17">
        <v>724215</v>
      </c>
      <c r="G24" s="17">
        <v>895</v>
      </c>
      <c r="H24" s="9">
        <f t="shared" si="2"/>
        <v>324086.21250000002</v>
      </c>
      <c r="I24" s="8">
        <f t="shared" si="3"/>
        <v>294006.01599457138</v>
      </c>
      <c r="J24" t="s">
        <v>101</v>
      </c>
    </row>
    <row r="25" spans="1:10" x14ac:dyDescent="0.25">
      <c r="A25">
        <v>3321</v>
      </c>
      <c r="B25">
        <v>2016</v>
      </c>
      <c r="C25" t="s">
        <v>1</v>
      </c>
      <c r="D25" t="s">
        <v>3</v>
      </c>
      <c r="E25" t="s">
        <v>25</v>
      </c>
      <c r="F25" s="17">
        <v>14367</v>
      </c>
      <c r="G25" s="17">
        <v>895</v>
      </c>
      <c r="H25" s="9">
        <f t="shared" si="2"/>
        <v>6429.2325000000001</v>
      </c>
      <c r="I25" s="8">
        <f t="shared" si="3"/>
        <v>5832.5006134835749</v>
      </c>
      <c r="J25" t="s">
        <v>101</v>
      </c>
    </row>
    <row r="26" spans="1:10" x14ac:dyDescent="0.25">
      <c r="A26">
        <v>3322</v>
      </c>
      <c r="B26">
        <v>2016</v>
      </c>
      <c r="C26" t="s">
        <v>1</v>
      </c>
      <c r="D26" t="s">
        <v>3</v>
      </c>
      <c r="E26" t="s">
        <v>27</v>
      </c>
      <c r="F26" s="17">
        <v>1046909</v>
      </c>
      <c r="G26" s="17">
        <v>895</v>
      </c>
      <c r="H26" s="9">
        <f t="shared" si="2"/>
        <v>468491.77750000003</v>
      </c>
      <c r="I26" s="8">
        <f t="shared" si="3"/>
        <v>425008.51846324746</v>
      </c>
      <c r="J26" t="s">
        <v>101</v>
      </c>
    </row>
    <row r="27" spans="1:10" x14ac:dyDescent="0.25">
      <c r="A27">
        <v>3323</v>
      </c>
      <c r="B27">
        <v>2016</v>
      </c>
      <c r="C27" t="s">
        <v>1</v>
      </c>
      <c r="D27" t="s">
        <v>3</v>
      </c>
      <c r="E27" t="s">
        <v>28</v>
      </c>
      <c r="F27" s="17">
        <v>41481</v>
      </c>
      <c r="G27" s="17">
        <v>895</v>
      </c>
      <c r="H27" s="9">
        <f t="shared" si="2"/>
        <v>18562.747500000001</v>
      </c>
      <c r="I27" s="8">
        <f t="shared" si="3"/>
        <v>16839.838375994445</v>
      </c>
      <c r="J27" t="s">
        <v>101</v>
      </c>
    </row>
    <row r="28" spans="1:10" x14ac:dyDescent="0.25">
      <c r="A28">
        <v>3324</v>
      </c>
      <c r="B28">
        <v>2016</v>
      </c>
      <c r="C28" t="s">
        <v>1</v>
      </c>
      <c r="D28" t="s">
        <v>3</v>
      </c>
      <c r="E28" t="s">
        <v>104</v>
      </c>
      <c r="F28" s="17">
        <v>1600</v>
      </c>
      <c r="G28" s="17">
        <v>895</v>
      </c>
      <c r="H28" s="9">
        <f t="shared" si="2"/>
        <v>716</v>
      </c>
      <c r="I28" s="8">
        <f t="shared" si="3"/>
        <v>649.54416242595676</v>
      </c>
      <c r="J28" t="s">
        <v>101</v>
      </c>
    </row>
    <row r="29" spans="1:10" x14ac:dyDescent="0.25">
      <c r="A29">
        <v>3325</v>
      </c>
      <c r="B29">
        <v>2016</v>
      </c>
      <c r="C29" t="s">
        <v>1</v>
      </c>
      <c r="D29" t="s">
        <v>3</v>
      </c>
      <c r="E29" t="s">
        <v>105</v>
      </c>
      <c r="F29" s="17">
        <v>336</v>
      </c>
      <c r="G29" s="17">
        <v>895</v>
      </c>
      <c r="H29" s="9">
        <f t="shared" si="2"/>
        <v>150.36000000000001</v>
      </c>
      <c r="I29" s="8">
        <f t="shared" si="3"/>
        <v>136.40427410945091</v>
      </c>
      <c r="J29" t="s">
        <v>101</v>
      </c>
    </row>
    <row r="30" spans="1:10" x14ac:dyDescent="0.25">
      <c r="A30">
        <v>3326</v>
      </c>
      <c r="B30">
        <v>2016</v>
      </c>
      <c r="C30" t="s">
        <v>1</v>
      </c>
      <c r="D30" t="s">
        <v>3</v>
      </c>
      <c r="E30" t="s">
        <v>29</v>
      </c>
      <c r="F30" s="17">
        <v>12081</v>
      </c>
      <c r="G30" s="17">
        <v>895</v>
      </c>
      <c r="H30" s="9">
        <f t="shared" si="2"/>
        <v>5406.2475000000004</v>
      </c>
      <c r="I30" s="8">
        <f t="shared" si="3"/>
        <v>4904.4643914174894</v>
      </c>
      <c r="J30" t="s">
        <v>101</v>
      </c>
    </row>
    <row r="31" spans="1:10" x14ac:dyDescent="0.25">
      <c r="A31">
        <v>3327</v>
      </c>
      <c r="B31">
        <v>2016</v>
      </c>
      <c r="C31" t="s">
        <v>1</v>
      </c>
      <c r="D31" t="s">
        <v>3</v>
      </c>
      <c r="E31" t="s">
        <v>30</v>
      </c>
      <c r="F31" s="17">
        <v>14335</v>
      </c>
      <c r="G31" s="17">
        <v>895</v>
      </c>
      <c r="H31" s="9">
        <f t="shared" si="2"/>
        <v>6414.9125000000004</v>
      </c>
      <c r="I31" s="8">
        <f t="shared" si="3"/>
        <v>5819.5097302350559</v>
      </c>
      <c r="J31" t="s">
        <v>101</v>
      </c>
    </row>
    <row r="32" spans="1:10" x14ac:dyDescent="0.25">
      <c r="A32">
        <v>3328</v>
      </c>
      <c r="B32">
        <v>2016</v>
      </c>
      <c r="C32" t="s">
        <v>1</v>
      </c>
      <c r="D32" t="s">
        <v>3</v>
      </c>
      <c r="E32" t="s">
        <v>31</v>
      </c>
      <c r="F32" s="17">
        <v>73911</v>
      </c>
      <c r="G32" s="17">
        <v>895</v>
      </c>
      <c r="H32" s="9">
        <f t="shared" si="2"/>
        <v>33075.172500000001</v>
      </c>
      <c r="I32" s="8">
        <f t="shared" si="3"/>
        <v>30005.286618165555</v>
      </c>
      <c r="J32" t="s">
        <v>101</v>
      </c>
    </row>
    <row r="33" spans="1:10" x14ac:dyDescent="0.25">
      <c r="A33">
        <v>3329</v>
      </c>
      <c r="B33">
        <v>2016</v>
      </c>
      <c r="C33" t="s">
        <v>1</v>
      </c>
      <c r="D33" t="s">
        <v>3</v>
      </c>
      <c r="E33" t="s">
        <v>32</v>
      </c>
      <c r="F33" s="17">
        <v>308093</v>
      </c>
      <c r="G33" s="17">
        <v>895</v>
      </c>
      <c r="H33" s="9">
        <f t="shared" si="2"/>
        <v>137871.61749999999</v>
      </c>
      <c r="I33" s="8">
        <f t="shared" si="3"/>
        <v>125075.00602143767</v>
      </c>
      <c r="J33" t="s">
        <v>101</v>
      </c>
    </row>
    <row r="34" spans="1:10" x14ac:dyDescent="0.25">
      <c r="A34">
        <v>3330</v>
      </c>
      <c r="B34">
        <v>2016</v>
      </c>
      <c r="C34" t="s">
        <v>1</v>
      </c>
      <c r="D34" t="s">
        <v>3</v>
      </c>
      <c r="E34" t="s">
        <v>33</v>
      </c>
      <c r="F34" s="17">
        <v>118836</v>
      </c>
      <c r="G34" s="17">
        <v>895</v>
      </c>
      <c r="H34" s="9">
        <f t="shared" si="2"/>
        <v>53179.11</v>
      </c>
      <c r="I34" s="8">
        <f t="shared" si="3"/>
        <v>48243.268803781873</v>
      </c>
      <c r="J34" t="s">
        <v>101</v>
      </c>
    </row>
    <row r="35" spans="1:10" x14ac:dyDescent="0.25">
      <c r="A35">
        <v>3331</v>
      </c>
      <c r="B35">
        <v>2016</v>
      </c>
      <c r="C35" t="s">
        <v>1</v>
      </c>
      <c r="D35" t="s">
        <v>3</v>
      </c>
      <c r="E35" t="s">
        <v>34</v>
      </c>
      <c r="F35" s="17">
        <v>158000</v>
      </c>
      <c r="G35" s="17">
        <v>895</v>
      </c>
      <c r="H35" s="9">
        <f t="shared" si="2"/>
        <v>70705</v>
      </c>
      <c r="I35" s="8">
        <f t="shared" si="3"/>
        <v>64142.486039563228</v>
      </c>
      <c r="J35" t="s">
        <v>101</v>
      </c>
    </row>
    <row r="36" spans="1:10" x14ac:dyDescent="0.25">
      <c r="A36">
        <v>3332</v>
      </c>
      <c r="B36">
        <v>2016</v>
      </c>
      <c r="C36" t="s">
        <v>1</v>
      </c>
      <c r="D36" t="s">
        <v>3</v>
      </c>
      <c r="E36" t="s">
        <v>35</v>
      </c>
      <c r="F36" s="17">
        <v>956</v>
      </c>
      <c r="G36" s="17">
        <v>895</v>
      </c>
      <c r="H36" s="9">
        <f t="shared" si="2"/>
        <v>427.81</v>
      </c>
      <c r="I36" s="8">
        <f t="shared" si="3"/>
        <v>388.10263704950916</v>
      </c>
      <c r="J36" t="s">
        <v>101</v>
      </c>
    </row>
    <row r="37" spans="1:10" x14ac:dyDescent="0.25">
      <c r="A37">
        <v>3333</v>
      </c>
      <c r="B37">
        <v>2016</v>
      </c>
      <c r="C37" t="s">
        <v>1</v>
      </c>
      <c r="D37" t="s">
        <v>3</v>
      </c>
      <c r="E37" t="s">
        <v>36</v>
      </c>
      <c r="F37" s="17">
        <v>153</v>
      </c>
      <c r="G37" s="17">
        <v>895</v>
      </c>
      <c r="H37" s="9">
        <f t="shared" si="2"/>
        <v>68.467500000000001</v>
      </c>
      <c r="I37" s="8">
        <f t="shared" si="3"/>
        <v>62.112660531982108</v>
      </c>
      <c r="J37" t="s">
        <v>101</v>
      </c>
    </row>
    <row r="38" spans="1:10" x14ac:dyDescent="0.25">
      <c r="A38">
        <v>3334</v>
      </c>
      <c r="B38">
        <v>2016</v>
      </c>
      <c r="C38" t="s">
        <v>1</v>
      </c>
      <c r="D38" t="s">
        <v>3</v>
      </c>
      <c r="E38" t="s">
        <v>37</v>
      </c>
      <c r="F38" s="17">
        <v>92909</v>
      </c>
      <c r="G38" s="17">
        <v>895</v>
      </c>
      <c r="H38" s="9">
        <f t="shared" si="2"/>
        <v>41576.777499999997</v>
      </c>
      <c r="I38" s="8">
        <f t="shared" si="3"/>
        <v>37717.811616770756</v>
      </c>
      <c r="J38" t="s">
        <v>101</v>
      </c>
    </row>
    <row r="39" spans="1:10" x14ac:dyDescent="0.25">
      <c r="A39">
        <v>3335</v>
      </c>
      <c r="B39">
        <v>2016</v>
      </c>
      <c r="C39" t="s">
        <v>1</v>
      </c>
      <c r="D39" t="s">
        <v>3</v>
      </c>
      <c r="E39" t="s">
        <v>38</v>
      </c>
      <c r="F39" s="17">
        <v>450861</v>
      </c>
      <c r="G39" s="17">
        <v>895</v>
      </c>
      <c r="H39" s="9">
        <f t="shared" si="2"/>
        <v>201760.29749999999</v>
      </c>
      <c r="I39" s="8">
        <f t="shared" si="3"/>
        <v>183033.8316347058</v>
      </c>
      <c r="J39" t="s">
        <v>101</v>
      </c>
    </row>
    <row r="40" spans="1:10" x14ac:dyDescent="0.25">
      <c r="A40">
        <v>3336</v>
      </c>
      <c r="B40">
        <v>2016</v>
      </c>
      <c r="C40" t="s">
        <v>1</v>
      </c>
      <c r="D40" t="s">
        <v>3</v>
      </c>
      <c r="E40" t="s">
        <v>39</v>
      </c>
      <c r="F40" s="17">
        <v>27590</v>
      </c>
      <c r="G40" s="17">
        <v>895</v>
      </c>
      <c r="H40" s="9">
        <f t="shared" si="2"/>
        <v>12346.525</v>
      </c>
      <c r="I40" s="8">
        <f t="shared" si="3"/>
        <v>11200.577150832591</v>
      </c>
      <c r="J40" t="s">
        <v>101</v>
      </c>
    </row>
    <row r="41" spans="1:10" x14ac:dyDescent="0.25">
      <c r="A41">
        <v>3337</v>
      </c>
      <c r="B41">
        <v>2016</v>
      </c>
      <c r="C41" t="s">
        <v>1</v>
      </c>
      <c r="D41" t="s">
        <v>3</v>
      </c>
      <c r="E41" t="s">
        <v>106</v>
      </c>
      <c r="F41" s="17">
        <v>100</v>
      </c>
      <c r="G41" s="17">
        <v>895</v>
      </c>
      <c r="H41" s="9">
        <f t="shared" si="2"/>
        <v>44.75</v>
      </c>
      <c r="I41" s="8">
        <f t="shared" si="3"/>
        <v>40.596510151622297</v>
      </c>
      <c r="J41" t="s">
        <v>101</v>
      </c>
    </row>
    <row r="42" spans="1:10" x14ac:dyDescent="0.25">
      <c r="A42">
        <v>3338</v>
      </c>
      <c r="B42">
        <v>2016</v>
      </c>
      <c r="C42" t="s">
        <v>1</v>
      </c>
      <c r="D42" t="s">
        <v>3</v>
      </c>
      <c r="E42" t="s">
        <v>40</v>
      </c>
      <c r="F42" s="17">
        <v>78082</v>
      </c>
      <c r="G42" s="17">
        <v>895</v>
      </c>
      <c r="H42" s="9">
        <f t="shared" si="2"/>
        <v>34941.695</v>
      </c>
      <c r="I42" s="8">
        <f t="shared" si="3"/>
        <v>31698.56705658972</v>
      </c>
      <c r="J42" t="s">
        <v>101</v>
      </c>
    </row>
    <row r="43" spans="1:10" x14ac:dyDescent="0.25">
      <c r="A43">
        <v>3339</v>
      </c>
      <c r="B43">
        <v>2016</v>
      </c>
      <c r="C43" t="s">
        <v>1</v>
      </c>
      <c r="D43" t="s">
        <v>3</v>
      </c>
      <c r="E43" t="s">
        <v>41</v>
      </c>
      <c r="F43" s="17">
        <v>232943</v>
      </c>
      <c r="G43" s="17">
        <v>895</v>
      </c>
      <c r="H43" s="9">
        <f t="shared" si="2"/>
        <v>104241.99249999999</v>
      </c>
      <c r="I43" s="8">
        <f t="shared" si="3"/>
        <v>94566.728642493516</v>
      </c>
      <c r="J43" t="s">
        <v>101</v>
      </c>
    </row>
    <row r="44" spans="1:10" x14ac:dyDescent="0.25">
      <c r="A44">
        <v>3340</v>
      </c>
      <c r="B44">
        <v>2016</v>
      </c>
      <c r="C44" t="s">
        <v>1</v>
      </c>
      <c r="D44" t="s">
        <v>3</v>
      </c>
      <c r="E44" t="s">
        <v>81</v>
      </c>
      <c r="F44" s="17">
        <v>975</v>
      </c>
      <c r="G44" s="17">
        <v>895</v>
      </c>
      <c r="H44" s="9">
        <f t="shared" si="2"/>
        <v>436.3125</v>
      </c>
      <c r="I44" s="8">
        <f t="shared" si="3"/>
        <v>395.81597397831734</v>
      </c>
      <c r="J44" t="s">
        <v>101</v>
      </c>
    </row>
    <row r="45" spans="1:10" x14ac:dyDescent="0.25">
      <c r="A45">
        <v>3341</v>
      </c>
      <c r="B45">
        <v>2016</v>
      </c>
      <c r="C45" t="s">
        <v>1</v>
      </c>
      <c r="D45" t="s">
        <v>3</v>
      </c>
      <c r="E45" t="s">
        <v>42</v>
      </c>
      <c r="F45" s="17">
        <v>979776</v>
      </c>
      <c r="G45" s="17">
        <v>895</v>
      </c>
      <c r="H45" s="9">
        <f t="shared" si="2"/>
        <v>438449.76</v>
      </c>
      <c r="I45" s="8">
        <f t="shared" si="3"/>
        <v>397754.86330315884</v>
      </c>
      <c r="J45" t="s">
        <v>101</v>
      </c>
    </row>
    <row r="46" spans="1:10" x14ac:dyDescent="0.25">
      <c r="A46">
        <v>3342</v>
      </c>
      <c r="B46">
        <v>2016</v>
      </c>
      <c r="C46" t="s">
        <v>1</v>
      </c>
      <c r="D46" t="s">
        <v>3</v>
      </c>
      <c r="E46" t="s">
        <v>43</v>
      </c>
      <c r="F46" s="17">
        <v>757605</v>
      </c>
      <c r="G46" s="17">
        <v>895</v>
      </c>
      <c r="H46" s="9">
        <f t="shared" si="2"/>
        <v>339028.23749999999</v>
      </c>
      <c r="I46" s="8">
        <f t="shared" si="3"/>
        <v>307561.19073419808</v>
      </c>
      <c r="J46" t="s">
        <v>101</v>
      </c>
    </row>
    <row r="47" spans="1:10" x14ac:dyDescent="0.25">
      <c r="A47">
        <v>3343</v>
      </c>
      <c r="B47">
        <v>2016</v>
      </c>
      <c r="C47" t="s">
        <v>1</v>
      </c>
      <c r="D47" t="s">
        <v>3</v>
      </c>
      <c r="E47" t="s">
        <v>44</v>
      </c>
      <c r="F47" s="17">
        <v>2609</v>
      </c>
      <c r="G47" s="17">
        <v>895</v>
      </c>
      <c r="H47" s="9">
        <f t="shared" si="2"/>
        <v>1167.5274999999999</v>
      </c>
      <c r="I47" s="8">
        <f t="shared" si="3"/>
        <v>1059.1629498558257</v>
      </c>
      <c r="J47" t="s">
        <v>101</v>
      </c>
    </row>
    <row r="48" spans="1:10" x14ac:dyDescent="0.25">
      <c r="A48">
        <v>3344</v>
      </c>
      <c r="B48">
        <v>2016</v>
      </c>
      <c r="C48" t="s">
        <v>1</v>
      </c>
      <c r="D48" t="s">
        <v>3</v>
      </c>
      <c r="E48" t="s">
        <v>45</v>
      </c>
      <c r="F48" s="17">
        <v>18671</v>
      </c>
      <c r="G48" s="17">
        <v>895</v>
      </c>
      <c r="H48" s="9">
        <f t="shared" si="2"/>
        <v>8355.2724999999991</v>
      </c>
      <c r="I48" s="8">
        <f t="shared" si="3"/>
        <v>7579.774410409399</v>
      </c>
      <c r="J48" t="s">
        <v>101</v>
      </c>
    </row>
    <row r="49" spans="1:10" x14ac:dyDescent="0.25">
      <c r="A49">
        <v>3345</v>
      </c>
      <c r="B49">
        <v>2016</v>
      </c>
      <c r="C49" t="s">
        <v>1</v>
      </c>
      <c r="D49" t="s">
        <v>3</v>
      </c>
      <c r="E49" t="s">
        <v>46</v>
      </c>
      <c r="F49" s="17">
        <v>2531701</v>
      </c>
      <c r="G49" s="17">
        <v>895</v>
      </c>
      <c r="H49" s="9">
        <f t="shared" si="2"/>
        <v>1132936.1975</v>
      </c>
      <c r="I49" s="8">
        <f t="shared" si="3"/>
        <v>1027782.2534737232</v>
      </c>
      <c r="J49" t="s">
        <v>101</v>
      </c>
    </row>
    <row r="50" spans="1:10" x14ac:dyDescent="0.25">
      <c r="A50">
        <v>3346</v>
      </c>
      <c r="B50">
        <v>2016</v>
      </c>
      <c r="C50" t="s">
        <v>48</v>
      </c>
      <c r="D50" t="s">
        <v>3</v>
      </c>
      <c r="E50" t="s">
        <v>47</v>
      </c>
      <c r="F50" s="17">
        <v>-39390.894</v>
      </c>
      <c r="G50" s="17">
        <v>895</v>
      </c>
      <c r="H50" s="9">
        <f t="shared" si="2"/>
        <v>-17627.425065000003</v>
      </c>
      <c r="I50" s="8">
        <f t="shared" si="3"/>
        <v>-15991.328281524779</v>
      </c>
      <c r="J50" t="s">
        <v>107</v>
      </c>
    </row>
    <row r="51" spans="1:10" x14ac:dyDescent="0.25">
      <c r="A51">
        <v>3347</v>
      </c>
      <c r="B51">
        <v>2016</v>
      </c>
      <c r="C51" t="s">
        <v>48</v>
      </c>
      <c r="D51" t="s">
        <v>3</v>
      </c>
      <c r="E51" t="s">
        <v>49</v>
      </c>
      <c r="F51" s="17">
        <v>26884.028999999999</v>
      </c>
      <c r="G51" s="17">
        <v>895</v>
      </c>
      <c r="H51" s="9">
        <f t="shared" si="2"/>
        <v>12030.602977499999</v>
      </c>
      <c r="I51" s="8">
        <f t="shared" si="3"/>
        <v>10913.977562150081</v>
      </c>
      <c r="J51" t="s">
        <v>107</v>
      </c>
    </row>
    <row r="52" spans="1:10" x14ac:dyDescent="0.25">
      <c r="A52">
        <v>3348</v>
      </c>
      <c r="B52">
        <v>2016</v>
      </c>
      <c r="C52" t="s">
        <v>48</v>
      </c>
      <c r="D52" t="s">
        <v>3</v>
      </c>
      <c r="E52" t="s">
        <v>50</v>
      </c>
      <c r="F52" s="17">
        <v>-22440.600999999999</v>
      </c>
      <c r="G52" s="17">
        <v>895</v>
      </c>
      <c r="H52" s="9">
        <f t="shared" si="2"/>
        <v>-10042.1689475</v>
      </c>
      <c r="I52" s="8">
        <f t="shared" si="3"/>
        <v>-9110.1008630500546</v>
      </c>
      <c r="J52" t="s">
        <v>107</v>
      </c>
    </row>
    <row r="53" spans="1:10" x14ac:dyDescent="0.25">
      <c r="A53">
        <v>3349</v>
      </c>
      <c r="B53">
        <v>2016</v>
      </c>
      <c r="C53" t="s">
        <v>48</v>
      </c>
      <c r="D53" t="s">
        <v>3</v>
      </c>
      <c r="E53" t="s">
        <v>52</v>
      </c>
      <c r="F53" s="17">
        <v>2522.125</v>
      </c>
      <c r="G53" s="17">
        <v>895</v>
      </c>
      <c r="H53" s="9">
        <f t="shared" si="2"/>
        <v>1128.6509375000001</v>
      </c>
      <c r="I53" s="8">
        <f t="shared" si="3"/>
        <v>1023.8947316616038</v>
      </c>
      <c r="J53" t="s">
        <v>107</v>
      </c>
    </row>
    <row r="54" spans="1:10" x14ac:dyDescent="0.25">
      <c r="A54">
        <v>3350</v>
      </c>
      <c r="B54">
        <v>2016</v>
      </c>
      <c r="C54" t="s">
        <v>48</v>
      </c>
      <c r="D54" t="s">
        <v>3</v>
      </c>
      <c r="E54" t="s">
        <v>53</v>
      </c>
      <c r="F54" s="17">
        <v>17368.060000000001</v>
      </c>
      <c r="G54" s="17">
        <v>895</v>
      </c>
      <c r="H54" s="9">
        <f t="shared" si="2"/>
        <v>7772.2068500000005</v>
      </c>
      <c r="I54" s="8">
        <f t="shared" si="3"/>
        <v>7050.826241039852</v>
      </c>
      <c r="J54" t="s">
        <v>107</v>
      </c>
    </row>
    <row r="55" spans="1:10" x14ac:dyDescent="0.25">
      <c r="A55">
        <v>3351</v>
      </c>
      <c r="B55">
        <v>2016</v>
      </c>
      <c r="C55" t="s">
        <v>48</v>
      </c>
      <c r="D55" t="s">
        <v>3</v>
      </c>
      <c r="E55" t="s">
        <v>54</v>
      </c>
      <c r="F55" s="17">
        <v>-2196.0230000000001</v>
      </c>
      <c r="G55" s="17">
        <v>895</v>
      </c>
      <c r="H55" s="9">
        <f t="shared" si="2"/>
        <v>-982.72029250000014</v>
      </c>
      <c r="I55" s="8">
        <f t="shared" si="3"/>
        <v>-891.50870012696055</v>
      </c>
      <c r="J55" t="s">
        <v>107</v>
      </c>
    </row>
    <row r="56" spans="1:10" x14ac:dyDescent="0.25">
      <c r="A56">
        <v>3352</v>
      </c>
      <c r="B56">
        <v>2016</v>
      </c>
      <c r="C56" t="s">
        <v>48</v>
      </c>
      <c r="D56" t="s">
        <v>3</v>
      </c>
      <c r="E56" t="s">
        <v>55</v>
      </c>
      <c r="F56" s="17">
        <v>5396.1610000000001</v>
      </c>
      <c r="G56" s="17">
        <v>895</v>
      </c>
      <c r="H56" s="9">
        <f t="shared" si="2"/>
        <v>2414.7820474999999</v>
      </c>
      <c r="I56" s="8">
        <f t="shared" si="3"/>
        <v>2190.6530481628829</v>
      </c>
      <c r="J56" t="s">
        <v>107</v>
      </c>
    </row>
    <row r="57" spans="1:10" x14ac:dyDescent="0.25">
      <c r="A57">
        <v>3353</v>
      </c>
      <c r="B57">
        <v>2016</v>
      </c>
      <c r="C57" t="s">
        <v>48</v>
      </c>
      <c r="D57" t="s">
        <v>3</v>
      </c>
      <c r="E57" t="s">
        <v>56</v>
      </c>
      <c r="F57" s="17">
        <v>1504.989</v>
      </c>
      <c r="G57" s="17">
        <v>895</v>
      </c>
      <c r="H57" s="9">
        <f t="shared" si="2"/>
        <v>673.48257750000005</v>
      </c>
      <c r="I57" s="8">
        <f t="shared" si="3"/>
        <v>610.97301216579888</v>
      </c>
      <c r="J57" t="s">
        <v>107</v>
      </c>
    </row>
    <row r="58" spans="1:10" x14ac:dyDescent="0.25">
      <c r="A58">
        <v>3354</v>
      </c>
      <c r="B58">
        <v>2016</v>
      </c>
      <c r="C58" t="s">
        <v>48</v>
      </c>
      <c r="D58" t="s">
        <v>3</v>
      </c>
      <c r="E58" t="s">
        <v>57</v>
      </c>
      <c r="F58" s="17">
        <v>37286.472999999998</v>
      </c>
      <c r="G58" s="17">
        <v>895</v>
      </c>
      <c r="H58" s="9">
        <f t="shared" si="2"/>
        <v>16685.6966675</v>
      </c>
      <c r="I58" s="8">
        <f t="shared" si="3"/>
        <v>15137.006796626905</v>
      </c>
      <c r="J58" t="s">
        <v>107</v>
      </c>
    </row>
    <row r="59" spans="1:10" x14ac:dyDescent="0.25">
      <c r="A59">
        <v>3355</v>
      </c>
      <c r="B59">
        <v>2016</v>
      </c>
      <c r="C59" t="s">
        <v>48</v>
      </c>
      <c r="D59" t="s">
        <v>3</v>
      </c>
      <c r="E59" t="s">
        <v>58</v>
      </c>
      <c r="F59" s="17">
        <v>752.99099999999999</v>
      </c>
      <c r="G59" s="17">
        <v>895</v>
      </c>
      <c r="H59" s="9">
        <f t="shared" si="2"/>
        <v>336.96347249999997</v>
      </c>
      <c r="I59" s="8">
        <f t="shared" si="3"/>
        <v>305.68806775580219</v>
      </c>
      <c r="J59" t="s">
        <v>107</v>
      </c>
    </row>
    <row r="60" spans="1:10" x14ac:dyDescent="0.25">
      <c r="A60">
        <v>3356</v>
      </c>
      <c r="B60">
        <v>2016</v>
      </c>
      <c r="C60" t="s">
        <v>48</v>
      </c>
      <c r="D60" t="s">
        <v>3</v>
      </c>
      <c r="E60" t="s">
        <v>59</v>
      </c>
      <c r="F60" s="17">
        <v>59160.167999999998</v>
      </c>
      <c r="G60" s="17">
        <v>895</v>
      </c>
      <c r="H60" s="9">
        <f t="shared" si="2"/>
        <v>26474.175179999998</v>
      </c>
      <c r="I60" s="8">
        <f t="shared" si="3"/>
        <v>24016.963607836806</v>
      </c>
      <c r="J60" t="s">
        <v>107</v>
      </c>
    </row>
    <row r="61" spans="1:10" x14ac:dyDescent="0.25">
      <c r="A61">
        <v>3357</v>
      </c>
      <c r="B61">
        <v>2016</v>
      </c>
      <c r="C61" t="s">
        <v>48</v>
      </c>
      <c r="D61" t="s">
        <v>3</v>
      </c>
      <c r="E61" t="s">
        <v>60</v>
      </c>
      <c r="F61" s="17">
        <v>5698.8680000000004</v>
      </c>
      <c r="G61" s="17">
        <v>895</v>
      </c>
      <c r="H61" s="9">
        <f t="shared" si="2"/>
        <v>2550.24343</v>
      </c>
      <c r="I61" s="8">
        <f t="shared" si="3"/>
        <v>2313.5415261475546</v>
      </c>
      <c r="J61" t="s">
        <v>107</v>
      </c>
    </row>
    <row r="62" spans="1:10" x14ac:dyDescent="0.25">
      <c r="A62">
        <v>3358</v>
      </c>
      <c r="B62">
        <v>2016</v>
      </c>
      <c r="C62" t="s">
        <v>48</v>
      </c>
      <c r="D62" t="s">
        <v>3</v>
      </c>
      <c r="E62" t="s">
        <v>61</v>
      </c>
      <c r="F62" s="17">
        <v>3163.4</v>
      </c>
      <c r="G62" s="17">
        <v>895</v>
      </c>
      <c r="H62" s="9">
        <f t="shared" si="2"/>
        <v>1415.6215</v>
      </c>
      <c r="I62" s="8">
        <f t="shared" si="3"/>
        <v>1284.2300021364197</v>
      </c>
      <c r="J62" t="s">
        <v>107</v>
      </c>
    </row>
    <row r="63" spans="1:10" x14ac:dyDescent="0.25">
      <c r="A63">
        <v>3359</v>
      </c>
      <c r="B63">
        <v>2016</v>
      </c>
      <c r="C63" t="s">
        <v>48</v>
      </c>
      <c r="D63" t="s">
        <v>3</v>
      </c>
      <c r="E63" t="s">
        <v>62</v>
      </c>
      <c r="F63" s="17">
        <v>8889.9590000000007</v>
      </c>
      <c r="G63" s="17">
        <v>895</v>
      </c>
      <c r="H63" s="9">
        <f t="shared" si="2"/>
        <v>3978.2566525000002</v>
      </c>
      <c r="I63" s="8">
        <f t="shared" si="3"/>
        <v>3609.0131079100602</v>
      </c>
      <c r="J63" t="s">
        <v>107</v>
      </c>
    </row>
    <row r="64" spans="1:10" x14ac:dyDescent="0.25">
      <c r="A64">
        <v>3360</v>
      </c>
      <c r="B64">
        <v>2016</v>
      </c>
      <c r="C64" t="s">
        <v>48</v>
      </c>
      <c r="D64" t="s">
        <v>3</v>
      </c>
      <c r="E64" t="s">
        <v>63</v>
      </c>
      <c r="F64" s="17">
        <v>18962.732</v>
      </c>
      <c r="G64" s="17">
        <v>895</v>
      </c>
      <c r="H64" s="9">
        <f t="shared" si="2"/>
        <v>8485.8225700000003</v>
      </c>
      <c r="I64" s="8">
        <f t="shared" si="3"/>
        <v>7698.2074214049298</v>
      </c>
      <c r="J64" t="s">
        <v>107</v>
      </c>
    </row>
    <row r="65" spans="1:10" x14ac:dyDescent="0.25">
      <c r="A65">
        <v>3361</v>
      </c>
      <c r="B65">
        <v>2016</v>
      </c>
      <c r="C65" t="s">
        <v>48</v>
      </c>
      <c r="D65" t="s">
        <v>3</v>
      </c>
      <c r="E65" t="s">
        <v>64</v>
      </c>
      <c r="F65" s="17">
        <v>1384.027</v>
      </c>
      <c r="G65" s="17">
        <v>895</v>
      </c>
      <c r="H65" s="9">
        <f t="shared" si="2"/>
        <v>619.35208250000005</v>
      </c>
      <c r="I65" s="8">
        <f t="shared" si="3"/>
        <v>561.86666155619355</v>
      </c>
      <c r="J65" t="s">
        <v>107</v>
      </c>
    </row>
    <row r="66" spans="1:10" x14ac:dyDescent="0.25">
      <c r="A66">
        <v>3362</v>
      </c>
      <c r="B66">
        <v>2016</v>
      </c>
      <c r="C66" t="s">
        <v>48</v>
      </c>
      <c r="D66" t="s">
        <v>3</v>
      </c>
      <c r="E66" t="s">
        <v>65</v>
      </c>
      <c r="F66" s="17">
        <v>-15814.602999999999</v>
      </c>
      <c r="G66" s="17">
        <v>895</v>
      </c>
      <c r="H66" s="9">
        <f t="shared" si="2"/>
        <v>-7077.0348424999993</v>
      </c>
      <c r="I66" s="8">
        <f t="shared" si="3"/>
        <v>-6420.1769123337635</v>
      </c>
      <c r="J66" t="s">
        <v>107</v>
      </c>
    </row>
    <row r="67" spans="1:10" x14ac:dyDescent="0.25">
      <c r="A67">
        <v>3363</v>
      </c>
      <c r="B67">
        <v>2016</v>
      </c>
      <c r="C67" t="s">
        <v>67</v>
      </c>
      <c r="D67" t="s">
        <v>3</v>
      </c>
      <c r="E67" t="s">
        <v>66</v>
      </c>
      <c r="F67" s="17">
        <v>21796.48</v>
      </c>
      <c r="G67" s="17">
        <v>895</v>
      </c>
      <c r="H67" s="9">
        <f t="shared" ref="H67:H130" si="4">(G67*F67)/2000</f>
        <v>9753.9247999999989</v>
      </c>
      <c r="I67" s="8">
        <f t="shared" ref="I67:I130" si="5">(F67*G67)/2204.623</f>
        <v>8848.6102158963222</v>
      </c>
      <c r="J67" t="s">
        <v>108</v>
      </c>
    </row>
    <row r="68" spans="1:10" x14ac:dyDescent="0.25">
      <c r="A68">
        <v>3364</v>
      </c>
      <c r="B68">
        <v>2016</v>
      </c>
      <c r="C68" t="s">
        <v>67</v>
      </c>
      <c r="D68" t="s">
        <v>3</v>
      </c>
      <c r="E68" t="s">
        <v>11</v>
      </c>
      <c r="F68" s="17">
        <v>200</v>
      </c>
      <c r="G68" s="17">
        <v>895</v>
      </c>
      <c r="H68" s="9">
        <f t="shared" si="4"/>
        <v>89.5</v>
      </c>
      <c r="I68" s="8">
        <f t="shared" si="5"/>
        <v>81.193020303244595</v>
      </c>
      <c r="J68" t="s">
        <v>108</v>
      </c>
    </row>
    <row r="69" spans="1:10" x14ac:dyDescent="0.25">
      <c r="A69">
        <v>3365</v>
      </c>
      <c r="B69">
        <v>2016</v>
      </c>
      <c r="C69" t="s">
        <v>67</v>
      </c>
      <c r="D69" t="s">
        <v>3</v>
      </c>
      <c r="E69" t="s">
        <v>68</v>
      </c>
      <c r="F69" s="17">
        <v>413000</v>
      </c>
      <c r="G69" s="17">
        <v>895</v>
      </c>
      <c r="H69" s="9">
        <f t="shared" si="4"/>
        <v>184817.5</v>
      </c>
      <c r="I69" s="8">
        <f t="shared" si="5"/>
        <v>167663.58692620008</v>
      </c>
      <c r="J69" t="s">
        <v>108</v>
      </c>
    </row>
    <row r="70" spans="1:10" x14ac:dyDescent="0.25">
      <c r="A70">
        <v>3366</v>
      </c>
      <c r="B70">
        <v>2016</v>
      </c>
      <c r="C70" t="s">
        <v>70</v>
      </c>
      <c r="D70" t="s">
        <v>3</v>
      </c>
      <c r="E70" t="s">
        <v>69</v>
      </c>
      <c r="F70" s="17">
        <v>18141.771000000001</v>
      </c>
      <c r="G70" s="17">
        <v>895</v>
      </c>
      <c r="H70" s="9">
        <f t="shared" si="4"/>
        <v>8118.4425224999995</v>
      </c>
      <c r="I70" s="8">
        <f t="shared" si="5"/>
        <v>7364.9259056990695</v>
      </c>
      <c r="J70" t="s">
        <v>109</v>
      </c>
    </row>
    <row r="71" spans="1:10" x14ac:dyDescent="0.25">
      <c r="A71">
        <v>3367</v>
      </c>
      <c r="B71">
        <v>2016</v>
      </c>
      <c r="C71" t="s">
        <v>70</v>
      </c>
      <c r="D71" t="s">
        <v>3</v>
      </c>
      <c r="E71" t="s">
        <v>68</v>
      </c>
      <c r="F71" s="17">
        <v>-413000</v>
      </c>
      <c r="G71" s="17">
        <v>895</v>
      </c>
      <c r="H71" s="9">
        <f t="shared" si="4"/>
        <v>-184817.5</v>
      </c>
      <c r="I71" s="8">
        <f t="shared" si="5"/>
        <v>-167663.58692620008</v>
      </c>
      <c r="J71" t="s">
        <v>109</v>
      </c>
    </row>
    <row r="72" spans="1:10" x14ac:dyDescent="0.25">
      <c r="A72">
        <v>3368</v>
      </c>
      <c r="B72">
        <v>2016</v>
      </c>
      <c r="C72" t="s">
        <v>70</v>
      </c>
      <c r="D72" t="s">
        <v>3</v>
      </c>
      <c r="E72" t="s">
        <v>32</v>
      </c>
      <c r="F72" s="17">
        <v>-100</v>
      </c>
      <c r="G72" s="17">
        <v>895</v>
      </c>
      <c r="H72" s="9">
        <f t="shared" si="4"/>
        <v>-44.75</v>
      </c>
      <c r="I72" s="8">
        <f t="shared" si="5"/>
        <v>-40.596510151622297</v>
      </c>
      <c r="J72" t="s">
        <v>109</v>
      </c>
    </row>
    <row r="73" spans="1:10" x14ac:dyDescent="0.25">
      <c r="A73">
        <v>3369</v>
      </c>
      <c r="B73">
        <v>2016</v>
      </c>
      <c r="C73" t="s">
        <v>70</v>
      </c>
      <c r="D73" t="s">
        <v>3</v>
      </c>
      <c r="E73" t="s">
        <v>43</v>
      </c>
      <c r="F73" s="17">
        <v>-200</v>
      </c>
      <c r="G73" s="17">
        <v>895</v>
      </c>
      <c r="H73" s="9">
        <f t="shared" si="4"/>
        <v>-89.5</v>
      </c>
      <c r="I73" s="8">
        <f t="shared" si="5"/>
        <v>-81.193020303244595</v>
      </c>
      <c r="J73" t="s">
        <v>109</v>
      </c>
    </row>
    <row r="74" spans="1:10" x14ac:dyDescent="0.25">
      <c r="A74">
        <v>3370</v>
      </c>
      <c r="B74">
        <v>2016</v>
      </c>
      <c r="C74" t="s">
        <v>71</v>
      </c>
      <c r="D74" t="s">
        <v>3</v>
      </c>
      <c r="E74" t="s">
        <v>0</v>
      </c>
      <c r="F74" s="17">
        <v>46050</v>
      </c>
      <c r="G74" s="17">
        <v>895</v>
      </c>
      <c r="H74" s="9">
        <f t="shared" si="4"/>
        <v>20607.375</v>
      </c>
      <c r="I74" s="8">
        <f t="shared" si="5"/>
        <v>18694.692924822066</v>
      </c>
      <c r="J74" t="s">
        <v>110</v>
      </c>
    </row>
    <row r="75" spans="1:10" x14ac:dyDescent="0.25">
      <c r="A75">
        <v>3371</v>
      </c>
      <c r="B75">
        <v>2016</v>
      </c>
      <c r="C75" t="s">
        <v>71</v>
      </c>
      <c r="D75" t="s">
        <v>3</v>
      </c>
      <c r="E75" t="s">
        <v>72</v>
      </c>
      <c r="F75" s="17">
        <v>1952.7380000000001</v>
      </c>
      <c r="G75" s="17">
        <v>895</v>
      </c>
      <c r="H75" s="9">
        <f t="shared" si="4"/>
        <v>873.85025500000006</v>
      </c>
      <c r="I75" s="8">
        <f t="shared" si="5"/>
        <v>792.74348040458619</v>
      </c>
      <c r="J75" t="s">
        <v>110</v>
      </c>
    </row>
    <row r="76" spans="1:10" x14ac:dyDescent="0.25">
      <c r="A76">
        <v>3372</v>
      </c>
      <c r="B76">
        <v>2016</v>
      </c>
      <c r="C76" t="s">
        <v>71</v>
      </c>
      <c r="D76" t="s">
        <v>3</v>
      </c>
      <c r="E76" t="s">
        <v>73</v>
      </c>
      <c r="F76" s="17">
        <v>39252</v>
      </c>
      <c r="G76" s="17">
        <v>895</v>
      </c>
      <c r="H76" s="9">
        <f t="shared" si="4"/>
        <v>17565.27</v>
      </c>
      <c r="I76" s="8">
        <f t="shared" si="5"/>
        <v>15934.942164714783</v>
      </c>
      <c r="J76" t="s">
        <v>110</v>
      </c>
    </row>
    <row r="77" spans="1:10" x14ac:dyDescent="0.25">
      <c r="A77">
        <v>3373</v>
      </c>
      <c r="B77">
        <v>2016</v>
      </c>
      <c r="C77" t="s">
        <v>71</v>
      </c>
      <c r="D77" t="s">
        <v>3</v>
      </c>
      <c r="E77" t="s">
        <v>75</v>
      </c>
      <c r="F77" s="17">
        <v>5037220.18</v>
      </c>
      <c r="G77" s="17">
        <v>895</v>
      </c>
      <c r="H77" s="9">
        <f t="shared" si="4"/>
        <v>2254156.0305499998</v>
      </c>
      <c r="I77" s="8">
        <f t="shared" si="5"/>
        <v>2044935.6017332666</v>
      </c>
      <c r="J77" t="s">
        <v>110</v>
      </c>
    </row>
    <row r="78" spans="1:10" x14ac:dyDescent="0.25">
      <c r="A78">
        <v>3374</v>
      </c>
      <c r="B78">
        <v>2016</v>
      </c>
      <c r="C78" t="s">
        <v>71</v>
      </c>
      <c r="D78" t="s">
        <v>3</v>
      </c>
      <c r="E78" t="s">
        <v>76</v>
      </c>
      <c r="F78" s="17">
        <v>194</v>
      </c>
      <c r="G78" s="17">
        <v>895</v>
      </c>
      <c r="H78" s="9">
        <f t="shared" si="4"/>
        <v>86.814999999999998</v>
      </c>
      <c r="I78" s="8">
        <f t="shared" si="5"/>
        <v>78.757229694147256</v>
      </c>
      <c r="J78" t="s">
        <v>110</v>
      </c>
    </row>
    <row r="79" spans="1:10" x14ac:dyDescent="0.25">
      <c r="A79">
        <v>3375</v>
      </c>
      <c r="B79">
        <v>2016</v>
      </c>
      <c r="C79" t="s">
        <v>71</v>
      </c>
      <c r="D79" t="s">
        <v>3</v>
      </c>
      <c r="E79" t="s">
        <v>18</v>
      </c>
      <c r="F79" s="17">
        <v>-191676</v>
      </c>
      <c r="G79" s="17">
        <v>895</v>
      </c>
      <c r="H79" s="9">
        <f t="shared" si="4"/>
        <v>-85775.01</v>
      </c>
      <c r="I79" s="8">
        <f t="shared" si="5"/>
        <v>-77813.766798223543</v>
      </c>
      <c r="J79" t="s">
        <v>110</v>
      </c>
    </row>
    <row r="80" spans="1:10" x14ac:dyDescent="0.25">
      <c r="A80">
        <v>3376</v>
      </c>
      <c r="B80">
        <v>2016</v>
      </c>
      <c r="C80" t="s">
        <v>71</v>
      </c>
      <c r="D80" t="s">
        <v>3</v>
      </c>
      <c r="E80" t="s">
        <v>24</v>
      </c>
      <c r="F80" s="17">
        <v>-76984</v>
      </c>
      <c r="G80" s="17">
        <v>895</v>
      </c>
      <c r="H80" s="9">
        <f t="shared" si="4"/>
        <v>-34450.339999999997</v>
      </c>
      <c r="I80" s="8">
        <f t="shared" si="5"/>
        <v>-31252.817375124909</v>
      </c>
      <c r="J80" t="s">
        <v>110</v>
      </c>
    </row>
    <row r="81" spans="1:10" x14ac:dyDescent="0.25">
      <c r="A81">
        <v>3377</v>
      </c>
      <c r="B81">
        <v>2016</v>
      </c>
      <c r="C81" t="s">
        <v>71</v>
      </c>
      <c r="D81" t="s">
        <v>3</v>
      </c>
      <c r="E81" t="s">
        <v>25</v>
      </c>
      <c r="F81" s="17">
        <v>-302793</v>
      </c>
      <c r="G81" s="17">
        <v>895</v>
      </c>
      <c r="H81" s="9">
        <f t="shared" si="4"/>
        <v>-135499.86749999999</v>
      </c>
      <c r="I81" s="8">
        <f t="shared" si="5"/>
        <v>-122923.3909834017</v>
      </c>
      <c r="J81" t="s">
        <v>110</v>
      </c>
    </row>
    <row r="82" spans="1:10" x14ac:dyDescent="0.25">
      <c r="A82">
        <v>3378</v>
      </c>
      <c r="B82">
        <v>2016</v>
      </c>
      <c r="C82" t="s">
        <v>71</v>
      </c>
      <c r="D82" t="s">
        <v>3</v>
      </c>
      <c r="E82" t="s">
        <v>27</v>
      </c>
      <c r="F82" s="17">
        <v>-1697398</v>
      </c>
      <c r="G82" s="17">
        <v>895</v>
      </c>
      <c r="H82" s="9">
        <f t="shared" si="4"/>
        <v>-759585.60499999998</v>
      </c>
      <c r="I82" s="8">
        <f t="shared" si="5"/>
        <v>-689084.35138343379</v>
      </c>
      <c r="J82" t="s">
        <v>110</v>
      </c>
    </row>
    <row r="83" spans="1:10" x14ac:dyDescent="0.25">
      <c r="A83">
        <v>3379</v>
      </c>
      <c r="B83">
        <v>2016</v>
      </c>
      <c r="C83" t="s">
        <v>71</v>
      </c>
      <c r="D83" t="s">
        <v>3</v>
      </c>
      <c r="E83" t="s">
        <v>28</v>
      </c>
      <c r="F83" s="17">
        <v>-205</v>
      </c>
      <c r="G83" s="17">
        <v>895</v>
      </c>
      <c r="H83" s="9">
        <f t="shared" si="4"/>
        <v>-91.737499999999997</v>
      </c>
      <c r="I83" s="8">
        <f t="shared" si="5"/>
        <v>-83.222845810825703</v>
      </c>
      <c r="J83" t="s">
        <v>110</v>
      </c>
    </row>
    <row r="84" spans="1:10" x14ac:dyDescent="0.25">
      <c r="A84">
        <v>3380</v>
      </c>
      <c r="B84">
        <v>2016</v>
      </c>
      <c r="C84" t="s">
        <v>71</v>
      </c>
      <c r="D84" t="s">
        <v>3</v>
      </c>
      <c r="E84" t="s">
        <v>29</v>
      </c>
      <c r="F84" s="17">
        <v>89897</v>
      </c>
      <c r="G84" s="17">
        <v>895</v>
      </c>
      <c r="H84" s="9">
        <f t="shared" si="4"/>
        <v>40228.907500000001</v>
      </c>
      <c r="I84" s="8">
        <f t="shared" si="5"/>
        <v>36495.044731003894</v>
      </c>
      <c r="J84" t="s">
        <v>110</v>
      </c>
    </row>
    <row r="85" spans="1:10" x14ac:dyDescent="0.25">
      <c r="A85">
        <v>3381</v>
      </c>
      <c r="B85">
        <v>2016</v>
      </c>
      <c r="C85" t="s">
        <v>71</v>
      </c>
      <c r="D85" t="s">
        <v>3</v>
      </c>
      <c r="E85" t="s">
        <v>31</v>
      </c>
      <c r="F85" s="17">
        <v>-254478</v>
      </c>
      <c r="G85" s="17">
        <v>895</v>
      </c>
      <c r="H85" s="9">
        <f t="shared" si="4"/>
        <v>-113878.905</v>
      </c>
      <c r="I85" s="8">
        <f t="shared" si="5"/>
        <v>-103309.18710364538</v>
      </c>
      <c r="J85" t="s">
        <v>110</v>
      </c>
    </row>
    <row r="86" spans="1:10" x14ac:dyDescent="0.25">
      <c r="A86">
        <v>3382</v>
      </c>
      <c r="B86">
        <v>2016</v>
      </c>
      <c r="C86" t="s">
        <v>71</v>
      </c>
      <c r="D86" t="s">
        <v>3</v>
      </c>
      <c r="E86" t="s">
        <v>32</v>
      </c>
      <c r="F86" s="17">
        <v>290000</v>
      </c>
      <c r="G86" s="17">
        <v>895</v>
      </c>
      <c r="H86" s="9">
        <f t="shared" si="4"/>
        <v>129775</v>
      </c>
      <c r="I86" s="8">
        <f t="shared" si="5"/>
        <v>117729.87943970466</v>
      </c>
      <c r="J86" t="s">
        <v>110</v>
      </c>
    </row>
    <row r="87" spans="1:10" x14ac:dyDescent="0.25">
      <c r="A87">
        <v>3383</v>
      </c>
      <c r="B87">
        <v>2016</v>
      </c>
      <c r="C87" t="s">
        <v>71</v>
      </c>
      <c r="D87" t="s">
        <v>3</v>
      </c>
      <c r="E87" t="s">
        <v>33</v>
      </c>
      <c r="F87" s="17">
        <v>-1701985</v>
      </c>
      <c r="G87" s="17">
        <v>895</v>
      </c>
      <c r="H87" s="9">
        <f t="shared" si="4"/>
        <v>-761638.28749999998</v>
      </c>
      <c r="I87" s="8">
        <f t="shared" si="5"/>
        <v>-690946.51330408873</v>
      </c>
      <c r="J87" t="s">
        <v>110</v>
      </c>
    </row>
    <row r="88" spans="1:10" x14ac:dyDescent="0.25">
      <c r="A88">
        <v>3384</v>
      </c>
      <c r="B88">
        <v>2016</v>
      </c>
      <c r="C88" t="s">
        <v>71</v>
      </c>
      <c r="D88" t="s">
        <v>3</v>
      </c>
      <c r="E88" t="s">
        <v>35</v>
      </c>
      <c r="F88" s="17">
        <v>-1200</v>
      </c>
      <c r="G88" s="17">
        <v>895</v>
      </c>
      <c r="H88" s="9">
        <f t="shared" si="4"/>
        <v>-537</v>
      </c>
      <c r="I88" s="8">
        <f t="shared" si="5"/>
        <v>-487.15812181946751</v>
      </c>
      <c r="J88" t="s">
        <v>110</v>
      </c>
    </row>
    <row r="89" spans="1:10" x14ac:dyDescent="0.25">
      <c r="A89">
        <v>3385</v>
      </c>
      <c r="B89">
        <v>2016</v>
      </c>
      <c r="C89" t="s">
        <v>71</v>
      </c>
      <c r="D89" t="s">
        <v>3</v>
      </c>
      <c r="E89" t="s">
        <v>37</v>
      </c>
      <c r="F89" s="17">
        <v>-1900</v>
      </c>
      <c r="G89" s="17">
        <v>895</v>
      </c>
      <c r="H89" s="9">
        <f t="shared" si="4"/>
        <v>-850.25</v>
      </c>
      <c r="I89" s="8">
        <f t="shared" si="5"/>
        <v>-771.33369288082361</v>
      </c>
      <c r="J89" t="s">
        <v>110</v>
      </c>
    </row>
    <row r="90" spans="1:10" x14ac:dyDescent="0.25">
      <c r="A90">
        <v>3386</v>
      </c>
      <c r="B90">
        <v>2016</v>
      </c>
      <c r="C90" t="s">
        <v>71</v>
      </c>
      <c r="D90" t="s">
        <v>3</v>
      </c>
      <c r="E90" t="s">
        <v>38</v>
      </c>
      <c r="F90" s="17">
        <v>-10890</v>
      </c>
      <c r="G90" s="17">
        <v>895</v>
      </c>
      <c r="H90" s="9">
        <f t="shared" si="4"/>
        <v>-4873.2749999999996</v>
      </c>
      <c r="I90" s="8">
        <f t="shared" si="5"/>
        <v>-4420.9599555116683</v>
      </c>
      <c r="J90" t="s">
        <v>110</v>
      </c>
    </row>
    <row r="91" spans="1:10" x14ac:dyDescent="0.25">
      <c r="A91">
        <v>3387</v>
      </c>
      <c r="B91">
        <v>2016</v>
      </c>
      <c r="C91" t="s">
        <v>71</v>
      </c>
      <c r="D91" t="s">
        <v>3</v>
      </c>
      <c r="E91" t="s">
        <v>40</v>
      </c>
      <c r="F91" s="17">
        <v>-26625</v>
      </c>
      <c r="G91" s="17">
        <v>895</v>
      </c>
      <c r="H91" s="9">
        <f t="shared" si="4"/>
        <v>-11914.6875</v>
      </c>
      <c r="I91" s="8">
        <f t="shared" si="5"/>
        <v>-10808.820827869436</v>
      </c>
      <c r="J91" t="s">
        <v>110</v>
      </c>
    </row>
    <row r="92" spans="1:10" x14ac:dyDescent="0.25">
      <c r="A92">
        <v>3388</v>
      </c>
      <c r="B92">
        <v>2016</v>
      </c>
      <c r="C92" t="s">
        <v>71</v>
      </c>
      <c r="D92" t="s">
        <v>3</v>
      </c>
      <c r="E92" t="s">
        <v>42</v>
      </c>
      <c r="F92" s="17">
        <v>-257647</v>
      </c>
      <c r="G92" s="17">
        <v>895</v>
      </c>
      <c r="H92" s="9">
        <f t="shared" si="4"/>
        <v>-115297.0325</v>
      </c>
      <c r="I92" s="8">
        <f t="shared" si="5"/>
        <v>-104595.69051035029</v>
      </c>
      <c r="J92" t="s">
        <v>110</v>
      </c>
    </row>
    <row r="93" spans="1:10" x14ac:dyDescent="0.25">
      <c r="A93">
        <v>3389</v>
      </c>
      <c r="B93">
        <v>2016</v>
      </c>
      <c r="C93" t="s">
        <v>71</v>
      </c>
      <c r="D93" t="s">
        <v>3</v>
      </c>
      <c r="E93" t="s">
        <v>43</v>
      </c>
      <c r="F93" s="17">
        <v>-365094</v>
      </c>
      <c r="G93" s="17">
        <v>895</v>
      </c>
      <c r="H93" s="9">
        <f t="shared" si="4"/>
        <v>-163379.565</v>
      </c>
      <c r="I93" s="8">
        <f t="shared" si="5"/>
        <v>-148215.42277296391</v>
      </c>
      <c r="J93" t="s">
        <v>110</v>
      </c>
    </row>
    <row r="94" spans="1:10" x14ac:dyDescent="0.25">
      <c r="A94">
        <v>3390</v>
      </c>
      <c r="B94">
        <v>2016</v>
      </c>
      <c r="C94" t="s">
        <v>77</v>
      </c>
      <c r="D94" t="s">
        <v>3</v>
      </c>
      <c r="E94" t="s">
        <v>0</v>
      </c>
      <c r="F94" s="17">
        <v>-84678</v>
      </c>
      <c r="G94" s="17">
        <v>895</v>
      </c>
      <c r="H94" s="9">
        <f t="shared" si="4"/>
        <v>-37893.404999999999</v>
      </c>
      <c r="I94" s="8">
        <f t="shared" si="5"/>
        <v>-34376.312866190725</v>
      </c>
      <c r="J94" t="s">
        <v>111</v>
      </c>
    </row>
    <row r="95" spans="1:10" x14ac:dyDescent="0.25">
      <c r="A95">
        <v>3391</v>
      </c>
      <c r="B95">
        <v>2016</v>
      </c>
      <c r="C95" t="s">
        <v>77</v>
      </c>
      <c r="D95" t="s">
        <v>3</v>
      </c>
      <c r="E95" t="s">
        <v>102</v>
      </c>
      <c r="F95" s="17">
        <v>6084194</v>
      </c>
      <c r="G95" s="17">
        <v>895</v>
      </c>
      <c r="H95" s="9">
        <f t="shared" si="4"/>
        <v>2722676.8149999999</v>
      </c>
      <c r="I95" s="8">
        <f t="shared" si="5"/>
        <v>2469970.4348543948</v>
      </c>
      <c r="J95" t="s">
        <v>111</v>
      </c>
    </row>
    <row r="96" spans="1:10" x14ac:dyDescent="0.25">
      <c r="A96">
        <v>3392</v>
      </c>
      <c r="B96">
        <v>2016</v>
      </c>
      <c r="C96" t="s">
        <v>77</v>
      </c>
      <c r="D96" t="s">
        <v>3</v>
      </c>
      <c r="E96" t="s">
        <v>5</v>
      </c>
      <c r="F96" s="17">
        <v>-472884</v>
      </c>
      <c r="G96" s="17">
        <v>895</v>
      </c>
      <c r="H96" s="9">
        <f t="shared" si="4"/>
        <v>-211615.59</v>
      </c>
      <c r="I96" s="8">
        <f t="shared" si="5"/>
        <v>-191974.40106539757</v>
      </c>
      <c r="J96" t="s">
        <v>111</v>
      </c>
    </row>
    <row r="97" spans="1:10" x14ac:dyDescent="0.25">
      <c r="A97">
        <v>3393</v>
      </c>
      <c r="B97">
        <v>2016</v>
      </c>
      <c r="C97" t="s">
        <v>77</v>
      </c>
      <c r="D97" t="s">
        <v>3</v>
      </c>
      <c r="E97" t="s">
        <v>6</v>
      </c>
      <c r="F97" s="17">
        <v>-116473</v>
      </c>
      <c r="G97" s="17">
        <v>895</v>
      </c>
      <c r="H97" s="9">
        <f t="shared" si="4"/>
        <v>-52121.667500000003</v>
      </c>
      <c r="I97" s="8">
        <f t="shared" si="5"/>
        <v>-47283.973268899033</v>
      </c>
      <c r="J97" t="s">
        <v>111</v>
      </c>
    </row>
    <row r="98" spans="1:10" x14ac:dyDescent="0.25">
      <c r="A98">
        <v>3394</v>
      </c>
      <c r="B98">
        <v>2016</v>
      </c>
      <c r="C98" t="s">
        <v>77</v>
      </c>
      <c r="D98" t="s">
        <v>3</v>
      </c>
      <c r="E98" t="s">
        <v>7</v>
      </c>
      <c r="F98" s="17">
        <v>-392</v>
      </c>
      <c r="G98" s="17">
        <v>895</v>
      </c>
      <c r="H98" s="9">
        <f t="shared" si="4"/>
        <v>-175.42</v>
      </c>
      <c r="I98" s="8">
        <f t="shared" si="5"/>
        <v>-159.1383197943594</v>
      </c>
      <c r="J98" t="s">
        <v>111</v>
      </c>
    </row>
    <row r="99" spans="1:10" x14ac:dyDescent="0.25">
      <c r="A99">
        <v>3395</v>
      </c>
      <c r="B99">
        <v>2016</v>
      </c>
      <c r="C99" t="s">
        <v>77</v>
      </c>
      <c r="D99" t="s">
        <v>3</v>
      </c>
      <c r="E99" t="s">
        <v>8</v>
      </c>
      <c r="F99" s="17">
        <v>-1</v>
      </c>
      <c r="G99" s="17">
        <v>895</v>
      </c>
      <c r="H99" s="9">
        <f t="shared" si="4"/>
        <v>-0.44750000000000001</v>
      </c>
      <c r="I99" s="8">
        <f t="shared" si="5"/>
        <v>-0.40596510151622295</v>
      </c>
      <c r="J99" t="s">
        <v>111</v>
      </c>
    </row>
    <row r="100" spans="1:10" x14ac:dyDescent="0.25">
      <c r="A100">
        <v>3396</v>
      </c>
      <c r="B100">
        <v>2016</v>
      </c>
      <c r="C100" t="s">
        <v>77</v>
      </c>
      <c r="D100" t="s">
        <v>3</v>
      </c>
      <c r="E100" t="s">
        <v>10</v>
      </c>
      <c r="F100" s="17">
        <v>-198956</v>
      </c>
      <c r="G100" s="17">
        <v>895</v>
      </c>
      <c r="H100" s="9">
        <f t="shared" si="4"/>
        <v>-89032.81</v>
      </c>
      <c r="I100" s="8">
        <f t="shared" si="5"/>
        <v>-80769.192737261648</v>
      </c>
      <c r="J100" t="s">
        <v>111</v>
      </c>
    </row>
    <row r="101" spans="1:10" x14ac:dyDescent="0.25">
      <c r="A101">
        <v>3397</v>
      </c>
      <c r="B101">
        <v>2016</v>
      </c>
      <c r="C101" t="s">
        <v>77</v>
      </c>
      <c r="D101" t="s">
        <v>3</v>
      </c>
      <c r="E101" t="s">
        <v>11</v>
      </c>
      <c r="F101" s="17">
        <v>-342611</v>
      </c>
      <c r="G101" s="17">
        <v>895</v>
      </c>
      <c r="H101" s="9">
        <f t="shared" si="4"/>
        <v>-153318.42249999999</v>
      </c>
      <c r="I101" s="8">
        <f t="shared" si="5"/>
        <v>-139088.10939557466</v>
      </c>
      <c r="J101" t="s">
        <v>111</v>
      </c>
    </row>
    <row r="102" spans="1:10" x14ac:dyDescent="0.25">
      <c r="A102">
        <v>3398</v>
      </c>
      <c r="B102">
        <v>2016</v>
      </c>
      <c r="C102" t="s">
        <v>77</v>
      </c>
      <c r="D102" t="s">
        <v>3</v>
      </c>
      <c r="E102" t="s">
        <v>12</v>
      </c>
      <c r="F102" s="17">
        <v>-4</v>
      </c>
      <c r="G102" s="17">
        <v>895</v>
      </c>
      <c r="H102" s="9">
        <f t="shared" si="4"/>
        <v>-1.79</v>
      </c>
      <c r="I102" s="8">
        <f t="shared" si="5"/>
        <v>-1.6238604060648918</v>
      </c>
      <c r="J102" t="s">
        <v>111</v>
      </c>
    </row>
    <row r="103" spans="1:10" x14ac:dyDescent="0.25">
      <c r="A103">
        <v>3399</v>
      </c>
      <c r="B103">
        <v>2016</v>
      </c>
      <c r="C103" t="s">
        <v>77</v>
      </c>
      <c r="D103" t="s">
        <v>3</v>
      </c>
      <c r="E103" t="s">
        <v>13</v>
      </c>
      <c r="F103" s="17">
        <v>-1101646</v>
      </c>
      <c r="G103" s="17">
        <v>895</v>
      </c>
      <c r="H103" s="9">
        <f t="shared" si="4"/>
        <v>-492986.58500000002</v>
      </c>
      <c r="I103" s="8">
        <f t="shared" si="5"/>
        <v>-447229.83022494096</v>
      </c>
      <c r="J103" t="s">
        <v>111</v>
      </c>
    </row>
    <row r="104" spans="1:10" x14ac:dyDescent="0.25">
      <c r="A104">
        <v>3400</v>
      </c>
      <c r="B104">
        <v>2016</v>
      </c>
      <c r="C104" t="s">
        <v>77</v>
      </c>
      <c r="D104" t="s">
        <v>3</v>
      </c>
      <c r="E104" t="s">
        <v>14</v>
      </c>
      <c r="F104" s="17">
        <v>-8175</v>
      </c>
      <c r="G104" s="17">
        <v>895</v>
      </c>
      <c r="H104" s="9">
        <f t="shared" si="4"/>
        <v>-3658.3125</v>
      </c>
      <c r="I104" s="8">
        <f t="shared" si="5"/>
        <v>-3318.7647048951226</v>
      </c>
      <c r="J104" t="s">
        <v>111</v>
      </c>
    </row>
    <row r="105" spans="1:10" x14ac:dyDescent="0.25">
      <c r="A105">
        <v>3401</v>
      </c>
      <c r="B105">
        <v>2016</v>
      </c>
      <c r="C105" t="s">
        <v>77</v>
      </c>
      <c r="D105" t="s">
        <v>3</v>
      </c>
      <c r="E105" t="s">
        <v>15</v>
      </c>
      <c r="F105" s="17">
        <v>-3423</v>
      </c>
      <c r="G105" s="17">
        <v>895</v>
      </c>
      <c r="H105" s="9">
        <f t="shared" si="4"/>
        <v>-1531.7925</v>
      </c>
      <c r="I105" s="8">
        <f t="shared" si="5"/>
        <v>-1389.6185424900311</v>
      </c>
      <c r="J105" t="s">
        <v>111</v>
      </c>
    </row>
    <row r="106" spans="1:10" x14ac:dyDescent="0.25">
      <c r="A106">
        <v>3402</v>
      </c>
      <c r="B106">
        <v>2016</v>
      </c>
      <c r="C106" t="s">
        <v>77</v>
      </c>
      <c r="D106" t="s">
        <v>3</v>
      </c>
      <c r="E106" t="s">
        <v>16</v>
      </c>
      <c r="F106" s="17">
        <v>-10425</v>
      </c>
      <c r="G106" s="17">
        <v>895</v>
      </c>
      <c r="H106" s="9">
        <f t="shared" si="4"/>
        <v>-4665.1875</v>
      </c>
      <c r="I106" s="8">
        <f t="shared" si="5"/>
        <v>-4232.1861833066241</v>
      </c>
      <c r="J106" t="s">
        <v>111</v>
      </c>
    </row>
    <row r="107" spans="1:10" x14ac:dyDescent="0.25">
      <c r="A107">
        <v>3403</v>
      </c>
      <c r="B107">
        <v>2016</v>
      </c>
      <c r="C107" t="s">
        <v>77</v>
      </c>
      <c r="D107" t="s">
        <v>3</v>
      </c>
      <c r="E107" t="s">
        <v>112</v>
      </c>
      <c r="F107" s="17">
        <v>-7</v>
      </c>
      <c r="G107" s="17">
        <v>895</v>
      </c>
      <c r="H107" s="9">
        <f t="shared" si="4"/>
        <v>-3.1324999999999998</v>
      </c>
      <c r="I107" s="8">
        <f t="shared" si="5"/>
        <v>-2.8417557106135605</v>
      </c>
      <c r="J107" t="s">
        <v>111</v>
      </c>
    </row>
    <row r="108" spans="1:10" x14ac:dyDescent="0.25">
      <c r="A108">
        <v>3404</v>
      </c>
      <c r="B108">
        <v>2016</v>
      </c>
      <c r="C108" t="s">
        <v>77</v>
      </c>
      <c r="D108" t="s">
        <v>3</v>
      </c>
      <c r="E108" t="s">
        <v>103</v>
      </c>
      <c r="F108" s="17">
        <v>-2142</v>
      </c>
      <c r="G108" s="17">
        <v>895</v>
      </c>
      <c r="H108" s="9">
        <f t="shared" si="4"/>
        <v>-958.54499999999996</v>
      </c>
      <c r="I108" s="8">
        <f t="shared" si="5"/>
        <v>-869.57724744774953</v>
      </c>
      <c r="J108" t="s">
        <v>111</v>
      </c>
    </row>
    <row r="109" spans="1:10" x14ac:dyDescent="0.25">
      <c r="A109">
        <v>3405</v>
      </c>
      <c r="B109">
        <v>2016</v>
      </c>
      <c r="C109" t="s">
        <v>77</v>
      </c>
      <c r="D109" t="s">
        <v>3</v>
      </c>
      <c r="E109" t="s">
        <v>17</v>
      </c>
      <c r="F109" s="17">
        <v>-1946</v>
      </c>
      <c r="G109" s="17">
        <v>895</v>
      </c>
      <c r="H109" s="9">
        <f t="shared" si="4"/>
        <v>-870.83500000000004</v>
      </c>
      <c r="I109" s="8">
        <f t="shared" si="5"/>
        <v>-790.00808755056983</v>
      </c>
      <c r="J109" t="s">
        <v>111</v>
      </c>
    </row>
    <row r="110" spans="1:10" x14ac:dyDescent="0.25">
      <c r="A110">
        <v>3406</v>
      </c>
      <c r="B110">
        <v>2016</v>
      </c>
      <c r="C110" t="s">
        <v>77</v>
      </c>
      <c r="D110" t="s">
        <v>3</v>
      </c>
      <c r="E110" t="s">
        <v>18</v>
      </c>
      <c r="F110" s="17">
        <v>-579047</v>
      </c>
      <c r="G110" s="17">
        <v>895</v>
      </c>
      <c r="H110" s="9">
        <f t="shared" si="4"/>
        <v>-259123.5325</v>
      </c>
      <c r="I110" s="8">
        <f t="shared" si="5"/>
        <v>-235072.87413766436</v>
      </c>
      <c r="J110" t="s">
        <v>111</v>
      </c>
    </row>
    <row r="111" spans="1:10" x14ac:dyDescent="0.25">
      <c r="A111">
        <v>3407</v>
      </c>
      <c r="B111">
        <v>2016</v>
      </c>
      <c r="C111" t="s">
        <v>77</v>
      </c>
      <c r="D111" t="s">
        <v>3</v>
      </c>
      <c r="E111" t="s">
        <v>20</v>
      </c>
      <c r="F111" s="17">
        <v>-57965</v>
      </c>
      <c r="G111" s="17">
        <v>895</v>
      </c>
      <c r="H111" s="9">
        <f t="shared" si="4"/>
        <v>-25939.337500000001</v>
      </c>
      <c r="I111" s="8">
        <f t="shared" si="5"/>
        <v>-23531.767109387863</v>
      </c>
      <c r="J111" t="s">
        <v>111</v>
      </c>
    </row>
    <row r="112" spans="1:10" x14ac:dyDescent="0.25">
      <c r="A112">
        <v>3408</v>
      </c>
      <c r="B112">
        <v>2016</v>
      </c>
      <c r="C112" t="s">
        <v>77</v>
      </c>
      <c r="D112" t="s">
        <v>3</v>
      </c>
      <c r="E112" t="s">
        <v>21</v>
      </c>
      <c r="F112" s="17">
        <v>-80680</v>
      </c>
      <c r="G112" s="17">
        <v>895</v>
      </c>
      <c r="H112" s="9">
        <f t="shared" si="4"/>
        <v>-36104.300000000003</v>
      </c>
      <c r="I112" s="8">
        <f t="shared" si="5"/>
        <v>-32753.264390328866</v>
      </c>
      <c r="J112" t="s">
        <v>111</v>
      </c>
    </row>
    <row r="113" spans="1:10" x14ac:dyDescent="0.25">
      <c r="A113">
        <v>3409</v>
      </c>
      <c r="B113">
        <v>2016</v>
      </c>
      <c r="C113" t="s">
        <v>77</v>
      </c>
      <c r="D113" t="s">
        <v>3</v>
      </c>
      <c r="E113" t="s">
        <v>23</v>
      </c>
      <c r="F113" s="17">
        <v>-73</v>
      </c>
      <c r="G113" s="17">
        <v>895</v>
      </c>
      <c r="H113" s="9">
        <f t="shared" si="4"/>
        <v>-32.667499999999997</v>
      </c>
      <c r="I113" s="8">
        <f t="shared" si="5"/>
        <v>-29.635452410684277</v>
      </c>
      <c r="J113" t="s">
        <v>111</v>
      </c>
    </row>
    <row r="114" spans="1:10" x14ac:dyDescent="0.25">
      <c r="A114">
        <v>3410</v>
      </c>
      <c r="B114">
        <v>2016</v>
      </c>
      <c r="C114" t="s">
        <v>77</v>
      </c>
      <c r="D114" t="s">
        <v>3</v>
      </c>
      <c r="E114" t="s">
        <v>24</v>
      </c>
      <c r="F114" s="17">
        <v>-540807</v>
      </c>
      <c r="G114" s="17">
        <v>895</v>
      </c>
      <c r="H114" s="9">
        <f t="shared" si="4"/>
        <v>-242011.13250000001</v>
      </c>
      <c r="I114" s="8">
        <f t="shared" si="5"/>
        <v>-219548.76865568399</v>
      </c>
      <c r="J114" t="s">
        <v>111</v>
      </c>
    </row>
    <row r="115" spans="1:10" x14ac:dyDescent="0.25">
      <c r="A115">
        <v>3411</v>
      </c>
      <c r="B115">
        <v>2016</v>
      </c>
      <c r="C115" t="s">
        <v>77</v>
      </c>
      <c r="D115" t="s">
        <v>3</v>
      </c>
      <c r="E115" t="s">
        <v>25</v>
      </c>
      <c r="F115" s="17">
        <v>-50200</v>
      </c>
      <c r="G115" s="17">
        <v>895</v>
      </c>
      <c r="H115" s="9">
        <f t="shared" si="4"/>
        <v>-22464.5</v>
      </c>
      <c r="I115" s="8">
        <f t="shared" si="5"/>
        <v>-20379.448096114393</v>
      </c>
      <c r="J115" t="s">
        <v>111</v>
      </c>
    </row>
    <row r="116" spans="1:10" x14ac:dyDescent="0.25">
      <c r="A116">
        <v>3412</v>
      </c>
      <c r="B116">
        <v>2016</v>
      </c>
      <c r="C116" t="s">
        <v>77</v>
      </c>
      <c r="D116" t="s">
        <v>3</v>
      </c>
      <c r="E116" t="s">
        <v>27</v>
      </c>
      <c r="F116" s="17">
        <v>-419966</v>
      </c>
      <c r="G116" s="17">
        <v>895</v>
      </c>
      <c r="H116" s="9">
        <f t="shared" si="4"/>
        <v>-187934.785</v>
      </c>
      <c r="I116" s="8">
        <f t="shared" si="5"/>
        <v>-170491.53982336208</v>
      </c>
      <c r="J116" t="s">
        <v>111</v>
      </c>
    </row>
    <row r="117" spans="1:10" x14ac:dyDescent="0.25">
      <c r="A117">
        <v>3413</v>
      </c>
      <c r="B117">
        <v>2016</v>
      </c>
      <c r="C117" t="s">
        <v>77</v>
      </c>
      <c r="D117" t="s">
        <v>3</v>
      </c>
      <c r="E117" t="s">
        <v>79</v>
      </c>
      <c r="F117" s="17">
        <v>-22</v>
      </c>
      <c r="G117" s="17">
        <v>895</v>
      </c>
      <c r="H117" s="9">
        <f t="shared" si="4"/>
        <v>-9.8450000000000006</v>
      </c>
      <c r="I117" s="8">
        <f t="shared" si="5"/>
        <v>-8.931232233356905</v>
      </c>
      <c r="J117" t="s">
        <v>111</v>
      </c>
    </row>
    <row r="118" spans="1:10" x14ac:dyDescent="0.25">
      <c r="A118">
        <v>3414</v>
      </c>
      <c r="B118">
        <v>2016</v>
      </c>
      <c r="C118" t="s">
        <v>77</v>
      </c>
      <c r="D118" t="s">
        <v>3</v>
      </c>
      <c r="E118" t="s">
        <v>80</v>
      </c>
      <c r="F118" s="17">
        <v>-116</v>
      </c>
      <c r="G118" s="17">
        <v>895</v>
      </c>
      <c r="H118" s="9">
        <f t="shared" si="4"/>
        <v>-51.91</v>
      </c>
      <c r="I118" s="8">
        <f t="shared" si="5"/>
        <v>-47.09195177588186</v>
      </c>
      <c r="J118" t="s">
        <v>111</v>
      </c>
    </row>
    <row r="119" spans="1:10" x14ac:dyDescent="0.25">
      <c r="A119">
        <v>3415</v>
      </c>
      <c r="B119">
        <v>2016</v>
      </c>
      <c r="C119" t="s">
        <v>77</v>
      </c>
      <c r="D119" t="s">
        <v>3</v>
      </c>
      <c r="E119" t="s">
        <v>28</v>
      </c>
      <c r="F119" s="17">
        <v>-2575</v>
      </c>
      <c r="G119" s="17">
        <v>895</v>
      </c>
      <c r="H119" s="9">
        <f t="shared" si="4"/>
        <v>-1152.3125</v>
      </c>
      <c r="I119" s="8">
        <f t="shared" si="5"/>
        <v>-1045.360136404274</v>
      </c>
      <c r="J119" t="s">
        <v>111</v>
      </c>
    </row>
    <row r="120" spans="1:10" x14ac:dyDescent="0.25">
      <c r="A120">
        <v>3416</v>
      </c>
      <c r="B120">
        <v>2016</v>
      </c>
      <c r="C120" t="s">
        <v>77</v>
      </c>
      <c r="D120" t="s">
        <v>3</v>
      </c>
      <c r="E120" t="s">
        <v>104</v>
      </c>
      <c r="F120" s="17">
        <v>-400</v>
      </c>
      <c r="G120" s="17">
        <v>895</v>
      </c>
      <c r="H120" s="9">
        <f t="shared" si="4"/>
        <v>-179</v>
      </c>
      <c r="I120" s="8">
        <f t="shared" si="5"/>
        <v>-162.38604060648919</v>
      </c>
      <c r="J120" t="s">
        <v>111</v>
      </c>
    </row>
    <row r="121" spans="1:10" x14ac:dyDescent="0.25">
      <c r="A121">
        <v>3417</v>
      </c>
      <c r="B121">
        <v>2016</v>
      </c>
      <c r="C121" t="s">
        <v>77</v>
      </c>
      <c r="D121" t="s">
        <v>3</v>
      </c>
      <c r="E121" t="s">
        <v>29</v>
      </c>
      <c r="F121" s="17">
        <v>-47355</v>
      </c>
      <c r="G121" s="17">
        <v>895</v>
      </c>
      <c r="H121" s="9">
        <f t="shared" si="4"/>
        <v>-21191.362499999999</v>
      </c>
      <c r="I121" s="8">
        <f t="shared" si="5"/>
        <v>-19224.477382300738</v>
      </c>
      <c r="J121" t="s">
        <v>111</v>
      </c>
    </row>
    <row r="122" spans="1:10" x14ac:dyDescent="0.25">
      <c r="A122">
        <v>3418</v>
      </c>
      <c r="B122">
        <v>2016</v>
      </c>
      <c r="C122" t="s">
        <v>77</v>
      </c>
      <c r="D122" t="s">
        <v>3</v>
      </c>
      <c r="E122" t="s">
        <v>30</v>
      </c>
      <c r="F122" s="17">
        <v>-8030</v>
      </c>
      <c r="G122" s="17">
        <v>895</v>
      </c>
      <c r="H122" s="9">
        <f t="shared" si="4"/>
        <v>-3593.4250000000002</v>
      </c>
      <c r="I122" s="8">
        <f t="shared" si="5"/>
        <v>-3259.8997651752702</v>
      </c>
      <c r="J122" t="s">
        <v>111</v>
      </c>
    </row>
    <row r="123" spans="1:10" x14ac:dyDescent="0.25">
      <c r="A123">
        <v>3419</v>
      </c>
      <c r="B123">
        <v>2016</v>
      </c>
      <c r="C123" t="s">
        <v>77</v>
      </c>
      <c r="D123" t="s">
        <v>3</v>
      </c>
      <c r="E123" t="s">
        <v>31</v>
      </c>
      <c r="F123" s="17">
        <v>-213391</v>
      </c>
      <c r="G123" s="17">
        <v>895</v>
      </c>
      <c r="H123" s="9">
        <f t="shared" si="4"/>
        <v>-95492.472500000003</v>
      </c>
      <c r="I123" s="8">
        <f t="shared" si="5"/>
        <v>-86629.29897764833</v>
      </c>
      <c r="J123" t="s">
        <v>111</v>
      </c>
    </row>
    <row r="124" spans="1:10" x14ac:dyDescent="0.25">
      <c r="A124">
        <v>3420</v>
      </c>
      <c r="B124">
        <v>2016</v>
      </c>
      <c r="C124" t="s">
        <v>77</v>
      </c>
      <c r="D124" t="s">
        <v>3</v>
      </c>
      <c r="E124" t="s">
        <v>32</v>
      </c>
      <c r="F124" s="17">
        <v>-302064</v>
      </c>
      <c r="G124" s="17">
        <v>895</v>
      </c>
      <c r="H124" s="9">
        <f t="shared" si="4"/>
        <v>-135173.64000000001</v>
      </c>
      <c r="I124" s="8">
        <f t="shared" si="5"/>
        <v>-122627.44242439637</v>
      </c>
      <c r="J124" t="s">
        <v>111</v>
      </c>
    </row>
    <row r="125" spans="1:10" x14ac:dyDescent="0.25">
      <c r="A125">
        <v>3421</v>
      </c>
      <c r="B125">
        <v>2016</v>
      </c>
      <c r="C125" t="s">
        <v>77</v>
      </c>
      <c r="D125" t="s">
        <v>3</v>
      </c>
      <c r="E125" t="s">
        <v>33</v>
      </c>
      <c r="F125" s="17">
        <v>-395006</v>
      </c>
      <c r="G125" s="17">
        <v>895</v>
      </c>
      <c r="H125" s="9">
        <f t="shared" si="4"/>
        <v>-176765.185</v>
      </c>
      <c r="I125" s="8">
        <f t="shared" si="5"/>
        <v>-160358.65088951716</v>
      </c>
      <c r="J125" t="s">
        <v>111</v>
      </c>
    </row>
    <row r="126" spans="1:10" x14ac:dyDescent="0.25">
      <c r="A126">
        <v>3422</v>
      </c>
      <c r="B126">
        <v>2016</v>
      </c>
      <c r="C126" t="s">
        <v>77</v>
      </c>
      <c r="D126" t="s">
        <v>3</v>
      </c>
      <c r="E126" t="s">
        <v>34</v>
      </c>
      <c r="F126" s="17">
        <v>-186595</v>
      </c>
      <c r="G126" s="17">
        <v>895</v>
      </c>
      <c r="H126" s="9">
        <f t="shared" si="4"/>
        <v>-83501.262499999997</v>
      </c>
      <c r="I126" s="8">
        <f t="shared" si="5"/>
        <v>-75751.058117419627</v>
      </c>
      <c r="J126" t="s">
        <v>111</v>
      </c>
    </row>
    <row r="127" spans="1:10" x14ac:dyDescent="0.25">
      <c r="A127">
        <v>3423</v>
      </c>
      <c r="B127">
        <v>2016</v>
      </c>
      <c r="C127" t="s">
        <v>77</v>
      </c>
      <c r="D127" t="s">
        <v>3</v>
      </c>
      <c r="E127" t="s">
        <v>35</v>
      </c>
      <c r="F127" s="17">
        <v>-21444</v>
      </c>
      <c r="G127" s="17">
        <v>895</v>
      </c>
      <c r="H127" s="9">
        <f t="shared" si="4"/>
        <v>-9596.19</v>
      </c>
      <c r="I127" s="8">
        <f t="shared" si="5"/>
        <v>-8705.515636913884</v>
      </c>
      <c r="J127" t="s">
        <v>111</v>
      </c>
    </row>
    <row r="128" spans="1:10" x14ac:dyDescent="0.25">
      <c r="A128">
        <v>3424</v>
      </c>
      <c r="B128">
        <v>2016</v>
      </c>
      <c r="C128" t="s">
        <v>77</v>
      </c>
      <c r="D128" t="s">
        <v>3</v>
      </c>
      <c r="E128" t="s">
        <v>36</v>
      </c>
      <c r="F128" s="17">
        <v>-10</v>
      </c>
      <c r="G128" s="17">
        <v>895</v>
      </c>
      <c r="H128" s="9">
        <f t="shared" si="4"/>
        <v>-4.4749999999999996</v>
      </c>
      <c r="I128" s="8">
        <f t="shared" si="5"/>
        <v>-4.0596510151622294</v>
      </c>
      <c r="J128" t="s">
        <v>111</v>
      </c>
    </row>
    <row r="129" spans="1:10" x14ac:dyDescent="0.25">
      <c r="A129">
        <v>3425</v>
      </c>
      <c r="B129">
        <v>2016</v>
      </c>
      <c r="C129" t="s">
        <v>77</v>
      </c>
      <c r="D129" t="s">
        <v>3</v>
      </c>
      <c r="E129" t="s">
        <v>37</v>
      </c>
      <c r="F129" s="17">
        <v>-30489</v>
      </c>
      <c r="G129" s="17">
        <v>895</v>
      </c>
      <c r="H129" s="9">
        <f t="shared" si="4"/>
        <v>-13643.827499999999</v>
      </c>
      <c r="I129" s="8">
        <f t="shared" si="5"/>
        <v>-12377.469980128122</v>
      </c>
      <c r="J129" t="s">
        <v>111</v>
      </c>
    </row>
    <row r="130" spans="1:10" x14ac:dyDescent="0.25">
      <c r="A130">
        <v>3426</v>
      </c>
      <c r="B130">
        <v>2016</v>
      </c>
      <c r="C130" t="s">
        <v>77</v>
      </c>
      <c r="D130" t="s">
        <v>3</v>
      </c>
      <c r="E130" t="s">
        <v>38</v>
      </c>
      <c r="F130" s="17">
        <v>-356872</v>
      </c>
      <c r="G130" s="17">
        <v>895</v>
      </c>
      <c r="H130" s="9">
        <f t="shared" si="4"/>
        <v>-159700.22</v>
      </c>
      <c r="I130" s="8">
        <f t="shared" si="5"/>
        <v>-144877.57770829753</v>
      </c>
      <c r="J130" t="s">
        <v>111</v>
      </c>
    </row>
    <row r="131" spans="1:10" x14ac:dyDescent="0.25">
      <c r="A131">
        <v>3427</v>
      </c>
      <c r="B131">
        <v>2016</v>
      </c>
      <c r="C131" t="s">
        <v>77</v>
      </c>
      <c r="D131" t="s">
        <v>3</v>
      </c>
      <c r="E131" t="s">
        <v>39</v>
      </c>
      <c r="F131" s="17">
        <v>-8210</v>
      </c>
      <c r="G131" s="17">
        <v>895</v>
      </c>
      <c r="H131" s="9">
        <f t="shared" ref="H131:H151" si="6">(G131*F131)/2000</f>
        <v>-3673.9749999999999</v>
      </c>
      <c r="I131" s="8">
        <f t="shared" ref="I131:I151" si="7">(F131*G131)/2204.623</f>
        <v>-3332.9734834481906</v>
      </c>
      <c r="J131" t="s">
        <v>111</v>
      </c>
    </row>
    <row r="132" spans="1:10" x14ac:dyDescent="0.25">
      <c r="A132">
        <v>3428</v>
      </c>
      <c r="B132">
        <v>2016</v>
      </c>
      <c r="C132" t="s">
        <v>77</v>
      </c>
      <c r="D132" t="s">
        <v>3</v>
      </c>
      <c r="E132" t="s">
        <v>40</v>
      </c>
      <c r="F132" s="17">
        <v>-25904</v>
      </c>
      <c r="G132" s="17">
        <v>895</v>
      </c>
      <c r="H132" s="9">
        <f t="shared" si="6"/>
        <v>-11592.04</v>
      </c>
      <c r="I132" s="8">
        <f t="shared" si="7"/>
        <v>-10516.119989676239</v>
      </c>
      <c r="J132" t="s">
        <v>111</v>
      </c>
    </row>
    <row r="133" spans="1:10" x14ac:dyDescent="0.25">
      <c r="A133">
        <v>3429</v>
      </c>
      <c r="B133">
        <v>2016</v>
      </c>
      <c r="C133" t="s">
        <v>77</v>
      </c>
      <c r="D133" t="s">
        <v>3</v>
      </c>
      <c r="E133" t="s">
        <v>41</v>
      </c>
      <c r="F133" s="17">
        <v>-67154</v>
      </c>
      <c r="G133" s="17">
        <v>895</v>
      </c>
      <c r="H133" s="9">
        <f t="shared" si="6"/>
        <v>-30051.415000000001</v>
      </c>
      <c r="I133" s="8">
        <f t="shared" si="7"/>
        <v>-27262.180427220435</v>
      </c>
      <c r="J133" t="s">
        <v>111</v>
      </c>
    </row>
    <row r="134" spans="1:10" x14ac:dyDescent="0.25">
      <c r="A134">
        <v>3430</v>
      </c>
      <c r="B134">
        <v>2016</v>
      </c>
      <c r="C134" t="s">
        <v>77</v>
      </c>
      <c r="D134" t="s">
        <v>3</v>
      </c>
      <c r="E134" t="s">
        <v>81</v>
      </c>
      <c r="F134" s="17">
        <v>-17</v>
      </c>
      <c r="G134" s="17">
        <v>895</v>
      </c>
      <c r="H134" s="9">
        <f t="shared" si="6"/>
        <v>-7.6074999999999999</v>
      </c>
      <c r="I134" s="8">
        <f t="shared" si="7"/>
        <v>-6.9014067257757903</v>
      </c>
      <c r="J134" t="s">
        <v>111</v>
      </c>
    </row>
    <row r="135" spans="1:10" x14ac:dyDescent="0.25">
      <c r="A135">
        <v>3431</v>
      </c>
      <c r="B135">
        <v>2016</v>
      </c>
      <c r="C135" t="s">
        <v>77</v>
      </c>
      <c r="D135" t="s">
        <v>3</v>
      </c>
      <c r="E135" t="s">
        <v>42</v>
      </c>
      <c r="F135" s="17">
        <v>-45801</v>
      </c>
      <c r="G135" s="17">
        <v>895</v>
      </c>
      <c r="H135" s="9">
        <f t="shared" si="6"/>
        <v>-20495.947499999998</v>
      </c>
      <c r="I135" s="8">
        <f t="shared" si="7"/>
        <v>-18593.607614544526</v>
      </c>
      <c r="J135" t="s">
        <v>111</v>
      </c>
    </row>
    <row r="136" spans="1:10" x14ac:dyDescent="0.25">
      <c r="A136">
        <v>3432</v>
      </c>
      <c r="B136">
        <v>2016</v>
      </c>
      <c r="C136" t="s">
        <v>77</v>
      </c>
      <c r="D136" t="s">
        <v>3</v>
      </c>
      <c r="E136" t="s">
        <v>113</v>
      </c>
      <c r="F136" s="17">
        <v>-2206</v>
      </c>
      <c r="G136" s="17">
        <v>895</v>
      </c>
      <c r="H136" s="9">
        <f t="shared" si="6"/>
        <v>-987.18499999999995</v>
      </c>
      <c r="I136" s="8">
        <f t="shared" si="7"/>
        <v>-895.55901394478781</v>
      </c>
      <c r="J136" t="s">
        <v>111</v>
      </c>
    </row>
    <row r="137" spans="1:10" x14ac:dyDescent="0.25">
      <c r="A137">
        <v>3433</v>
      </c>
      <c r="B137">
        <v>2016</v>
      </c>
      <c r="C137" t="s">
        <v>77</v>
      </c>
      <c r="D137" t="s">
        <v>3</v>
      </c>
      <c r="E137" t="s">
        <v>43</v>
      </c>
      <c r="F137" s="17">
        <v>-431647</v>
      </c>
      <c r="G137" s="17">
        <v>895</v>
      </c>
      <c r="H137" s="9">
        <f t="shared" si="6"/>
        <v>-193162.0325</v>
      </c>
      <c r="I137" s="8">
        <f t="shared" si="7"/>
        <v>-175233.61817417308</v>
      </c>
      <c r="J137" t="s">
        <v>111</v>
      </c>
    </row>
    <row r="138" spans="1:10" x14ac:dyDescent="0.25">
      <c r="A138">
        <v>3434</v>
      </c>
      <c r="B138">
        <v>2016</v>
      </c>
      <c r="C138" t="s">
        <v>77</v>
      </c>
      <c r="D138" t="s">
        <v>3</v>
      </c>
      <c r="E138" t="s">
        <v>44</v>
      </c>
      <c r="F138" s="17">
        <v>-9917</v>
      </c>
      <c r="G138" s="17">
        <v>895</v>
      </c>
      <c r="H138" s="9">
        <f t="shared" si="6"/>
        <v>-4437.8575000000001</v>
      </c>
      <c r="I138" s="8">
        <f t="shared" si="7"/>
        <v>-4025.9559117363829</v>
      </c>
      <c r="J138" t="s">
        <v>111</v>
      </c>
    </row>
    <row r="139" spans="1:10" x14ac:dyDescent="0.25">
      <c r="A139">
        <v>3435</v>
      </c>
      <c r="B139">
        <v>2016</v>
      </c>
      <c r="C139" t="s">
        <v>77</v>
      </c>
      <c r="D139" t="s">
        <v>3</v>
      </c>
      <c r="E139" t="s">
        <v>45</v>
      </c>
      <c r="F139" s="17">
        <v>-155</v>
      </c>
      <c r="G139" s="17">
        <v>895</v>
      </c>
      <c r="H139" s="9">
        <f t="shared" si="6"/>
        <v>-69.362499999999997</v>
      </c>
      <c r="I139" s="8">
        <f t="shared" si="7"/>
        <v>-62.924590735014554</v>
      </c>
      <c r="J139" t="s">
        <v>111</v>
      </c>
    </row>
    <row r="140" spans="1:10" x14ac:dyDescent="0.25">
      <c r="A140">
        <v>3436</v>
      </c>
      <c r="B140">
        <v>2016</v>
      </c>
      <c r="C140" t="s">
        <v>77</v>
      </c>
      <c r="D140" t="s">
        <v>3</v>
      </c>
      <c r="E140" t="s">
        <v>46</v>
      </c>
      <c r="F140" s="17">
        <v>-2338954</v>
      </c>
      <c r="G140" s="17">
        <v>895</v>
      </c>
      <c r="H140" s="9">
        <f t="shared" si="6"/>
        <v>-1046681.915</v>
      </c>
      <c r="I140" s="8">
        <f t="shared" si="7"/>
        <v>-949533.69805177569</v>
      </c>
      <c r="J140" t="s">
        <v>111</v>
      </c>
    </row>
    <row r="141" spans="1:10" x14ac:dyDescent="0.25">
      <c r="A141">
        <v>3437</v>
      </c>
      <c r="B141">
        <v>2016</v>
      </c>
      <c r="C141" t="s">
        <v>83</v>
      </c>
      <c r="D141" t="s">
        <v>3</v>
      </c>
      <c r="E141" t="s">
        <v>49</v>
      </c>
      <c r="F141" s="17">
        <v>-9323.1589999999997</v>
      </c>
      <c r="G141" s="17">
        <v>895</v>
      </c>
      <c r="H141" s="9">
        <f t="shared" si="6"/>
        <v>-4172.1136525000002</v>
      </c>
      <c r="I141" s="8">
        <f t="shared" si="7"/>
        <v>-3784.8771898868877</v>
      </c>
      <c r="J141" t="s">
        <v>107</v>
      </c>
    </row>
    <row r="142" spans="1:10" x14ac:dyDescent="0.25">
      <c r="A142">
        <v>3438</v>
      </c>
      <c r="B142">
        <v>2016</v>
      </c>
      <c r="C142" t="s">
        <v>83</v>
      </c>
      <c r="D142" t="s">
        <v>3</v>
      </c>
      <c r="E142" t="s">
        <v>52</v>
      </c>
      <c r="F142" s="17">
        <v>-2843.7759999999998</v>
      </c>
      <c r="G142" s="17">
        <v>895</v>
      </c>
      <c r="H142" s="9">
        <f t="shared" si="6"/>
        <v>-1272.5897600000001</v>
      </c>
      <c r="I142" s="8">
        <f t="shared" si="7"/>
        <v>-1154.4738125293984</v>
      </c>
      <c r="J142" t="s">
        <v>107</v>
      </c>
    </row>
    <row r="143" spans="1:10" x14ac:dyDescent="0.25">
      <c r="A143">
        <v>3439</v>
      </c>
      <c r="B143">
        <v>2016</v>
      </c>
      <c r="C143" t="s">
        <v>83</v>
      </c>
      <c r="D143" t="s">
        <v>3</v>
      </c>
      <c r="E143" t="s">
        <v>53</v>
      </c>
      <c r="F143" s="17">
        <v>-16342.677</v>
      </c>
      <c r="G143" s="17">
        <v>895</v>
      </c>
      <c r="H143" s="9">
        <f t="shared" si="6"/>
        <v>-7313.3479574999992</v>
      </c>
      <c r="I143" s="8">
        <f t="shared" si="7"/>
        <v>-6634.5565273518414</v>
      </c>
      <c r="J143" t="s">
        <v>107</v>
      </c>
    </row>
    <row r="144" spans="1:10" x14ac:dyDescent="0.25">
      <c r="A144">
        <v>3440</v>
      </c>
      <c r="B144">
        <v>2016</v>
      </c>
      <c r="C144" t="s">
        <v>83</v>
      </c>
      <c r="D144" t="s">
        <v>3</v>
      </c>
      <c r="E144" t="s">
        <v>55</v>
      </c>
      <c r="F144" s="17">
        <v>-4186.3710000000001</v>
      </c>
      <c r="G144" s="17">
        <v>895</v>
      </c>
      <c r="H144" s="9">
        <f t="shared" si="6"/>
        <v>-1873.4010225</v>
      </c>
      <c r="I144" s="8">
        <f t="shared" si="7"/>
        <v>-1699.5205279995716</v>
      </c>
      <c r="J144" t="s">
        <v>107</v>
      </c>
    </row>
    <row r="145" spans="1:10" x14ac:dyDescent="0.25">
      <c r="A145">
        <v>3441</v>
      </c>
      <c r="B145">
        <v>2016</v>
      </c>
      <c r="C145" t="s">
        <v>83</v>
      </c>
      <c r="D145" t="s">
        <v>3</v>
      </c>
      <c r="E145" t="s">
        <v>56</v>
      </c>
      <c r="F145" s="17">
        <v>-814.09199999999998</v>
      </c>
      <c r="G145" s="17">
        <v>895</v>
      </c>
      <c r="H145" s="9">
        <f t="shared" si="6"/>
        <v>-364.30617000000001</v>
      </c>
      <c r="I145" s="8">
        <f t="shared" si="7"/>
        <v>-330.49294142354495</v>
      </c>
      <c r="J145" t="s">
        <v>107</v>
      </c>
    </row>
    <row r="146" spans="1:10" x14ac:dyDescent="0.25">
      <c r="A146">
        <v>3442</v>
      </c>
      <c r="B146">
        <v>2016</v>
      </c>
      <c r="C146" t="s">
        <v>83</v>
      </c>
      <c r="D146" t="s">
        <v>3</v>
      </c>
      <c r="E146" t="s">
        <v>57</v>
      </c>
      <c r="F146" s="17">
        <v>-12077.076999999999</v>
      </c>
      <c r="G146" s="17">
        <v>895</v>
      </c>
      <c r="H146" s="9">
        <f t="shared" si="6"/>
        <v>-5404.4919574999994</v>
      </c>
      <c r="I146" s="8">
        <f t="shared" si="7"/>
        <v>-4902.8717903242405</v>
      </c>
      <c r="J146" t="s">
        <v>107</v>
      </c>
    </row>
    <row r="147" spans="1:10" x14ac:dyDescent="0.25">
      <c r="A147">
        <v>3443</v>
      </c>
      <c r="B147">
        <v>2016</v>
      </c>
      <c r="C147" t="s">
        <v>83</v>
      </c>
      <c r="D147" t="s">
        <v>3</v>
      </c>
      <c r="E147" t="s">
        <v>59</v>
      </c>
      <c r="F147" s="17">
        <v>-53227.61</v>
      </c>
      <c r="G147" s="17">
        <v>895</v>
      </c>
      <c r="H147" s="9">
        <f t="shared" si="6"/>
        <v>-23819.355475</v>
      </c>
      <c r="I147" s="8">
        <f t="shared" si="7"/>
        <v>-21608.552097115924</v>
      </c>
      <c r="J147" t="s">
        <v>107</v>
      </c>
    </row>
    <row r="148" spans="1:10" x14ac:dyDescent="0.25">
      <c r="A148">
        <v>3444</v>
      </c>
      <c r="B148">
        <v>2016</v>
      </c>
      <c r="C148" t="s">
        <v>83</v>
      </c>
      <c r="D148" t="s">
        <v>3</v>
      </c>
      <c r="E148" t="s">
        <v>60</v>
      </c>
      <c r="F148" s="17">
        <v>-4347.84</v>
      </c>
      <c r="G148" s="17">
        <v>895</v>
      </c>
      <c r="H148" s="9">
        <f t="shared" si="6"/>
        <v>-1945.6584</v>
      </c>
      <c r="I148" s="8">
        <f t="shared" si="7"/>
        <v>-1765.0713069762949</v>
      </c>
      <c r="J148" t="s">
        <v>107</v>
      </c>
    </row>
    <row r="149" spans="1:10" x14ac:dyDescent="0.25">
      <c r="A149">
        <v>3445</v>
      </c>
      <c r="B149">
        <v>2016</v>
      </c>
      <c r="C149" t="s">
        <v>83</v>
      </c>
      <c r="D149" t="s">
        <v>3</v>
      </c>
      <c r="E149" t="s">
        <v>62</v>
      </c>
      <c r="F149" s="17">
        <v>-4270.8140000000003</v>
      </c>
      <c r="G149" s="17">
        <v>895</v>
      </c>
      <c r="H149" s="9">
        <f t="shared" si="6"/>
        <v>-1911.1892650000002</v>
      </c>
      <c r="I149" s="8">
        <f t="shared" si="7"/>
        <v>-1733.8014390669064</v>
      </c>
      <c r="J149" t="s">
        <v>107</v>
      </c>
    </row>
    <row r="150" spans="1:10" x14ac:dyDescent="0.25">
      <c r="A150">
        <v>3446</v>
      </c>
      <c r="B150">
        <v>2016</v>
      </c>
      <c r="C150" t="s">
        <v>83</v>
      </c>
      <c r="D150" t="s">
        <v>3</v>
      </c>
      <c r="E150" t="s">
        <v>63</v>
      </c>
      <c r="F150" s="17">
        <v>-13213.305</v>
      </c>
      <c r="G150" s="17">
        <v>895</v>
      </c>
      <c r="H150" s="9">
        <f t="shared" si="6"/>
        <v>-5912.9539875</v>
      </c>
      <c r="I150" s="8">
        <f t="shared" si="7"/>
        <v>-5364.1407056898161</v>
      </c>
      <c r="J150" t="s">
        <v>107</v>
      </c>
    </row>
    <row r="151" spans="1:10" s="18" customFormat="1" x14ac:dyDescent="0.25">
      <c r="A151" s="18">
        <v>3447</v>
      </c>
      <c r="B151" s="18">
        <v>2016</v>
      </c>
      <c r="C151" s="18" t="s">
        <v>83</v>
      </c>
      <c r="D151" s="18" t="s">
        <v>3</v>
      </c>
      <c r="E151" s="18" t="s">
        <v>64</v>
      </c>
      <c r="F151" s="19">
        <v>-1041.556</v>
      </c>
      <c r="G151" s="19">
        <v>895</v>
      </c>
      <c r="H151" s="20">
        <f t="shared" si="6"/>
        <v>-466.09631000000002</v>
      </c>
      <c r="I151" s="21">
        <f t="shared" si="7"/>
        <v>-422.83538727483108</v>
      </c>
      <c r="J151" s="18" t="s">
        <v>107</v>
      </c>
    </row>
    <row r="152" spans="1:10" x14ac:dyDescent="0.25">
      <c r="F152" s="17">
        <f t="shared" ref="F152:I152" si="8">SUM(F2:F151)</f>
        <v>4166128.753</v>
      </c>
      <c r="G152" s="17">
        <f t="shared" si="8"/>
        <v>134250</v>
      </c>
      <c r="H152" s="9">
        <f t="shared" si="8"/>
        <v>1864342.6169674986</v>
      </c>
      <c r="I152" s="8">
        <f t="shared" si="8"/>
        <v>1691302.8821412993</v>
      </c>
    </row>
    <row r="153" spans="1:10" x14ac:dyDescent="0.25">
      <c r="H153" s="9"/>
      <c r="I153" s="8"/>
    </row>
    <row r="154" spans="1:10" x14ac:dyDescent="0.25">
      <c r="H154" s="9"/>
      <c r="I154" s="8"/>
    </row>
    <row r="155" spans="1:10" x14ac:dyDescent="0.25">
      <c r="H155" s="9"/>
      <c r="I155" s="8"/>
    </row>
    <row r="156" spans="1:10" x14ac:dyDescent="0.25">
      <c r="H156" s="9"/>
      <c r="I156" s="8"/>
    </row>
    <row r="157" spans="1:10" x14ac:dyDescent="0.25">
      <c r="H157" s="9"/>
      <c r="I157" s="8"/>
    </row>
    <row r="158" spans="1:10" x14ac:dyDescent="0.25">
      <c r="H158" s="9"/>
      <c r="I158" s="8"/>
    </row>
    <row r="159" spans="1:10" x14ac:dyDescent="0.25">
      <c r="H159" s="9"/>
      <c r="I159" s="8"/>
    </row>
    <row r="160" spans="1:10" x14ac:dyDescent="0.25">
      <c r="H160" s="9"/>
      <c r="I160" s="8"/>
    </row>
    <row r="161" spans="8:9" x14ac:dyDescent="0.25">
      <c r="H161" s="9"/>
      <c r="I161" s="8"/>
    </row>
    <row r="162" spans="8:9" x14ac:dyDescent="0.25">
      <c r="H162" s="9"/>
      <c r="I162" s="8"/>
    </row>
    <row r="163" spans="8:9" x14ac:dyDescent="0.25">
      <c r="H163" s="9"/>
      <c r="I163" s="8"/>
    </row>
    <row r="164" spans="8:9" x14ac:dyDescent="0.25">
      <c r="H164" s="9"/>
      <c r="I164" s="8"/>
    </row>
    <row r="165" spans="8:9" x14ac:dyDescent="0.25">
      <c r="H165" s="9"/>
      <c r="I165" s="8"/>
    </row>
    <row r="166" spans="8:9" x14ac:dyDescent="0.25">
      <c r="H166" s="9"/>
      <c r="I166" s="8"/>
    </row>
    <row r="167" spans="8:9" x14ac:dyDescent="0.25">
      <c r="H167" s="9"/>
      <c r="I167" s="8"/>
    </row>
    <row r="168" spans="8:9" x14ac:dyDescent="0.25">
      <c r="H168" s="9"/>
      <c r="I168" s="8"/>
    </row>
    <row r="169" spans="8:9" x14ac:dyDescent="0.25">
      <c r="H169" s="9"/>
      <c r="I169" s="8"/>
    </row>
    <row r="170" spans="8:9" x14ac:dyDescent="0.25">
      <c r="H170" s="9"/>
      <c r="I170" s="8"/>
    </row>
    <row r="171" spans="8:9" x14ac:dyDescent="0.25">
      <c r="H171" s="9"/>
      <c r="I171" s="8"/>
    </row>
    <row r="172" spans="8:9" x14ac:dyDescent="0.25">
      <c r="H172" s="9"/>
      <c r="I172" s="8"/>
    </row>
    <row r="173" spans="8:9" x14ac:dyDescent="0.25">
      <c r="H173" s="9"/>
      <c r="I173" s="8"/>
    </row>
    <row r="174" spans="8:9" x14ac:dyDescent="0.25">
      <c r="H174" s="9"/>
      <c r="I174" s="8"/>
    </row>
    <row r="175" spans="8:9" x14ac:dyDescent="0.25">
      <c r="H175" s="9"/>
      <c r="I175" s="8"/>
    </row>
    <row r="176" spans="8:9" x14ac:dyDescent="0.25">
      <c r="H176" s="9"/>
      <c r="I176" s="8"/>
    </row>
    <row r="177" spans="8:9" x14ac:dyDescent="0.25">
      <c r="H177" s="9"/>
      <c r="I177" s="8"/>
    </row>
    <row r="178" spans="8:9" x14ac:dyDescent="0.25">
      <c r="H178" s="9"/>
      <c r="I178" s="8"/>
    </row>
    <row r="179" spans="8:9" x14ac:dyDescent="0.25">
      <c r="H179" s="9"/>
      <c r="I179" s="8"/>
    </row>
    <row r="180" spans="8:9" x14ac:dyDescent="0.25">
      <c r="H180" s="9"/>
      <c r="I180" s="8"/>
    </row>
    <row r="181" spans="8:9" x14ac:dyDescent="0.25">
      <c r="H181" s="9"/>
      <c r="I181" s="8"/>
    </row>
    <row r="182" spans="8:9" x14ac:dyDescent="0.25">
      <c r="H182" s="9"/>
      <c r="I182" s="8"/>
    </row>
    <row r="183" spans="8:9" x14ac:dyDescent="0.25">
      <c r="H183" s="9"/>
      <c r="I183" s="8"/>
    </row>
    <row r="184" spans="8:9" x14ac:dyDescent="0.25">
      <c r="H184" s="9"/>
      <c r="I184" s="8"/>
    </row>
    <row r="185" spans="8:9" x14ac:dyDescent="0.25">
      <c r="H185" s="9"/>
      <c r="I185" s="8"/>
    </row>
    <row r="186" spans="8:9" x14ac:dyDescent="0.25">
      <c r="H186" s="9"/>
      <c r="I186" s="8"/>
    </row>
    <row r="187" spans="8:9" x14ac:dyDescent="0.25">
      <c r="H187" s="9"/>
      <c r="I187" s="8"/>
    </row>
    <row r="188" spans="8:9" x14ac:dyDescent="0.25">
      <c r="H188" s="9"/>
      <c r="I188" s="8"/>
    </row>
    <row r="189" spans="8:9" x14ac:dyDescent="0.25">
      <c r="H189" s="9"/>
      <c r="I189" s="8"/>
    </row>
    <row r="190" spans="8:9" x14ac:dyDescent="0.25">
      <c r="H190" s="9"/>
      <c r="I190" s="8"/>
    </row>
    <row r="191" spans="8:9" x14ac:dyDescent="0.25">
      <c r="H191" s="9"/>
      <c r="I191" s="8"/>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6"/>
  <sheetViews>
    <sheetView tabSelected="1" topLeftCell="A46" workbookViewId="0">
      <selection activeCell="F87" sqref="F87"/>
    </sheetView>
  </sheetViews>
  <sheetFormatPr defaultRowHeight="15" x14ac:dyDescent="0.25"/>
  <cols>
    <col min="1" max="1" width="46.85546875" style="29" customWidth="1"/>
    <col min="2" max="2" width="12.5703125" style="29" bestFit="1" customWidth="1"/>
    <col min="3" max="3" width="9.140625" style="29"/>
    <col min="4" max="4" width="15.5703125" style="29" customWidth="1"/>
    <col min="5" max="7" width="17.5703125" style="29" customWidth="1"/>
    <col min="8" max="16384" width="9.140625" style="29"/>
  </cols>
  <sheetData>
    <row r="1" spans="1:7" s="4" customFormat="1" x14ac:dyDescent="0.25">
      <c r="C1" s="5" t="s">
        <v>95</v>
      </c>
      <c r="D1" s="6">
        <v>895</v>
      </c>
      <c r="E1" s="4" t="s">
        <v>94</v>
      </c>
    </row>
    <row r="2" spans="1:7" s="4" customFormat="1" x14ac:dyDescent="0.25">
      <c r="C2" s="5" t="s">
        <v>115</v>
      </c>
      <c r="D2" s="35">
        <v>1046.0444592591894</v>
      </c>
      <c r="E2" s="4" t="s">
        <v>94</v>
      </c>
      <c r="F2" s="34"/>
    </row>
    <row r="3" spans="1:7" ht="30" x14ac:dyDescent="0.25">
      <c r="A3" s="28" t="s">
        <v>96</v>
      </c>
      <c r="B3" s="29" t="s">
        <v>98</v>
      </c>
      <c r="D3" s="11" t="s">
        <v>98</v>
      </c>
      <c r="E3" s="11" t="s">
        <v>114</v>
      </c>
      <c r="F3" s="23" t="s">
        <v>100</v>
      </c>
      <c r="G3" s="23" t="s">
        <v>99</v>
      </c>
    </row>
    <row r="4" spans="1:7" x14ac:dyDescent="0.25">
      <c r="A4" s="30" t="s">
        <v>0</v>
      </c>
      <c r="B4" s="31">
        <v>33590</v>
      </c>
      <c r="C4" s="31"/>
      <c r="D4" s="31">
        <f>GETPIVOTDATA("MWh",$A$3,"Facility / Firm","Avista Corp. WWP Division")</f>
        <v>33590</v>
      </c>
      <c r="E4" s="10">
        <f>IF(D4&lt;0,D4*$D$2,D4*$D$1)</f>
        <v>30063050</v>
      </c>
      <c r="F4" s="10">
        <f>E4/2000</f>
        <v>15031.525</v>
      </c>
      <c r="G4" s="10">
        <f>E4/2204.623</f>
        <v>13636.367759929928</v>
      </c>
    </row>
    <row r="5" spans="1:7" x14ac:dyDescent="0.25">
      <c r="A5" s="30" t="s">
        <v>66</v>
      </c>
      <c r="B5" s="31">
        <v>21796.48</v>
      </c>
      <c r="C5" s="31"/>
      <c r="D5" s="31">
        <f>GETPIVOTDATA("MWh",$A$3,"Facility / Firm","Avista Nichols Pump")</f>
        <v>21796.48</v>
      </c>
      <c r="E5" s="10">
        <f t="shared" ref="E5:E68" si="0">IF(D5&lt;0,D5*$D$2,D5*$D$1)</f>
        <v>19507849.599999998</v>
      </c>
      <c r="F5" s="10">
        <f t="shared" ref="F5:F68" si="1">E5/2000</f>
        <v>9753.9247999999989</v>
      </c>
      <c r="G5" s="10">
        <f t="shared" ref="G5:G68" si="2">E5/2204.623</f>
        <v>8848.6102158963222</v>
      </c>
    </row>
    <row r="6" spans="1:7" x14ac:dyDescent="0.25">
      <c r="A6" s="30" t="s">
        <v>4</v>
      </c>
      <c r="B6" s="31">
        <v>201</v>
      </c>
      <c r="C6" s="31"/>
      <c r="D6" s="31">
        <f>GETPIVOTDATA("MWh",$A$3,"Facility / Firm","Black Hills Power")</f>
        <v>201</v>
      </c>
      <c r="E6" s="10">
        <f t="shared" si="0"/>
        <v>179895</v>
      </c>
      <c r="F6" s="10">
        <f t="shared" si="1"/>
        <v>89.947500000000005</v>
      </c>
      <c r="G6" s="10">
        <f t="shared" si="2"/>
        <v>81.598985404760811</v>
      </c>
    </row>
    <row r="7" spans="1:7" x14ac:dyDescent="0.25">
      <c r="A7" s="30" t="s">
        <v>102</v>
      </c>
      <c r="B7" s="31">
        <v>2580</v>
      </c>
      <c r="C7" s="31"/>
      <c r="D7" s="31">
        <f>GETPIVOTDATA("MWh",$A$3,"Facility / Firm","Book Outs - EITF 03-11")</f>
        <v>2580</v>
      </c>
      <c r="E7" s="10">
        <f t="shared" si="0"/>
        <v>2309100</v>
      </c>
      <c r="F7" s="10">
        <f t="shared" si="1"/>
        <v>1154.55</v>
      </c>
      <c r="G7" s="10">
        <f t="shared" si="2"/>
        <v>1047.3899619118552</v>
      </c>
    </row>
    <row r="8" spans="1:7" x14ac:dyDescent="0.25">
      <c r="A8" s="30" t="s">
        <v>5</v>
      </c>
      <c r="B8" s="31">
        <v>215742</v>
      </c>
      <c r="C8" s="31"/>
      <c r="D8" s="31">
        <f>GETPIVOTDATA("MWh",$A$3,"Facility / Firm","BP Energy Co.")</f>
        <v>215742</v>
      </c>
      <c r="E8" s="10">
        <f t="shared" si="0"/>
        <v>193089090</v>
      </c>
      <c r="F8" s="10">
        <f t="shared" si="1"/>
        <v>96544.544999999998</v>
      </c>
      <c r="G8" s="10">
        <f t="shared" si="2"/>
        <v>87583.722931312965</v>
      </c>
    </row>
    <row r="9" spans="1:7" x14ac:dyDescent="0.25">
      <c r="A9" s="30" t="s">
        <v>6</v>
      </c>
      <c r="B9" s="31">
        <v>258423</v>
      </c>
      <c r="C9" s="31"/>
      <c r="D9" s="31">
        <f>GETPIVOTDATA("MWh",$A$3,"Facility / Firm","BPA")</f>
        <v>258423</v>
      </c>
      <c r="E9" s="10">
        <f t="shared" si="0"/>
        <v>231288585</v>
      </c>
      <c r="F9" s="10">
        <f t="shared" si="1"/>
        <v>115644.2925</v>
      </c>
      <c r="G9" s="10">
        <f t="shared" si="2"/>
        <v>104910.71942912688</v>
      </c>
    </row>
    <row r="10" spans="1:7" x14ac:dyDescent="0.25">
      <c r="A10" s="30" t="s">
        <v>72</v>
      </c>
      <c r="B10" s="31">
        <v>1952.7380000000001</v>
      </c>
      <c r="C10" s="31"/>
      <c r="D10" s="31">
        <f>GETPIVOTDATA("MWh",$A$3,"Facility / Firm","BPA - CA Wind Integration")</f>
        <v>1952.7380000000001</v>
      </c>
      <c r="E10" s="10">
        <f t="shared" si="0"/>
        <v>1747700.51</v>
      </c>
      <c r="F10" s="10">
        <f t="shared" si="1"/>
        <v>873.85025500000006</v>
      </c>
      <c r="G10" s="10">
        <f t="shared" si="2"/>
        <v>792.74348040458619</v>
      </c>
    </row>
    <row r="11" spans="1:7" x14ac:dyDescent="0.25">
      <c r="A11" s="30" t="s">
        <v>7</v>
      </c>
      <c r="B11" s="31">
        <v>-159</v>
      </c>
      <c r="C11" s="31"/>
      <c r="D11" s="31">
        <f>GETPIVOTDATA("MWh",$A$3,"Facility / Firm","BPA - NWPP Reserve Sharing Energy")</f>
        <v>-159</v>
      </c>
      <c r="E11" s="10">
        <f t="shared" si="0"/>
        <v>-166321.0690222111</v>
      </c>
      <c r="F11" s="10">
        <f t="shared" si="1"/>
        <v>-83.160534511105553</v>
      </c>
      <c r="G11" s="10">
        <f t="shared" si="2"/>
        <v>-75.441954938423081</v>
      </c>
    </row>
    <row r="12" spans="1:7" x14ac:dyDescent="0.25">
      <c r="A12" s="30" t="s">
        <v>73</v>
      </c>
      <c r="B12" s="31">
        <v>39252</v>
      </c>
      <c r="C12" s="31"/>
      <c r="D12" s="31">
        <f>GETPIVOTDATA("MWh",$A$3,"Facility / Firm","BPA - PTP Transactions")</f>
        <v>39252</v>
      </c>
      <c r="E12" s="10">
        <f t="shared" si="0"/>
        <v>35130540</v>
      </c>
      <c r="F12" s="10">
        <f t="shared" si="1"/>
        <v>17565.27</v>
      </c>
      <c r="G12" s="10">
        <f t="shared" si="2"/>
        <v>15934.942164714783</v>
      </c>
    </row>
    <row r="13" spans="1:7" x14ac:dyDescent="0.25">
      <c r="A13" s="30" t="s">
        <v>75</v>
      </c>
      <c r="B13" s="31">
        <v>5037220.18</v>
      </c>
      <c r="C13" s="31"/>
      <c r="D13" s="31">
        <f>GETPIVOTDATA("MWh",$A$3,"Facility / Firm","BPA - Spin Reserv Requirement")</f>
        <v>5037220.18</v>
      </c>
      <c r="E13" s="10">
        <f t="shared" si="0"/>
        <v>4508312061.0999994</v>
      </c>
      <c r="F13" s="10">
        <f t="shared" si="1"/>
        <v>2254156.0305499998</v>
      </c>
      <c r="G13" s="10">
        <f t="shared" si="2"/>
        <v>2044935.6017332666</v>
      </c>
    </row>
    <row r="14" spans="1:7" x14ac:dyDescent="0.25">
      <c r="A14" s="30" t="s">
        <v>76</v>
      </c>
      <c r="B14" s="31">
        <v>194</v>
      </c>
      <c r="C14" s="31"/>
      <c r="D14" s="31">
        <f>GETPIVOTDATA("MWh",$A$3,"Facility / Firm","BPA IS - Hourly Non-Firm")</f>
        <v>194</v>
      </c>
      <c r="E14" s="10">
        <f t="shared" si="0"/>
        <v>173630</v>
      </c>
      <c r="F14" s="10">
        <f t="shared" si="1"/>
        <v>86.814999999999998</v>
      </c>
      <c r="G14" s="10">
        <f t="shared" si="2"/>
        <v>78.757229694147256</v>
      </c>
    </row>
    <row r="15" spans="1:7" x14ac:dyDescent="0.25">
      <c r="A15" s="30" t="s">
        <v>8</v>
      </c>
      <c r="B15" s="31">
        <v>15</v>
      </c>
      <c r="C15" s="31"/>
      <c r="D15" s="31">
        <f>GETPIVOTDATA("MWh",$A$3,"Facility / Firm","British Columbia Transmission Corp")</f>
        <v>15</v>
      </c>
      <c r="E15" s="10">
        <f t="shared" si="0"/>
        <v>13425</v>
      </c>
      <c r="F15" s="10">
        <f t="shared" si="1"/>
        <v>6.7125000000000004</v>
      </c>
      <c r="G15" s="10">
        <f t="shared" si="2"/>
        <v>6.0894765227433441</v>
      </c>
    </row>
    <row r="16" spans="1:7" x14ac:dyDescent="0.25">
      <c r="A16" s="30" t="s">
        <v>47</v>
      </c>
      <c r="B16" s="31">
        <v>-39390.894</v>
      </c>
      <c r="C16" s="31"/>
      <c r="D16" s="31">
        <f>GETPIVOTDATA("MWh",$A$3,"Facility / Firm","CAISO EESC Load Undistributed Costs")</f>
        <v>-39390.894</v>
      </c>
      <c r="E16" s="10">
        <f t="shared" si="0"/>
        <v>-41204626.413966045</v>
      </c>
      <c r="F16" s="10">
        <f t="shared" si="1"/>
        <v>-20602.313206983021</v>
      </c>
      <c r="G16" s="10">
        <f t="shared" si="2"/>
        <v>-18690.100944227674</v>
      </c>
    </row>
    <row r="17" spans="1:7" x14ac:dyDescent="0.25">
      <c r="A17" s="30" t="s">
        <v>49</v>
      </c>
      <c r="B17" s="31">
        <v>17560.87</v>
      </c>
      <c r="C17" s="31"/>
      <c r="D17" s="31">
        <f>GETPIVOTDATA("MWh",$A$3,"Facility / Firm","CAISO PRSC Undistributed Costs")</f>
        <v>17560.87</v>
      </c>
      <c r="E17" s="10">
        <f t="shared" si="0"/>
        <v>15716978.649999999</v>
      </c>
      <c r="F17" s="10">
        <f t="shared" si="1"/>
        <v>7858.4893249999996</v>
      </c>
      <c r="G17" s="10">
        <f t="shared" si="2"/>
        <v>7129.1003722631931</v>
      </c>
    </row>
    <row r="18" spans="1:7" x14ac:dyDescent="0.25">
      <c r="A18" s="30" t="s">
        <v>9</v>
      </c>
      <c r="B18" s="31">
        <v>33095</v>
      </c>
      <c r="C18" s="31"/>
      <c r="D18" s="31">
        <f>GETPIVOTDATA("MWh",$A$3,"Facility / Firm","California ISO")</f>
        <v>33095</v>
      </c>
      <c r="E18" s="10">
        <f t="shared" si="0"/>
        <v>29620025</v>
      </c>
      <c r="F18" s="10">
        <f t="shared" si="1"/>
        <v>14810.012500000001</v>
      </c>
      <c r="G18" s="10">
        <f t="shared" si="2"/>
        <v>13435.415034679398</v>
      </c>
    </row>
    <row r="19" spans="1:7" x14ac:dyDescent="0.25">
      <c r="A19" s="30" t="s">
        <v>10</v>
      </c>
      <c r="B19" s="31">
        <v>-29780</v>
      </c>
      <c r="C19" s="31"/>
      <c r="D19" s="31">
        <f>GETPIVOTDATA("MWh",$A$3,"Facility / Firm","Calpine Energy Services")</f>
        <v>-29780</v>
      </c>
      <c r="E19" s="10">
        <f t="shared" si="0"/>
        <v>-31151203.996738657</v>
      </c>
      <c r="F19" s="10">
        <f t="shared" si="1"/>
        <v>-15575.60199836933</v>
      </c>
      <c r="G19" s="10">
        <f t="shared" si="2"/>
        <v>-14129.94602557383</v>
      </c>
    </row>
    <row r="20" spans="1:7" x14ac:dyDescent="0.25">
      <c r="A20" s="30" t="s">
        <v>11</v>
      </c>
      <c r="B20" s="31">
        <v>470528</v>
      </c>
      <c r="C20" s="31"/>
      <c r="D20" s="31">
        <f>GETPIVOTDATA("MWh",$A$3,"Facility / Firm","Cargill Power Markets")</f>
        <v>470528</v>
      </c>
      <c r="E20" s="10">
        <f t="shared" si="0"/>
        <v>421122560</v>
      </c>
      <c r="F20" s="10">
        <f t="shared" si="1"/>
        <v>210561.28</v>
      </c>
      <c r="G20" s="10">
        <f t="shared" si="2"/>
        <v>191017.94728622536</v>
      </c>
    </row>
    <row r="21" spans="1:7" x14ac:dyDescent="0.25">
      <c r="A21" s="30" t="s">
        <v>12</v>
      </c>
      <c r="B21" s="31">
        <v>62405</v>
      </c>
      <c r="C21" s="31"/>
      <c r="D21" s="31">
        <f>GETPIVOTDATA("MWh",$A$3,"Facility / Firm","Chelan County PUD #1")</f>
        <v>62405</v>
      </c>
      <c r="E21" s="10">
        <f t="shared" si="0"/>
        <v>55852475</v>
      </c>
      <c r="F21" s="10">
        <f t="shared" si="1"/>
        <v>27926.237499999999</v>
      </c>
      <c r="G21" s="10">
        <f t="shared" si="2"/>
        <v>25334.252160119893</v>
      </c>
    </row>
    <row r="22" spans="1:7" x14ac:dyDescent="0.25">
      <c r="A22" s="30" t="s">
        <v>13</v>
      </c>
      <c r="B22" s="31">
        <v>122525</v>
      </c>
      <c r="C22" s="31"/>
      <c r="D22" s="31">
        <f>GETPIVOTDATA("MWh",$A$3,"Facility / Firm","Citigroup Energy Inc")</f>
        <v>122525</v>
      </c>
      <c r="E22" s="10">
        <f t="shared" si="0"/>
        <v>109659875</v>
      </c>
      <c r="F22" s="10">
        <f t="shared" si="1"/>
        <v>54829.9375</v>
      </c>
      <c r="G22" s="10">
        <f t="shared" si="2"/>
        <v>49740.874063275216</v>
      </c>
    </row>
    <row r="23" spans="1:7" x14ac:dyDescent="0.25">
      <c r="A23" s="30" t="s">
        <v>14</v>
      </c>
      <c r="B23" s="31">
        <v>157</v>
      </c>
      <c r="C23" s="31"/>
      <c r="D23" s="31">
        <f>GETPIVOTDATA("MWh",$A$3,"Facility / Firm","Clark Public Utilities")</f>
        <v>157</v>
      </c>
      <c r="E23" s="10">
        <f t="shared" si="0"/>
        <v>140515</v>
      </c>
      <c r="F23" s="10">
        <f t="shared" si="1"/>
        <v>70.257499999999993</v>
      </c>
      <c r="G23" s="10">
        <f t="shared" si="2"/>
        <v>63.736520938047001</v>
      </c>
    </row>
    <row r="24" spans="1:7" x14ac:dyDescent="0.25">
      <c r="A24" s="30" t="s">
        <v>15</v>
      </c>
      <c r="B24" s="31">
        <v>1009</v>
      </c>
      <c r="C24" s="31"/>
      <c r="D24" s="31">
        <f>GETPIVOTDATA("MWh",$A$3,"Facility / Firm","Clatskanie PUD")</f>
        <v>1009</v>
      </c>
      <c r="E24" s="10">
        <f t="shared" si="0"/>
        <v>903055</v>
      </c>
      <c r="F24" s="10">
        <f t="shared" si="1"/>
        <v>451.52749999999997</v>
      </c>
      <c r="G24" s="10">
        <f t="shared" si="2"/>
        <v>409.61878742986897</v>
      </c>
    </row>
    <row r="25" spans="1:7" x14ac:dyDescent="0.25">
      <c r="A25" s="30" t="s">
        <v>50</v>
      </c>
      <c r="B25" s="31">
        <v>-22440.600999999999</v>
      </c>
      <c r="C25" s="31"/>
      <c r="D25" s="31">
        <f>GETPIVOTDATA("MWh",$A$3,"Facility / Firm","Colstrip - Energy Imbalance Market")</f>
        <v>-22440.600999999999</v>
      </c>
      <c r="E25" s="10">
        <f t="shared" si="0"/>
        <v>-23473866.338496223</v>
      </c>
      <c r="F25" s="10">
        <f t="shared" si="1"/>
        <v>-11736.933169248112</v>
      </c>
      <c r="G25" s="10">
        <f t="shared" si="2"/>
        <v>-10647.564839202087</v>
      </c>
    </row>
    <row r="26" spans="1:7" x14ac:dyDescent="0.25">
      <c r="A26" s="30" t="s">
        <v>16</v>
      </c>
      <c r="B26" s="31">
        <v>-3825</v>
      </c>
      <c r="C26" s="31"/>
      <c r="D26" s="31">
        <f>GETPIVOTDATA("MWh",$A$3,"Facility / Firm","Conoco, Inc.")</f>
        <v>-3825</v>
      </c>
      <c r="E26" s="10">
        <f t="shared" si="0"/>
        <v>-4001120.0566663994</v>
      </c>
      <c r="F26" s="10">
        <f t="shared" si="1"/>
        <v>-2000.5600283331996</v>
      </c>
      <c r="G26" s="10">
        <f t="shared" si="2"/>
        <v>-1814.877217858291</v>
      </c>
    </row>
    <row r="27" spans="1:7" x14ac:dyDescent="0.25">
      <c r="A27" s="30" t="s">
        <v>112</v>
      </c>
      <c r="B27" s="31">
        <v>-7</v>
      </c>
      <c r="C27" s="31"/>
      <c r="D27" s="31">
        <f>GETPIVOTDATA("MWh",$A$3,"Facility / Firm","Constellation Power Source, Inc.")</f>
        <v>-7</v>
      </c>
      <c r="E27" s="10">
        <f t="shared" si="0"/>
        <v>-7322.3112148143255</v>
      </c>
      <c r="F27" s="10">
        <f t="shared" si="1"/>
        <v>-3.6611556074071627</v>
      </c>
      <c r="G27" s="10">
        <f t="shared" si="2"/>
        <v>-3.3213439281066766</v>
      </c>
    </row>
    <row r="28" spans="1:7" x14ac:dyDescent="0.25">
      <c r="A28" s="30" t="s">
        <v>103</v>
      </c>
      <c r="B28" s="31">
        <v>-1642</v>
      </c>
      <c r="C28" s="31"/>
      <c r="D28" s="31">
        <f>GETPIVOTDATA("MWh",$A$3,"Facility / Firm","CP Energy Marketing (Epcor)")</f>
        <v>-1642</v>
      </c>
      <c r="E28" s="10">
        <f t="shared" si="0"/>
        <v>-1717605.002103589</v>
      </c>
      <c r="F28" s="10">
        <f t="shared" si="1"/>
        <v>-858.80250105179448</v>
      </c>
      <c r="G28" s="10">
        <f t="shared" si="2"/>
        <v>-779.09238999302329</v>
      </c>
    </row>
    <row r="29" spans="1:7" x14ac:dyDescent="0.25">
      <c r="A29" s="30" t="s">
        <v>69</v>
      </c>
      <c r="B29" s="31">
        <v>18141.771000000001</v>
      </c>
      <c r="C29" s="31"/>
      <c r="D29" s="31">
        <f>GETPIVOTDATA("MWh",$A$3,"Facility / Firm","Deviation")</f>
        <v>18141.771000000001</v>
      </c>
      <c r="E29" s="10">
        <f t="shared" si="0"/>
        <v>16236885.045</v>
      </c>
      <c r="F29" s="10">
        <f t="shared" si="1"/>
        <v>8118.4425224999995</v>
      </c>
      <c r="G29" s="10">
        <f t="shared" si="2"/>
        <v>7364.9259056990695</v>
      </c>
    </row>
    <row r="30" spans="1:7" x14ac:dyDescent="0.25">
      <c r="A30" s="30" t="s">
        <v>17</v>
      </c>
      <c r="B30" s="31">
        <v>279149</v>
      </c>
      <c r="C30" s="31"/>
      <c r="D30" s="31">
        <f>GETPIVOTDATA("MWh",$A$3,"Facility / Firm","Douglas County PUD #1")</f>
        <v>279149</v>
      </c>
      <c r="E30" s="10">
        <f t="shared" si="0"/>
        <v>249838355</v>
      </c>
      <c r="F30" s="10">
        <f t="shared" si="1"/>
        <v>124919.17750000001</v>
      </c>
      <c r="G30" s="10">
        <f t="shared" si="2"/>
        <v>113324.75212315212</v>
      </c>
    </row>
    <row r="31" spans="1:7" x14ac:dyDescent="0.25">
      <c r="A31" s="30" t="s">
        <v>18</v>
      </c>
      <c r="B31" s="31">
        <v>-287573</v>
      </c>
      <c r="C31" s="31"/>
      <c r="D31" s="31">
        <f>GETPIVOTDATA("MWh",$A$3,"Facility / Firm","EDF Trading NA LLC")</f>
        <v>-287573</v>
      </c>
      <c r="E31" s="10">
        <f t="shared" si="0"/>
        <v>-300814143.28254288</v>
      </c>
      <c r="F31" s="10">
        <f t="shared" si="1"/>
        <v>-150407.07164127144</v>
      </c>
      <c r="G31" s="10">
        <f t="shared" si="2"/>
        <v>-136446.97677677448</v>
      </c>
    </row>
    <row r="32" spans="1:7" x14ac:dyDescent="0.25">
      <c r="A32" s="30" t="s">
        <v>52</v>
      </c>
      <c r="B32" s="31">
        <v>-321.65099999999984</v>
      </c>
      <c r="C32" s="31"/>
      <c r="D32" s="31">
        <f>GETPIVOTDATA("MWh",$A$3,"Facility / Firm","Encogen")</f>
        <v>-321.65099999999984</v>
      </c>
      <c r="E32" s="10">
        <f t="shared" si="0"/>
        <v>-336461.24636517733</v>
      </c>
      <c r="F32" s="10">
        <f t="shared" si="1"/>
        <v>-168.23062318258866</v>
      </c>
      <c r="G32" s="10">
        <f t="shared" si="2"/>
        <v>-152.61622797420571</v>
      </c>
    </row>
    <row r="33" spans="1:7" x14ac:dyDescent="0.25">
      <c r="A33" s="30" t="s">
        <v>20</v>
      </c>
      <c r="B33" s="31">
        <v>-42733</v>
      </c>
      <c r="C33" s="31"/>
      <c r="D33" s="31">
        <f>GETPIVOTDATA("MWh",$A$3,"Facility / Firm","Eugene Water &amp; Electric")</f>
        <v>-42733</v>
      </c>
      <c r="E33" s="10">
        <f t="shared" si="0"/>
        <v>-44700617.877522938</v>
      </c>
      <c r="F33" s="10">
        <f t="shared" si="1"/>
        <v>-22350.308938761467</v>
      </c>
      <c r="G33" s="10">
        <f t="shared" si="2"/>
        <v>-20275.855725683228</v>
      </c>
    </row>
    <row r="34" spans="1:7" x14ac:dyDescent="0.25">
      <c r="A34" s="30" t="s">
        <v>21</v>
      </c>
      <c r="B34" s="31">
        <v>80290</v>
      </c>
      <c r="C34" s="31"/>
      <c r="D34" s="31">
        <f>GETPIVOTDATA("MWh",$A$3,"Facility / Firm","Exelon Generation Co LLC")</f>
        <v>80290</v>
      </c>
      <c r="E34" s="10">
        <f t="shared" si="0"/>
        <v>71859550</v>
      </c>
      <c r="F34" s="10">
        <f t="shared" si="1"/>
        <v>35929.775000000001</v>
      </c>
      <c r="G34" s="10">
        <f t="shared" si="2"/>
        <v>32594.93800073754</v>
      </c>
    </row>
    <row r="35" spans="1:7" x14ac:dyDescent="0.25">
      <c r="A35" s="30" t="s">
        <v>53</v>
      </c>
      <c r="B35" s="31">
        <v>1025.3830000000016</v>
      </c>
      <c r="C35" s="31"/>
      <c r="D35" s="31">
        <f>GETPIVOTDATA("MWh",$A$3,"Facility / Firm","Ferndale Co-Generation")</f>
        <v>1025.3830000000016</v>
      </c>
      <c r="E35" s="10">
        <f t="shared" si="0"/>
        <v>917717.78500000143</v>
      </c>
      <c r="F35" s="10">
        <f t="shared" si="1"/>
        <v>458.85889250000071</v>
      </c>
      <c r="G35" s="10">
        <f t="shared" si="2"/>
        <v>416.26971368800986</v>
      </c>
    </row>
    <row r="36" spans="1:7" x14ac:dyDescent="0.25">
      <c r="A36" s="30" t="s">
        <v>54</v>
      </c>
      <c r="B36" s="31">
        <v>-2196.0230000000001</v>
      </c>
      <c r="C36" s="31"/>
      <c r="D36" s="31">
        <f>GETPIVOTDATA("MWh",$A$3,"Facility / Firm","Freddie #1")</f>
        <v>-2196.0230000000001</v>
      </c>
      <c r="E36" s="10">
        <f t="shared" si="0"/>
        <v>-2297137.6915557431</v>
      </c>
      <c r="F36" s="10">
        <f t="shared" si="1"/>
        <v>-1148.5688457778715</v>
      </c>
      <c r="G36" s="10">
        <f t="shared" si="2"/>
        <v>-1041.9639510046584</v>
      </c>
    </row>
    <row r="37" spans="1:7" x14ac:dyDescent="0.25">
      <c r="A37" s="30" t="s">
        <v>55</v>
      </c>
      <c r="B37" s="31">
        <v>1209.79</v>
      </c>
      <c r="C37" s="31"/>
      <c r="D37" s="31">
        <f>GETPIVOTDATA("MWh",$A$3,"Facility / Firm","Fredonia - Energy Imbalance Market")</f>
        <v>1209.79</v>
      </c>
      <c r="E37" s="10">
        <f t="shared" si="0"/>
        <v>1082762.05</v>
      </c>
      <c r="F37" s="10">
        <f t="shared" si="1"/>
        <v>541.38102500000002</v>
      </c>
      <c r="G37" s="10">
        <f t="shared" si="2"/>
        <v>491.13252016331137</v>
      </c>
    </row>
    <row r="38" spans="1:7" x14ac:dyDescent="0.25">
      <c r="A38" s="30" t="s">
        <v>56</v>
      </c>
      <c r="B38" s="31">
        <v>690.89700000000005</v>
      </c>
      <c r="C38" s="31"/>
      <c r="D38" s="31">
        <f>GETPIVOTDATA("MWh",$A$3,"Facility / Firm","Fredrickson 1 &amp; 2")</f>
        <v>690.89700000000005</v>
      </c>
      <c r="E38" s="10">
        <f t="shared" si="0"/>
        <v>618352.81500000006</v>
      </c>
      <c r="F38" s="10">
        <f t="shared" si="1"/>
        <v>309.17640750000004</v>
      </c>
      <c r="G38" s="10">
        <f t="shared" si="2"/>
        <v>280.48007074225393</v>
      </c>
    </row>
    <row r="39" spans="1:7" x14ac:dyDescent="0.25">
      <c r="A39" s="30" t="s">
        <v>57</v>
      </c>
      <c r="B39" s="31">
        <v>25209.396000000001</v>
      </c>
      <c r="C39" s="31"/>
      <c r="D39" s="31">
        <f>GETPIVOTDATA("MWh",$A$3,"Facility / Firm","Goldendale")</f>
        <v>25209.396000000001</v>
      </c>
      <c r="E39" s="10">
        <f t="shared" si="0"/>
        <v>22562409.420000002</v>
      </c>
      <c r="F39" s="10">
        <f t="shared" si="1"/>
        <v>11281.204710000002</v>
      </c>
      <c r="G39" s="10">
        <f t="shared" si="2"/>
        <v>10234.135006302666</v>
      </c>
    </row>
    <row r="40" spans="1:7" x14ac:dyDescent="0.25">
      <c r="A40" s="30" t="s">
        <v>22</v>
      </c>
      <c r="B40" s="31">
        <v>20</v>
      </c>
      <c r="C40" s="31"/>
      <c r="D40" s="31">
        <f>GETPIVOTDATA("MWh",$A$3,"Facility / Firm","Grant County PUD #2")</f>
        <v>20</v>
      </c>
      <c r="E40" s="10">
        <f t="shared" si="0"/>
        <v>17900</v>
      </c>
      <c r="F40" s="10">
        <f t="shared" si="1"/>
        <v>8.9499999999999993</v>
      </c>
      <c r="G40" s="10">
        <f t="shared" si="2"/>
        <v>8.1193020303244587</v>
      </c>
    </row>
    <row r="41" spans="1:7" x14ac:dyDescent="0.25">
      <c r="A41" s="30" t="s">
        <v>23</v>
      </c>
      <c r="B41" s="31">
        <v>-68</v>
      </c>
      <c r="C41" s="31"/>
      <c r="D41" s="31">
        <f>GETPIVOTDATA("MWh",$A$3,"Facility / Firm","GRIDFORCE ENERGY MANAGEMENT, LLC.")</f>
        <v>-68</v>
      </c>
      <c r="E41" s="10">
        <f t="shared" si="0"/>
        <v>-71131.023229624872</v>
      </c>
      <c r="F41" s="10">
        <f t="shared" si="1"/>
        <v>-35.565511614812436</v>
      </c>
      <c r="G41" s="10">
        <f t="shared" si="2"/>
        <v>-32.264483873036284</v>
      </c>
    </row>
    <row r="42" spans="1:7" x14ac:dyDescent="0.25">
      <c r="A42" s="30" t="s">
        <v>24</v>
      </c>
      <c r="B42" s="31">
        <v>106424</v>
      </c>
      <c r="C42" s="31"/>
      <c r="D42" s="31">
        <f>GETPIVOTDATA("MWh",$A$3,"Facility / Firm","Iberdrola Renewables (PPM Energy)")</f>
        <v>106424</v>
      </c>
      <c r="E42" s="10">
        <f t="shared" si="0"/>
        <v>95249480</v>
      </c>
      <c r="F42" s="10">
        <f t="shared" si="1"/>
        <v>47624.74</v>
      </c>
      <c r="G42" s="10">
        <f t="shared" si="2"/>
        <v>43204.429963762508</v>
      </c>
    </row>
    <row r="43" spans="1:7" x14ac:dyDescent="0.25">
      <c r="A43" s="30" t="s">
        <v>25</v>
      </c>
      <c r="B43" s="31">
        <v>-338626</v>
      </c>
      <c r="C43" s="31"/>
      <c r="D43" s="31">
        <f>GETPIVOTDATA("MWh",$A$3,"Facility / Firm","Idaho Power Company")</f>
        <v>-338626</v>
      </c>
      <c r="E43" s="10">
        <f t="shared" si="0"/>
        <v>-354217851.06110227</v>
      </c>
      <c r="F43" s="10">
        <f t="shared" si="1"/>
        <v>-177108.92553055115</v>
      </c>
      <c r="G43" s="10">
        <f t="shared" si="2"/>
        <v>-160670.48699986449</v>
      </c>
    </row>
    <row r="44" spans="1:7" x14ac:dyDescent="0.25">
      <c r="A44" s="30" t="s">
        <v>58</v>
      </c>
      <c r="B44" s="31">
        <v>752.99099999999999</v>
      </c>
      <c r="C44" s="31"/>
      <c r="D44" s="31">
        <f>GETPIVOTDATA("MWh",$A$3,"Facility / Firm","Lower Baker")</f>
        <v>752.99099999999999</v>
      </c>
      <c r="E44" s="10">
        <f t="shared" si="0"/>
        <v>673926.94499999995</v>
      </c>
      <c r="F44" s="10">
        <f t="shared" si="1"/>
        <v>336.96347249999997</v>
      </c>
      <c r="G44" s="10">
        <f t="shared" si="2"/>
        <v>305.68806775580219</v>
      </c>
    </row>
    <row r="45" spans="1:7" x14ac:dyDescent="0.25">
      <c r="A45" s="30" t="s">
        <v>59</v>
      </c>
      <c r="B45" s="31">
        <v>5932.5579999999973</v>
      </c>
      <c r="C45" s="31"/>
      <c r="D45" s="31">
        <f>GETPIVOTDATA("MWh",$A$3,"Facility / Firm","MID-C for Energy Imbalance Market")</f>
        <v>5932.5579999999973</v>
      </c>
      <c r="E45" s="10">
        <f t="shared" si="0"/>
        <v>5309639.4099999974</v>
      </c>
      <c r="F45" s="10">
        <f t="shared" si="1"/>
        <v>2654.8197049999985</v>
      </c>
      <c r="G45" s="10">
        <f t="shared" si="2"/>
        <v>2408.4115107208795</v>
      </c>
    </row>
    <row r="46" spans="1:7" x14ac:dyDescent="0.25">
      <c r="A46" s="30" t="s">
        <v>60</v>
      </c>
      <c r="B46" s="31">
        <v>1351.0280000000002</v>
      </c>
      <c r="C46" s="31"/>
      <c r="D46" s="31">
        <f>GETPIVOTDATA("MWh",$A$3,"Facility / Firm","Mint Farm")</f>
        <v>1351.0280000000002</v>
      </c>
      <c r="E46" s="10">
        <f t="shared" si="0"/>
        <v>1209170.0600000003</v>
      </c>
      <c r="F46" s="10">
        <f t="shared" si="1"/>
        <v>604.58503000000019</v>
      </c>
      <c r="G46" s="10">
        <f t="shared" si="2"/>
        <v>548.47021917125983</v>
      </c>
    </row>
    <row r="47" spans="1:7" x14ac:dyDescent="0.25">
      <c r="A47" s="30" t="s">
        <v>27</v>
      </c>
      <c r="B47" s="31">
        <v>-1070455</v>
      </c>
      <c r="C47" s="31"/>
      <c r="D47" s="31">
        <f>GETPIVOTDATA("MWh",$A$3,"Facility / Firm","Morgan Stanley CG")</f>
        <v>-1070455</v>
      </c>
      <c r="E47" s="10">
        <f t="shared" si="0"/>
        <v>-1119743521.6362956</v>
      </c>
      <c r="F47" s="10">
        <f t="shared" si="1"/>
        <v>-559871.7608181478</v>
      </c>
      <c r="G47" s="10">
        <f t="shared" si="2"/>
        <v>-507907.03065163322</v>
      </c>
    </row>
    <row r="48" spans="1:7" x14ac:dyDescent="0.25">
      <c r="A48" s="30" t="s">
        <v>79</v>
      </c>
      <c r="B48" s="31">
        <v>-22</v>
      </c>
      <c r="C48" s="31"/>
      <c r="D48" s="31">
        <f>GETPIVOTDATA("MWh",$A$3,"Facility / Firm","Natur Ener USA")</f>
        <v>-22</v>
      </c>
      <c r="E48" s="10">
        <f t="shared" si="0"/>
        <v>-23012.978103702168</v>
      </c>
      <c r="F48" s="10">
        <f t="shared" si="1"/>
        <v>-11.506489051851084</v>
      </c>
      <c r="G48" s="10">
        <f t="shared" si="2"/>
        <v>-10.438509488335269</v>
      </c>
    </row>
    <row r="49" spans="1:7" x14ac:dyDescent="0.25">
      <c r="A49" s="30" t="s">
        <v>80</v>
      </c>
      <c r="B49" s="31">
        <v>-116</v>
      </c>
      <c r="C49" s="31"/>
      <c r="D49" s="31">
        <f>GETPIVOTDATA("MWh",$A$3,"Facility / Firm","Nevada Power Company")</f>
        <v>-116</v>
      </c>
      <c r="E49" s="10">
        <f t="shared" si="0"/>
        <v>-121341.15727406596</v>
      </c>
      <c r="F49" s="10">
        <f t="shared" si="1"/>
        <v>-60.670578637032982</v>
      </c>
      <c r="G49" s="10">
        <f t="shared" si="2"/>
        <v>-55.039413665767782</v>
      </c>
    </row>
    <row r="50" spans="1:7" x14ac:dyDescent="0.25">
      <c r="A50" s="30" t="s">
        <v>28</v>
      </c>
      <c r="B50" s="31">
        <v>38701</v>
      </c>
      <c r="C50" s="31"/>
      <c r="D50" s="31">
        <f>GETPIVOTDATA("MWh",$A$3,"Facility / Firm","NextEra Energy Power Marketing")</f>
        <v>38701</v>
      </c>
      <c r="E50" s="10">
        <f t="shared" si="0"/>
        <v>34637395</v>
      </c>
      <c r="F50" s="10">
        <f t="shared" si="1"/>
        <v>17318.697499999998</v>
      </c>
      <c r="G50" s="10">
        <f t="shared" si="2"/>
        <v>15711.255393779344</v>
      </c>
    </row>
    <row r="51" spans="1:7" x14ac:dyDescent="0.25">
      <c r="A51" s="30" t="s">
        <v>104</v>
      </c>
      <c r="B51" s="31">
        <v>1200</v>
      </c>
      <c r="C51" s="31"/>
      <c r="D51" s="31">
        <f>GETPIVOTDATA("MWh",$A$3,"Facility / Firm","Noble Americas Gas &amp; Power")</f>
        <v>1200</v>
      </c>
      <c r="E51" s="10">
        <f t="shared" si="0"/>
        <v>1074000</v>
      </c>
      <c r="F51" s="10">
        <f t="shared" si="1"/>
        <v>537</v>
      </c>
      <c r="G51" s="10">
        <f t="shared" si="2"/>
        <v>487.15812181946751</v>
      </c>
    </row>
    <row r="52" spans="1:7" x14ac:dyDescent="0.25">
      <c r="A52" s="30" t="s">
        <v>105</v>
      </c>
      <c r="B52" s="31">
        <v>336</v>
      </c>
      <c r="C52" s="31"/>
      <c r="D52" s="31">
        <f>GETPIVOTDATA("MWh",$A$3,"Facility / Firm","NorthPoint Energy Solutions, Inc.")</f>
        <v>336</v>
      </c>
      <c r="E52" s="10">
        <f t="shared" si="0"/>
        <v>300720</v>
      </c>
      <c r="F52" s="10">
        <f t="shared" si="1"/>
        <v>150.36000000000001</v>
      </c>
      <c r="G52" s="10">
        <f t="shared" si="2"/>
        <v>136.40427410945091</v>
      </c>
    </row>
    <row r="53" spans="1:7" x14ac:dyDescent="0.25">
      <c r="A53" s="30" t="s">
        <v>29</v>
      </c>
      <c r="B53" s="31">
        <v>54623</v>
      </c>
      <c r="C53" s="31"/>
      <c r="D53" s="31">
        <f>GETPIVOTDATA("MWh",$A$3,"Facility / Firm","Northwestern Energy")</f>
        <v>54623</v>
      </c>
      <c r="E53" s="10">
        <f t="shared" si="0"/>
        <v>48887585</v>
      </c>
      <c r="F53" s="10">
        <f t="shared" si="1"/>
        <v>24443.7925</v>
      </c>
      <c r="G53" s="10">
        <f t="shared" si="2"/>
        <v>22175.031740120645</v>
      </c>
    </row>
    <row r="54" spans="1:7" x14ac:dyDescent="0.25">
      <c r="A54" s="30" t="s">
        <v>30</v>
      </c>
      <c r="B54" s="31">
        <v>6305</v>
      </c>
      <c r="C54" s="31"/>
      <c r="D54" s="31">
        <f>GETPIVOTDATA("MWh",$A$3,"Facility / Firm","Okanogan PUD")</f>
        <v>6305</v>
      </c>
      <c r="E54" s="10">
        <f t="shared" si="0"/>
        <v>5642975</v>
      </c>
      <c r="F54" s="10">
        <f t="shared" si="1"/>
        <v>2821.4875000000002</v>
      </c>
      <c r="G54" s="10">
        <f t="shared" si="2"/>
        <v>2559.6099650597857</v>
      </c>
    </row>
    <row r="55" spans="1:7" x14ac:dyDescent="0.25">
      <c r="A55" s="30" t="s">
        <v>68</v>
      </c>
      <c r="B55" s="31">
        <v>0</v>
      </c>
      <c r="C55" s="31"/>
      <c r="D55" s="31">
        <f>GETPIVOTDATA("MWh",$A$3,"Facility / Firm","Pacific Gas &amp; Elec - Exchange")</f>
        <v>0</v>
      </c>
      <c r="E55" s="10">
        <f t="shared" si="0"/>
        <v>0</v>
      </c>
      <c r="F55" s="10">
        <f t="shared" si="1"/>
        <v>0</v>
      </c>
      <c r="G55" s="10">
        <f t="shared" si="2"/>
        <v>0</v>
      </c>
    </row>
    <row r="56" spans="1:7" x14ac:dyDescent="0.25">
      <c r="A56" s="30" t="s">
        <v>31</v>
      </c>
      <c r="B56" s="31">
        <v>-393958</v>
      </c>
      <c r="C56" s="31"/>
      <c r="D56" s="31">
        <f>GETPIVOTDATA("MWh",$A$3,"Facility / Firm","Pacificorp")</f>
        <v>-393958</v>
      </c>
      <c r="E56" s="10">
        <f t="shared" si="0"/>
        <v>-412097583.08083171</v>
      </c>
      <c r="F56" s="10">
        <f t="shared" si="1"/>
        <v>-206048.79154041584</v>
      </c>
      <c r="G56" s="10">
        <f t="shared" si="2"/>
        <v>-186924.2873184357</v>
      </c>
    </row>
    <row r="57" spans="1:7" x14ac:dyDescent="0.25">
      <c r="A57" s="30" t="s">
        <v>32</v>
      </c>
      <c r="B57" s="31">
        <v>295929</v>
      </c>
      <c r="C57" s="31"/>
      <c r="D57" s="31">
        <f>GETPIVOTDATA("MWh",$A$3,"Facility / Firm","Portland General Electric")</f>
        <v>295929</v>
      </c>
      <c r="E57" s="10">
        <f t="shared" si="0"/>
        <v>264856455</v>
      </c>
      <c r="F57" s="10">
        <f t="shared" si="1"/>
        <v>132428.22750000001</v>
      </c>
      <c r="G57" s="10">
        <f t="shared" si="2"/>
        <v>120136.84652659434</v>
      </c>
    </row>
    <row r="58" spans="1:7" x14ac:dyDescent="0.25">
      <c r="A58" s="30" t="s">
        <v>33</v>
      </c>
      <c r="B58" s="31">
        <v>-1978155</v>
      </c>
      <c r="C58" s="31"/>
      <c r="D58" s="31">
        <f>GETPIVOTDATA("MWh",$A$3,"Facility / Firm","Powerex Corp.")</f>
        <v>-1978155</v>
      </c>
      <c r="E58" s="10">
        <f t="shared" si="0"/>
        <v>-2069238077.3058617</v>
      </c>
      <c r="F58" s="10">
        <f t="shared" si="1"/>
        <v>-1034619.0386529309</v>
      </c>
      <c r="G58" s="10">
        <f t="shared" si="2"/>
        <v>-938590.44258626609</v>
      </c>
    </row>
    <row r="59" spans="1:7" x14ac:dyDescent="0.25">
      <c r="A59" s="30" t="s">
        <v>34</v>
      </c>
      <c r="B59" s="31">
        <v>-28595</v>
      </c>
      <c r="C59" s="31"/>
      <c r="D59" s="31">
        <f>GETPIVOTDATA("MWh",$A$3,"Facility / Firm","Public Service of Colorado")</f>
        <v>-28595</v>
      </c>
      <c r="E59" s="10">
        <f t="shared" si="0"/>
        <v>-29911641.312516518</v>
      </c>
      <c r="F59" s="10">
        <f t="shared" si="1"/>
        <v>-14955.820656258258</v>
      </c>
      <c r="G59" s="10">
        <f t="shared" si="2"/>
        <v>-13567.689946315773</v>
      </c>
    </row>
    <row r="60" spans="1:7" x14ac:dyDescent="0.25">
      <c r="A60" s="30" t="s">
        <v>35</v>
      </c>
      <c r="B60" s="31">
        <v>-21688</v>
      </c>
      <c r="C60" s="31"/>
      <c r="D60" s="31">
        <f>GETPIVOTDATA("MWh",$A$3,"Facility / Firm","Rainbow Energy Marketing")</f>
        <v>-21688</v>
      </c>
      <c r="E60" s="10">
        <f t="shared" si="0"/>
        <v>-22686612.232413299</v>
      </c>
      <c r="F60" s="10">
        <f t="shared" si="1"/>
        <v>-11343.30611620665</v>
      </c>
      <c r="G60" s="10">
        <f t="shared" si="2"/>
        <v>-10290.472444682515</v>
      </c>
    </row>
    <row r="61" spans="1:7" x14ac:dyDescent="0.25">
      <c r="A61" s="30" t="s">
        <v>36</v>
      </c>
      <c r="B61" s="31">
        <v>143</v>
      </c>
      <c r="C61" s="31"/>
      <c r="D61" s="31">
        <f>GETPIVOTDATA("MWh",$A$3,"Facility / Firm","Sacramento Municipal")</f>
        <v>143</v>
      </c>
      <c r="E61" s="10">
        <f t="shared" si="0"/>
        <v>127985</v>
      </c>
      <c r="F61" s="10">
        <f t="shared" si="1"/>
        <v>63.9925</v>
      </c>
      <c r="G61" s="10">
        <f t="shared" si="2"/>
        <v>58.053009516819884</v>
      </c>
    </row>
    <row r="62" spans="1:7" x14ac:dyDescent="0.25">
      <c r="A62" s="30" t="s">
        <v>37</v>
      </c>
      <c r="B62" s="31">
        <v>60520</v>
      </c>
      <c r="C62" s="31"/>
      <c r="D62" s="31">
        <f>GETPIVOTDATA("MWh",$A$3,"Facility / Firm","Seattle City Light Marketing")</f>
        <v>60520</v>
      </c>
      <c r="E62" s="10">
        <f t="shared" si="0"/>
        <v>54165400</v>
      </c>
      <c r="F62" s="10">
        <f t="shared" si="1"/>
        <v>27082.7</v>
      </c>
      <c r="G62" s="10">
        <f t="shared" si="2"/>
        <v>24569.007943761811</v>
      </c>
    </row>
    <row r="63" spans="1:7" x14ac:dyDescent="0.25">
      <c r="A63" s="30" t="s">
        <v>38</v>
      </c>
      <c r="B63" s="31">
        <v>83099</v>
      </c>
      <c r="C63" s="31"/>
      <c r="D63" s="31">
        <f>GETPIVOTDATA("MWh",$A$3,"Facility / Firm","Shell Energy (Coral Pwr)")</f>
        <v>83099</v>
      </c>
      <c r="E63" s="10">
        <f t="shared" si="0"/>
        <v>74373605</v>
      </c>
      <c r="F63" s="10">
        <f t="shared" si="1"/>
        <v>37186.802499999998</v>
      </c>
      <c r="G63" s="10">
        <f t="shared" si="2"/>
        <v>33735.293970896608</v>
      </c>
    </row>
    <row r="64" spans="1:7" x14ac:dyDescent="0.25">
      <c r="A64" s="30" t="s">
        <v>39</v>
      </c>
      <c r="B64" s="31">
        <v>19380</v>
      </c>
      <c r="C64" s="31"/>
      <c r="D64" s="31">
        <f>GETPIVOTDATA("MWh",$A$3,"Facility / Firm","Snohomish County PUD #1")</f>
        <v>19380</v>
      </c>
      <c r="E64" s="10">
        <f t="shared" si="0"/>
        <v>17345100</v>
      </c>
      <c r="F64" s="10">
        <f t="shared" si="1"/>
        <v>8672.5499999999993</v>
      </c>
      <c r="G64" s="10">
        <f t="shared" si="2"/>
        <v>7867.603667384401</v>
      </c>
    </row>
    <row r="65" spans="1:7" x14ac:dyDescent="0.25">
      <c r="A65" s="30" t="s">
        <v>61</v>
      </c>
      <c r="B65" s="31">
        <v>3163.4</v>
      </c>
      <c r="C65" s="31"/>
      <c r="D65" s="31">
        <f>GETPIVOTDATA("MWh",$A$3,"Facility / Firm","Snoqualmie-Energy Imbalance Market")</f>
        <v>3163.4</v>
      </c>
      <c r="E65" s="10">
        <f t="shared" si="0"/>
        <v>2831243</v>
      </c>
      <c r="F65" s="10">
        <f t="shared" si="1"/>
        <v>1415.6215</v>
      </c>
      <c r="G65" s="10">
        <f t="shared" si="2"/>
        <v>1284.2300021364197</v>
      </c>
    </row>
    <row r="66" spans="1:7" x14ac:dyDescent="0.25">
      <c r="A66" s="30" t="s">
        <v>106</v>
      </c>
      <c r="B66" s="31">
        <v>100</v>
      </c>
      <c r="C66" s="31"/>
      <c r="D66" s="31">
        <f>GETPIVOTDATA("MWh",$A$3,"Facility / Firm","Southern Cal - Edison")</f>
        <v>100</v>
      </c>
      <c r="E66" s="10">
        <f t="shared" si="0"/>
        <v>89500</v>
      </c>
      <c r="F66" s="10">
        <f t="shared" si="1"/>
        <v>44.75</v>
      </c>
      <c r="G66" s="10">
        <f t="shared" si="2"/>
        <v>40.596510151622297</v>
      </c>
    </row>
    <row r="67" spans="1:7" x14ac:dyDescent="0.25">
      <c r="A67" s="30" t="s">
        <v>62</v>
      </c>
      <c r="B67" s="31">
        <v>4619.1450000000004</v>
      </c>
      <c r="C67" s="31"/>
      <c r="D67" s="31">
        <f>GETPIVOTDATA("MWh",$A$3,"Facility / Firm","Sumas")</f>
        <v>4619.1450000000004</v>
      </c>
      <c r="E67" s="10">
        <f t="shared" si="0"/>
        <v>4134134.7750000004</v>
      </c>
      <c r="F67" s="10">
        <f t="shared" si="1"/>
        <v>2067.0673875000002</v>
      </c>
      <c r="G67" s="10">
        <f t="shared" si="2"/>
        <v>1875.2116688431538</v>
      </c>
    </row>
    <row r="68" spans="1:7" x14ac:dyDescent="0.25">
      <c r="A68" s="30" t="s">
        <v>40</v>
      </c>
      <c r="B68" s="31">
        <v>25553</v>
      </c>
      <c r="C68" s="31"/>
      <c r="D68" s="31">
        <f>GETPIVOTDATA("MWh",$A$3,"Facility / Firm","Tacoma Power")</f>
        <v>25553</v>
      </c>
      <c r="E68" s="10">
        <f t="shared" si="0"/>
        <v>22869935</v>
      </c>
      <c r="F68" s="10">
        <f t="shared" si="1"/>
        <v>11434.967500000001</v>
      </c>
      <c r="G68" s="10">
        <f t="shared" si="2"/>
        <v>10373.626239044044</v>
      </c>
    </row>
    <row r="69" spans="1:7" x14ac:dyDescent="0.25">
      <c r="A69" s="30" t="s">
        <v>41</v>
      </c>
      <c r="B69" s="31">
        <v>165789</v>
      </c>
      <c r="C69" s="31"/>
      <c r="D69" s="31">
        <f>GETPIVOTDATA("MWh",$A$3,"Facility / Firm","Talen Energy (PPL Energy Plus)")</f>
        <v>165789</v>
      </c>
      <c r="E69" s="10">
        <f t="shared" ref="E69:E79" si="3">IF(D69&lt;0,D69*$D$2,D69*$D$1)</f>
        <v>148381155</v>
      </c>
      <c r="F69" s="10">
        <f t="shared" ref="F69:F79" si="4">E69/2000</f>
        <v>74190.577499999999</v>
      </c>
      <c r="G69" s="10">
        <f t="shared" ref="G69:G79" si="5">E69/2204.623</f>
        <v>67304.548215273084</v>
      </c>
    </row>
    <row r="70" spans="1:7" x14ac:dyDescent="0.25">
      <c r="A70" s="30" t="s">
        <v>81</v>
      </c>
      <c r="B70" s="31">
        <v>958</v>
      </c>
      <c r="C70" s="31"/>
      <c r="D70" s="31">
        <f>GETPIVOTDATA("MWh",$A$3,"Facility / Firm","Tenaska Power Services Co.")</f>
        <v>958</v>
      </c>
      <c r="E70" s="10">
        <f t="shared" si="3"/>
        <v>857410</v>
      </c>
      <c r="F70" s="10">
        <f t="shared" si="4"/>
        <v>428.70499999999998</v>
      </c>
      <c r="G70" s="10">
        <f t="shared" si="5"/>
        <v>388.91456725254159</v>
      </c>
    </row>
    <row r="71" spans="1:7" x14ac:dyDescent="0.25">
      <c r="A71" s="30" t="s">
        <v>42</v>
      </c>
      <c r="B71" s="31">
        <v>676328</v>
      </c>
      <c r="C71" s="31"/>
      <c r="D71" s="31">
        <f>GETPIVOTDATA("MWh",$A$3,"Facility / Firm","The Energy Authority")</f>
        <v>676328</v>
      </c>
      <c r="E71" s="10">
        <f t="shared" si="3"/>
        <v>605313560</v>
      </c>
      <c r="F71" s="10">
        <f t="shared" si="4"/>
        <v>302656.78000000003</v>
      </c>
      <c r="G71" s="10">
        <f t="shared" si="5"/>
        <v>274565.56517826405</v>
      </c>
    </row>
    <row r="72" spans="1:7" x14ac:dyDescent="0.25">
      <c r="A72" s="30" t="s">
        <v>113</v>
      </c>
      <c r="B72" s="31">
        <v>-2206</v>
      </c>
      <c r="C72" s="31"/>
      <c r="D72" s="31">
        <f>GETPIVOTDATA("MWh",$A$3,"Facility / Firm","Transalta Centralia Generation LLC")</f>
        <v>-2206</v>
      </c>
      <c r="E72" s="10">
        <f t="shared" si="3"/>
        <v>-2307574.0771257719</v>
      </c>
      <c r="F72" s="10">
        <f t="shared" si="4"/>
        <v>-1153.787038562886</v>
      </c>
      <c r="G72" s="10">
        <f t="shared" si="5"/>
        <v>-1046.6978150576183</v>
      </c>
    </row>
    <row r="73" spans="1:7" x14ac:dyDescent="0.25">
      <c r="A73" s="30" t="s">
        <v>43</v>
      </c>
      <c r="B73" s="31">
        <v>-39336</v>
      </c>
      <c r="C73" s="31"/>
      <c r="D73" s="31">
        <f>GETPIVOTDATA("MWh",$A$3,"Facility / Firm","TransAlta Energy Marketing")</f>
        <v>-39336</v>
      </c>
      <c r="E73" s="10">
        <f t="shared" si="3"/>
        <v>-41147204.849419475</v>
      </c>
      <c r="F73" s="10">
        <f t="shared" si="4"/>
        <v>-20573.602424709738</v>
      </c>
      <c r="G73" s="10">
        <f t="shared" si="5"/>
        <v>-18664.054965143463</v>
      </c>
    </row>
    <row r="74" spans="1:7" x14ac:dyDescent="0.25">
      <c r="A74" s="30" t="s">
        <v>44</v>
      </c>
      <c r="B74" s="31">
        <v>-7308</v>
      </c>
      <c r="C74" s="31"/>
      <c r="D74" s="31">
        <f>GETPIVOTDATA("MWh",$A$3,"Facility / Firm","TransCanada Energy Sales Ltd")</f>
        <v>-7308</v>
      </c>
      <c r="E74" s="10">
        <f t="shared" si="3"/>
        <v>-7644492.908266156</v>
      </c>
      <c r="F74" s="10">
        <f t="shared" si="4"/>
        <v>-3822.2464541330778</v>
      </c>
      <c r="G74" s="10">
        <f t="shared" si="5"/>
        <v>-3467.4830609433702</v>
      </c>
    </row>
    <row r="75" spans="1:7" x14ac:dyDescent="0.25">
      <c r="A75" s="30" t="s">
        <v>45</v>
      </c>
      <c r="B75" s="31">
        <v>18516</v>
      </c>
      <c r="C75" s="31"/>
      <c r="D75" s="31">
        <f>GETPIVOTDATA("MWh",$A$3,"Facility / Firm","Turlock Irrigation District")</f>
        <v>18516</v>
      </c>
      <c r="E75" s="10">
        <f t="shared" si="3"/>
        <v>16571820</v>
      </c>
      <c r="F75" s="10">
        <f t="shared" si="4"/>
        <v>8285.91</v>
      </c>
      <c r="G75" s="10">
        <f t="shared" si="5"/>
        <v>7516.849819674384</v>
      </c>
    </row>
    <row r="76" spans="1:7" x14ac:dyDescent="0.25">
      <c r="A76" s="30" t="s">
        <v>63</v>
      </c>
      <c r="B76" s="31">
        <v>5749.4269999999997</v>
      </c>
      <c r="C76" s="31"/>
      <c r="D76" s="31">
        <f>GETPIVOTDATA("MWh",$A$3,"Facility / Firm","Upper Baker")</f>
        <v>5749.4269999999997</v>
      </c>
      <c r="E76" s="10">
        <f t="shared" si="3"/>
        <v>5145737.165</v>
      </c>
      <c r="F76" s="10">
        <f t="shared" si="4"/>
        <v>2572.8685825000002</v>
      </c>
      <c r="G76" s="10">
        <f t="shared" si="5"/>
        <v>2334.0667157151133</v>
      </c>
    </row>
    <row r="77" spans="1:7" x14ac:dyDescent="0.25">
      <c r="A77" s="30" t="s">
        <v>46</v>
      </c>
      <c r="B77" s="31">
        <v>192747</v>
      </c>
      <c r="C77" s="31"/>
      <c r="D77" s="31">
        <f>GETPIVOTDATA("MWh",$A$3,"Facility / Firm","Vitol Inc.")</f>
        <v>192747</v>
      </c>
      <c r="E77" s="10">
        <f t="shared" si="3"/>
        <v>172508565</v>
      </c>
      <c r="F77" s="10">
        <f t="shared" si="4"/>
        <v>86254.282500000001</v>
      </c>
      <c r="G77" s="10">
        <f t="shared" si="5"/>
        <v>78248.555421947429</v>
      </c>
    </row>
    <row r="78" spans="1:7" x14ac:dyDescent="0.25">
      <c r="A78" s="30" t="s">
        <v>64</v>
      </c>
      <c r="B78" s="31">
        <v>342.471</v>
      </c>
      <c r="C78" s="31"/>
      <c r="D78" s="31">
        <f>GETPIVOTDATA("MWh",$A$3,"Facility / Firm","Whitehorn 2&amp;3")</f>
        <v>342.471</v>
      </c>
      <c r="E78" s="10">
        <f t="shared" si="3"/>
        <v>306511.54499999998</v>
      </c>
      <c r="F78" s="10">
        <f t="shared" si="4"/>
        <v>153.25577249999998</v>
      </c>
      <c r="G78" s="10">
        <f t="shared" si="5"/>
        <v>139.03127428136239</v>
      </c>
    </row>
    <row r="79" spans="1:7" x14ac:dyDescent="0.25">
      <c r="A79" s="30" t="s">
        <v>65</v>
      </c>
      <c r="B79" s="31">
        <v>-15814.602999999999</v>
      </c>
      <c r="C79" s="31"/>
      <c r="D79" s="32">
        <f>GETPIVOTDATA("MWh",$A$3,"Facility / Firm","Wild Horse (W183)")</f>
        <v>-15814.602999999999</v>
      </c>
      <c r="E79" s="26">
        <f t="shared" si="3"/>
        <v>-16542777.843533752</v>
      </c>
      <c r="F79" s="26">
        <f t="shared" si="4"/>
        <v>-8271.3889217668766</v>
      </c>
      <c r="G79" s="26">
        <f t="shared" si="5"/>
        <v>-7503.6765213525177</v>
      </c>
    </row>
    <row r="80" spans="1:7" x14ac:dyDescent="0.25">
      <c r="A80" s="30" t="s">
        <v>97</v>
      </c>
      <c r="B80" s="31">
        <v>4166128.7530000005</v>
      </c>
      <c r="C80" s="31"/>
      <c r="D80" s="33">
        <f>SUM(D4:D79)</f>
        <v>4166128.7530000005</v>
      </c>
      <c r="E80" s="33">
        <f t="shared" ref="E80:G80" si="6">SUM(E4:E79)</f>
        <v>3075204103.1228313</v>
      </c>
      <c r="F80" s="33">
        <f t="shared" si="6"/>
        <v>1537602.0515614161</v>
      </c>
      <c r="G80" s="33">
        <f t="shared" si="6"/>
        <v>1394888.8781087876</v>
      </c>
    </row>
    <row r="85" spans="4:6" x14ac:dyDescent="0.25">
      <c r="D85" s="29">
        <f>989/1070</f>
        <v>0.92429906542056073</v>
      </c>
      <c r="E85" s="36">
        <f>1-D85</f>
        <v>7.5700934579439272E-2</v>
      </c>
      <c r="F85" s="29">
        <f>989*0.08</f>
        <v>79.12</v>
      </c>
    </row>
    <row r="86" spans="4:6" x14ac:dyDescent="0.25">
      <c r="F86" s="29">
        <f>F85+989</f>
        <v>1068.1199999999999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664C017C3EC0604BB7924903D5DD4A34" ma:contentTypeVersion="76" ma:contentTypeDescription="" ma:contentTypeScope="" ma:versionID="446d8a3cc1d55fb07b35ab37d294ca6e">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a924c8152a3ca6d41f5defb10cfa585"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Closed</CaseStatus>
    <OpenedDate xmlns="dc463f71-b30c-4ab2-9473-d307f9d35888">2018-06-01T07:00:00+00:00</OpenedDate>
    <SignificantOrder xmlns="dc463f71-b30c-4ab2-9473-d307f9d35888">false</SignificantOrder>
    <Date1 xmlns="dc463f71-b30c-4ab2-9473-d307f9d35888">2018-06-01T07:00:00+00:00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180526</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39E7355F-2CF5-4AA5-AC2A-F0E20D2DD1AD}"/>
</file>

<file path=customXml/itemProps2.xml><?xml version="1.0" encoding="utf-8"?>
<ds:datastoreItem xmlns:ds="http://schemas.openxmlformats.org/officeDocument/2006/customXml" ds:itemID="{369FF944-457C-4255-B834-BC3E0950450D}"/>
</file>

<file path=customXml/itemProps3.xml><?xml version="1.0" encoding="utf-8"?>
<ds:datastoreItem xmlns:ds="http://schemas.openxmlformats.org/officeDocument/2006/customXml" ds:itemID="{16FA914D-E22E-4814-853F-403C4F994BBB}"/>
</file>

<file path=customXml/itemProps4.xml><?xml version="1.0" encoding="utf-8"?>
<ds:datastoreItem xmlns:ds="http://schemas.openxmlformats.org/officeDocument/2006/customXml" ds:itemID="{1DAFE3A3-730A-45FE-B9FE-4A24D8A6E1E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2017 Secondary Purchases</vt:lpstr>
      <vt:lpstr>2017 Pivot and Analysis</vt:lpstr>
      <vt:lpstr>2016 Secondary Purchases</vt:lpstr>
      <vt:lpstr>2016 Pivot &amp; Analysis</vt:lpstr>
    </vt:vector>
  </TitlesOfParts>
  <Company>Puget Sound Energy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Puget Sound Energy</dc:creator>
  <cp:lastModifiedBy>Puget Sound Energy</cp:lastModifiedBy>
  <dcterms:created xsi:type="dcterms:W3CDTF">2018-04-25T23:35:50Z</dcterms:created>
  <dcterms:modified xsi:type="dcterms:W3CDTF">2018-05-29T18:26:01Z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0x0101006E56B4D1795A2E4DB2F0B01679ED314A00664C017C3EC0604BB7924903D5DD4A34</vt:lpwstr>
  </property>
  <property fmtid="{D5CDD505-2E9C-101B-9397-08002B2CF9AE}" pid="3" name="_docset_NoMedatataSyncRequired">
    <vt:lpwstr>False</vt:lpwstr>
  </property>
  <property fmtid="{D5CDD505-2E9C-101B-9397-08002B2CF9AE}" pid="4" name="IsEFSEC">
    <vt:bool>false</vt:bool>
  </property>
</Properties>
</file>