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436" windowHeight="12852" activeTab="0"/>
  </bookViews>
  <sheets>
    <sheet name="No Bonus - WA" sheetId="1" r:id="rId1"/>
  </sheets>
  <definedNames>
    <definedName name="_xlnm.Print_Area" localSheetId="0">'No Bonus - WA'!$A$1:$N$74</definedName>
  </definedNames>
  <calcPr fullCalcOnLoad="1"/>
</workbook>
</file>

<file path=xl/sharedStrings.xml><?xml version="1.0" encoding="utf-8"?>
<sst xmlns="http://schemas.openxmlformats.org/spreadsheetml/2006/main" count="83" uniqueCount="48">
  <si>
    <t>Depreciation</t>
  </si>
  <si>
    <t>Tax Effect</t>
  </si>
  <si>
    <t>Investment</t>
  </si>
  <si>
    <t>Discount Rate</t>
  </si>
  <si>
    <t xml:space="preserve">Weighted </t>
  </si>
  <si>
    <t>% of Capital</t>
  </si>
  <si>
    <t>Cost</t>
  </si>
  <si>
    <t>Preferred Equity</t>
  </si>
  <si>
    <t>Common Equity</t>
  </si>
  <si>
    <t xml:space="preserve">   Total</t>
  </si>
  <si>
    <t>Year</t>
  </si>
  <si>
    <t>Investment Recovered</t>
  </si>
  <si>
    <t>Year 1 Total Tax (on receipt less yr 1 deprec)</t>
  </si>
  <si>
    <t>NPV of Year 2 - 21 tax benefits</t>
  </si>
  <si>
    <t xml:space="preserve">    Net Recovered Year 1</t>
  </si>
  <si>
    <t xml:space="preserve">    Total Received</t>
  </si>
  <si>
    <t xml:space="preserve">     Total Recovered</t>
  </si>
  <si>
    <t>Tax Shortfall (Initial due on</t>
  </si>
  <si>
    <t>investment recovery less NPV of tax benefits)</t>
  </si>
  <si>
    <t>Gross-up of shortfall</t>
  </si>
  <si>
    <t>Federal statutory rate</t>
  </si>
  <si>
    <t>Oregon statutory rate</t>
  </si>
  <si>
    <t>California statutory rate</t>
  </si>
  <si>
    <t>Oregon apportionment</t>
  </si>
  <si>
    <t>California apportionment</t>
  </si>
  <si>
    <t>Internal Taxes on Customer Contributions (ITCC)</t>
  </si>
  <si>
    <t>Combined tax rate</t>
  </si>
  <si>
    <t>Gross-up</t>
  </si>
  <si>
    <t>NPV of tax benefits</t>
  </si>
  <si>
    <t>No Bonus</t>
  </si>
  <si>
    <t>&lt;== No Bonus</t>
  </si>
  <si>
    <t>Bonus rate</t>
  </si>
  <si>
    <t>&lt;==</t>
  </si>
  <si>
    <t>20 year MACRS</t>
  </si>
  <si>
    <t>Federal</t>
  </si>
  <si>
    <t>Oregon</t>
  </si>
  <si>
    <t>California</t>
  </si>
  <si>
    <t>Non-Conformity</t>
  </si>
  <si>
    <t>Conformity</t>
  </si>
  <si>
    <t>Combined</t>
  </si>
  <si>
    <t>Proof- Combined</t>
  </si>
  <si>
    <t>Contributions in Aid of Construction (CIAC)</t>
  </si>
  <si>
    <t xml:space="preserve">Cost of Capital </t>
  </si>
  <si>
    <t>CIACC Gross Up Template</t>
  </si>
  <si>
    <t>For NPV Only</t>
  </si>
  <si>
    <t>INPUT CELL ==&gt;</t>
  </si>
  <si>
    <t>LT Debt</t>
  </si>
  <si>
    <t>ST Debt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</si>
</sst>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&quot;$&quot;* #,##0.000_);_(&quot;$&quot;* \(#,##0.000\);_(&quot;$&quot;* &quot;-&quot;???_);_(@_)"/>
    <numFmt numFmtId="170" formatCode="_(&quot;$&quot;* #,##0.0000_);_(&quot;$&quot;* \(#,##0.0000\);_(&quot;$&quot;* &quot;-&quot;??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0.0000%"/>
    <numFmt numFmtId="177" formatCode="0.000000%"/>
    <numFmt numFmtId="178" formatCode="_(&quot;$&quot;* #,##0.00000_);_(&quot;$&quot;* \(#,##0.00000\);_(&quot;$&quot;* &quot;-&quot;???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3" fontId="1" fillId="0" borderId="10" xfId="42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167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11" xfId="44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12" xfId="0" applyNumberFormat="1" applyFont="1" applyBorder="1" applyAlignment="1">
      <alignment/>
    </xf>
    <xf numFmtId="44" fontId="5" fillId="0" borderId="0" xfId="44" applyFont="1" applyAlignment="1">
      <alignment/>
    </xf>
    <xf numFmtId="44" fontId="0" fillId="0" borderId="0" xfId="44" applyFont="1" applyAlignment="1">
      <alignment/>
    </xf>
    <xf numFmtId="9" fontId="5" fillId="0" borderId="0" xfId="44" applyNumberFormat="1" applyFont="1" applyAlignment="1">
      <alignment/>
    </xf>
    <xf numFmtId="166" fontId="1" fillId="33" borderId="0" xfId="44" applyNumberFormat="1" applyFont="1" applyFill="1" applyAlignment="1">
      <alignment/>
    </xf>
    <xf numFmtId="43" fontId="0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8" fontId="0" fillId="0" borderId="0" xfId="44" applyNumberFormat="1" applyFont="1" applyAlignment="1">
      <alignment/>
    </xf>
    <xf numFmtId="8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1" fillId="33" borderId="10" xfId="44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44" fontId="1" fillId="0" borderId="11" xfId="44" applyFont="1" applyBorder="1" applyAlignment="1">
      <alignment/>
    </xf>
    <xf numFmtId="10" fontId="4" fillId="33" borderId="0" xfId="44" applyNumberFormat="1" applyFont="1" applyFill="1" applyAlignment="1">
      <alignment/>
    </xf>
    <xf numFmtId="10" fontId="1" fillId="34" borderId="13" xfId="59" applyNumberFormat="1" applyFont="1" applyFill="1" applyBorder="1" applyAlignment="1">
      <alignment/>
    </xf>
    <xf numFmtId="0" fontId="0" fillId="0" borderId="0" xfId="0" applyAlignment="1" quotePrefix="1">
      <alignment/>
    </xf>
    <xf numFmtId="167" fontId="4" fillId="33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39" fontId="0" fillId="0" borderId="0" xfId="44" applyNumberFormat="1" applyFont="1" applyAlignment="1">
      <alignment/>
    </xf>
    <xf numFmtId="39" fontId="0" fillId="0" borderId="10" xfId="44" applyNumberFormat="1" applyFont="1" applyBorder="1" applyAlignment="1">
      <alignment/>
    </xf>
    <xf numFmtId="15" fontId="4" fillId="0" borderId="0" xfId="0" applyNumberFormat="1" applyFont="1" applyAlignment="1" quotePrefix="1">
      <alignment/>
    </xf>
    <xf numFmtId="44" fontId="5" fillId="35" borderId="0" xfId="44" applyFont="1" applyFill="1" applyAlignment="1">
      <alignment/>
    </xf>
    <xf numFmtId="10" fontId="0" fillId="35" borderId="0" xfId="0" applyNumberFormat="1" applyFont="1" applyFill="1" applyAlignment="1">
      <alignment/>
    </xf>
    <xf numFmtId="10" fontId="0" fillId="35" borderId="10" xfId="0" applyNumberFormat="1" applyFont="1" applyFill="1" applyBorder="1" applyAlignment="1">
      <alignment/>
    </xf>
    <xf numFmtId="43" fontId="1" fillId="0" borderId="10" xfId="42" applyFont="1" applyFill="1" applyBorder="1" applyAlignment="1">
      <alignment horizontal="center"/>
    </xf>
    <xf numFmtId="10" fontId="5" fillId="0" borderId="0" xfId="44" applyNumberFormat="1" applyFont="1" applyAlignment="1">
      <alignment/>
    </xf>
    <xf numFmtId="10" fontId="5" fillId="0" borderId="0" xfId="0" applyNumberFormat="1" applyFont="1" applyAlignment="1">
      <alignment/>
    </xf>
    <xf numFmtId="10" fontId="1" fillId="33" borderId="0" xfId="44" applyNumberFormat="1" applyFont="1" applyFill="1" applyAlignment="1">
      <alignment/>
    </xf>
    <xf numFmtId="175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="90" zoomScaleNormal="90" zoomScalePageLayoutView="0" workbookViewId="0" topLeftCell="A1">
      <selection activeCell="K74" sqref="K74"/>
    </sheetView>
  </sheetViews>
  <sheetFormatPr defaultColWidth="9.140625" defaultRowHeight="12.75"/>
  <cols>
    <col min="1" max="1" width="9.140625" style="15" customWidth="1"/>
    <col min="2" max="9" width="14.7109375" style="15" customWidth="1"/>
    <col min="10" max="10" width="18.57421875" style="15" customWidth="1"/>
    <col min="11" max="12" width="14.7109375" style="15" customWidth="1"/>
    <col min="13" max="13" width="16.57421875" style="15" customWidth="1"/>
    <col min="14" max="14" width="13.8515625" style="15" customWidth="1"/>
    <col min="15" max="15" width="13.28125" style="15" bestFit="1" customWidth="1"/>
    <col min="16" max="16" width="12.140625" style="15" bestFit="1" customWidth="1"/>
    <col min="17" max="16384" width="9.140625" style="15" customWidth="1"/>
  </cols>
  <sheetData>
    <row r="1" ht="12.75">
      <c r="A1" s="1" t="s">
        <v>41</v>
      </c>
    </row>
    <row r="2" ht="12.75">
      <c r="A2" s="1" t="s">
        <v>25</v>
      </c>
    </row>
    <row r="3" ht="12.75">
      <c r="A3" s="51" t="s">
        <v>43</v>
      </c>
    </row>
    <row r="4" ht="12.75">
      <c r="A4" s="1"/>
    </row>
    <row r="5" spans="1:13" ht="12.75">
      <c r="A5" s="15" t="s">
        <v>2</v>
      </c>
      <c r="F5" s="19"/>
      <c r="G5" s="19"/>
      <c r="H5" s="19"/>
      <c r="J5" s="15" t="s">
        <v>45</v>
      </c>
      <c r="K5" s="52">
        <v>100000</v>
      </c>
      <c r="L5" s="38" t="s">
        <v>29</v>
      </c>
      <c r="M5"/>
    </row>
    <row r="6" spans="1:13" ht="12.75">
      <c r="A6" s="15" t="s">
        <v>20</v>
      </c>
      <c r="L6" s="21">
        <v>0.21</v>
      </c>
      <c r="M6"/>
    </row>
    <row r="7" spans="1:13" ht="12.75">
      <c r="A7" s="15" t="s">
        <v>21</v>
      </c>
      <c r="L7" s="56">
        <v>0</v>
      </c>
      <c r="M7"/>
    </row>
    <row r="8" spans="1:13" ht="12.75">
      <c r="A8" s="15" t="s">
        <v>22</v>
      </c>
      <c r="L8" s="56"/>
      <c r="M8"/>
    </row>
    <row r="9" spans="1:13" ht="12.75">
      <c r="A9" s="15" t="s">
        <v>23</v>
      </c>
      <c r="L9" s="57"/>
      <c r="M9"/>
    </row>
    <row r="10" spans="1:13" ht="12.75">
      <c r="A10" s="15" t="s">
        <v>24</v>
      </c>
      <c r="L10" s="56"/>
      <c r="M10"/>
    </row>
    <row r="11" spans="1:13" ht="12.75">
      <c r="A11" s="15" t="s">
        <v>26</v>
      </c>
      <c r="L11" s="58">
        <f>(L7*L9+L8*L10)*(1-L6)+L6</f>
        <v>0.21</v>
      </c>
      <c r="M11"/>
    </row>
    <row r="12" spans="1:13" ht="12.75">
      <c r="A12" s="15" t="s">
        <v>27</v>
      </c>
      <c r="L12" s="22">
        <f>(1-L11)</f>
        <v>0.79</v>
      </c>
      <c r="M12"/>
    </row>
    <row r="13" spans="1:13" ht="12.75">
      <c r="A13" s="15" t="s">
        <v>31</v>
      </c>
      <c r="L13" s="41">
        <v>0</v>
      </c>
      <c r="M13" s="23"/>
    </row>
    <row r="14" spans="12:13" ht="12.75">
      <c r="L14" s="23"/>
      <c r="M14" s="23"/>
    </row>
    <row r="15" spans="6:13" ht="12.75">
      <c r="F15" s="2" t="s">
        <v>38</v>
      </c>
      <c r="G15" s="2"/>
      <c r="H15" s="2"/>
      <c r="I15" s="2" t="s">
        <v>37</v>
      </c>
      <c r="J15" s="2"/>
      <c r="K15" s="2"/>
      <c r="L15" s="23"/>
      <c r="M15" s="23"/>
    </row>
    <row r="16" spans="2:14" ht="12.75">
      <c r="B16" s="2" t="s">
        <v>34</v>
      </c>
      <c r="C16" s="2"/>
      <c r="D16" s="2" t="s">
        <v>34</v>
      </c>
      <c r="E16" s="2" t="s">
        <v>34</v>
      </c>
      <c r="F16" s="2" t="s">
        <v>35</v>
      </c>
      <c r="G16" s="2" t="s">
        <v>35</v>
      </c>
      <c r="H16" s="2" t="s">
        <v>35</v>
      </c>
      <c r="I16" s="2" t="s">
        <v>36</v>
      </c>
      <c r="J16" s="2" t="s">
        <v>36</v>
      </c>
      <c r="K16" s="2" t="s">
        <v>36</v>
      </c>
      <c r="L16" s="48" t="s">
        <v>39</v>
      </c>
      <c r="M16" s="48" t="s">
        <v>40</v>
      </c>
      <c r="N16" s="47"/>
    </row>
    <row r="17" spans="1:14" ht="12.75">
      <c r="A17" s="7" t="s">
        <v>10</v>
      </c>
      <c r="B17" s="7" t="s">
        <v>33</v>
      </c>
      <c r="C17" s="1"/>
      <c r="D17" s="6" t="s">
        <v>0</v>
      </c>
      <c r="E17" s="6" t="s">
        <v>1</v>
      </c>
      <c r="F17" s="6" t="s">
        <v>33</v>
      </c>
      <c r="G17" s="6" t="s">
        <v>0</v>
      </c>
      <c r="H17" s="6" t="s">
        <v>1</v>
      </c>
      <c r="I17" s="6" t="s">
        <v>0</v>
      </c>
      <c r="J17" s="6" t="s">
        <v>0</v>
      </c>
      <c r="K17" s="6" t="s">
        <v>1</v>
      </c>
      <c r="L17" s="6" t="s">
        <v>1</v>
      </c>
      <c r="M17" s="6" t="s">
        <v>1</v>
      </c>
      <c r="N17" s="55" t="s">
        <v>44</v>
      </c>
    </row>
    <row r="18" spans="4:13" ht="12.75"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6" ht="12.75">
      <c r="A19" s="2">
        <v>1</v>
      </c>
      <c r="B19" s="44">
        <v>0.0375</v>
      </c>
      <c r="C19" s="39" t="s">
        <v>30</v>
      </c>
      <c r="D19" s="20">
        <f aca="true" t="shared" si="0" ref="D19:D39">+K$5*B19</f>
        <v>3750</v>
      </c>
      <c r="E19" s="20">
        <f aca="true" t="shared" si="1" ref="E19:E39">+D19*$L$6</f>
        <v>787.5</v>
      </c>
      <c r="F19" s="44">
        <f>+B19</f>
        <v>0.0375</v>
      </c>
      <c r="G19" s="20">
        <f aca="true" t="shared" si="2" ref="G19:G39">$K$5*F19</f>
        <v>3750</v>
      </c>
      <c r="H19" s="20">
        <f>+G19*$L$7*$L$9</f>
        <v>0</v>
      </c>
      <c r="I19" s="44">
        <v>0.0375</v>
      </c>
      <c r="J19" s="20">
        <f>+$K$5*I19</f>
        <v>3750</v>
      </c>
      <c r="K19" s="20">
        <f>+J19*$L$8*$L$10</f>
        <v>0</v>
      </c>
      <c r="L19" s="23">
        <f>+E19+((H19+K19)*0.65)</f>
        <v>787.5</v>
      </c>
      <c r="M19" s="23">
        <f>+D19*$L$11</f>
        <v>787.5</v>
      </c>
      <c r="N19" s="25">
        <v>0</v>
      </c>
      <c r="P19" s="31"/>
    </row>
    <row r="20" spans="1:14" ht="12.75">
      <c r="A20" s="2">
        <f aca="true" t="shared" si="3" ref="A20:A39">+A19+1</f>
        <v>2</v>
      </c>
      <c r="B20" s="45">
        <v>0.07219</v>
      </c>
      <c r="C20" s="39" t="s">
        <v>30</v>
      </c>
      <c r="D20" s="23">
        <f t="shared" si="0"/>
        <v>7219</v>
      </c>
      <c r="E20" s="49">
        <f t="shared" si="1"/>
        <v>1515.99</v>
      </c>
      <c r="F20" s="45">
        <f>+B20</f>
        <v>0.07219</v>
      </c>
      <c r="G20" s="23">
        <f t="shared" si="2"/>
        <v>7219</v>
      </c>
      <c r="H20" s="49">
        <f aca="true" t="shared" si="4" ref="H20:H39">+G20*$L$7*$L$9</f>
        <v>0</v>
      </c>
      <c r="I20" s="45">
        <v>0.07219</v>
      </c>
      <c r="J20" s="23">
        <f aca="true" t="shared" si="5" ref="J20:J39">$K$5*I20</f>
        <v>7219</v>
      </c>
      <c r="K20" s="49">
        <f>+J20*$L$8*$L$10</f>
        <v>0</v>
      </c>
      <c r="L20" s="23">
        <f aca="true" t="shared" si="6" ref="L20:L39">+E20+((H20+K20)*0.65)</f>
        <v>1515.99</v>
      </c>
      <c r="M20" s="23">
        <f aca="true" t="shared" si="7" ref="M20:M39">+D20*$L$11</f>
        <v>1515.99</v>
      </c>
      <c r="N20" s="26">
        <f aca="true" t="shared" si="8" ref="N20:N39">+L20</f>
        <v>1515.99</v>
      </c>
    </row>
    <row r="21" spans="1:14" ht="12.75">
      <c r="A21" s="2">
        <f t="shared" si="3"/>
        <v>3</v>
      </c>
      <c r="B21" s="45">
        <v>0.06677</v>
      </c>
      <c r="C21" s="39" t="s">
        <v>30</v>
      </c>
      <c r="D21" s="23">
        <f t="shared" si="0"/>
        <v>6677</v>
      </c>
      <c r="E21" s="49">
        <f t="shared" si="1"/>
        <v>1402.1699999999998</v>
      </c>
      <c r="F21" s="45">
        <f aca="true" t="shared" si="9" ref="F21:F39">+B21</f>
        <v>0.06677</v>
      </c>
      <c r="G21" s="23">
        <f t="shared" si="2"/>
        <v>6677</v>
      </c>
      <c r="H21" s="49">
        <f t="shared" si="4"/>
        <v>0</v>
      </c>
      <c r="I21" s="45">
        <v>0.06677</v>
      </c>
      <c r="J21" s="23">
        <f t="shared" si="5"/>
        <v>6677</v>
      </c>
      <c r="K21" s="49">
        <f aca="true" t="shared" si="10" ref="K21:K39">+J21*$L$8*$L$10</f>
        <v>0</v>
      </c>
      <c r="L21" s="23">
        <f t="shared" si="6"/>
        <v>1402.1699999999998</v>
      </c>
      <c r="M21" s="23">
        <f t="shared" si="7"/>
        <v>1402.1699999999998</v>
      </c>
      <c r="N21" s="26">
        <f t="shared" si="8"/>
        <v>1402.1699999999998</v>
      </c>
    </row>
    <row r="22" spans="1:14" ht="12.75">
      <c r="A22" s="2">
        <f t="shared" si="3"/>
        <v>4</v>
      </c>
      <c r="B22" s="45">
        <v>0.06177</v>
      </c>
      <c r="C22" s="39" t="s">
        <v>30</v>
      </c>
      <c r="D22" s="23">
        <f t="shared" si="0"/>
        <v>6177</v>
      </c>
      <c r="E22" s="49">
        <f t="shared" si="1"/>
        <v>1297.1699999999998</v>
      </c>
      <c r="F22" s="45">
        <f t="shared" si="9"/>
        <v>0.06177</v>
      </c>
      <c r="G22" s="23">
        <f t="shared" si="2"/>
        <v>6177</v>
      </c>
      <c r="H22" s="49">
        <f t="shared" si="4"/>
        <v>0</v>
      </c>
      <c r="I22" s="45">
        <v>0.06177</v>
      </c>
      <c r="J22" s="23">
        <f t="shared" si="5"/>
        <v>6177</v>
      </c>
      <c r="K22" s="49">
        <f t="shared" si="10"/>
        <v>0</v>
      </c>
      <c r="L22" s="23">
        <f t="shared" si="6"/>
        <v>1297.1699999999998</v>
      </c>
      <c r="M22" s="23">
        <f t="shared" si="7"/>
        <v>1297.1699999999998</v>
      </c>
      <c r="N22" s="26">
        <f t="shared" si="8"/>
        <v>1297.1699999999998</v>
      </c>
    </row>
    <row r="23" spans="1:14" ht="12.75">
      <c r="A23" s="2">
        <f t="shared" si="3"/>
        <v>5</v>
      </c>
      <c r="B23" s="45">
        <v>0.05713</v>
      </c>
      <c r="C23" s="39" t="s">
        <v>30</v>
      </c>
      <c r="D23" s="23">
        <f t="shared" si="0"/>
        <v>5713</v>
      </c>
      <c r="E23" s="49">
        <f t="shared" si="1"/>
        <v>1199.73</v>
      </c>
      <c r="F23" s="45">
        <f t="shared" si="9"/>
        <v>0.05713</v>
      </c>
      <c r="G23" s="23">
        <f t="shared" si="2"/>
        <v>5713</v>
      </c>
      <c r="H23" s="49">
        <f t="shared" si="4"/>
        <v>0</v>
      </c>
      <c r="I23" s="45">
        <v>0.05713</v>
      </c>
      <c r="J23" s="23">
        <f t="shared" si="5"/>
        <v>5713</v>
      </c>
      <c r="K23" s="49">
        <f t="shared" si="10"/>
        <v>0</v>
      </c>
      <c r="L23" s="23">
        <f t="shared" si="6"/>
        <v>1199.73</v>
      </c>
      <c r="M23" s="23">
        <f t="shared" si="7"/>
        <v>1199.73</v>
      </c>
      <c r="N23" s="26">
        <f t="shared" si="8"/>
        <v>1199.73</v>
      </c>
    </row>
    <row r="24" spans="1:14" ht="12.75">
      <c r="A24" s="2">
        <f t="shared" si="3"/>
        <v>6</v>
      </c>
      <c r="B24" s="45">
        <v>0.05285</v>
      </c>
      <c r="C24" s="39" t="s">
        <v>30</v>
      </c>
      <c r="D24" s="23">
        <f t="shared" si="0"/>
        <v>5285</v>
      </c>
      <c r="E24" s="49">
        <f t="shared" si="1"/>
        <v>1109.85</v>
      </c>
      <c r="F24" s="45">
        <f t="shared" si="9"/>
        <v>0.05285</v>
      </c>
      <c r="G24" s="23">
        <f t="shared" si="2"/>
        <v>5285</v>
      </c>
      <c r="H24" s="49">
        <f t="shared" si="4"/>
        <v>0</v>
      </c>
      <c r="I24" s="45">
        <v>0.05285</v>
      </c>
      <c r="J24" s="23">
        <f t="shared" si="5"/>
        <v>5285</v>
      </c>
      <c r="K24" s="49">
        <f t="shared" si="10"/>
        <v>0</v>
      </c>
      <c r="L24" s="23">
        <f t="shared" si="6"/>
        <v>1109.85</v>
      </c>
      <c r="M24" s="23">
        <f t="shared" si="7"/>
        <v>1109.85</v>
      </c>
      <c r="N24" s="26">
        <f t="shared" si="8"/>
        <v>1109.85</v>
      </c>
    </row>
    <row r="25" spans="1:14" ht="12.75">
      <c r="A25" s="2">
        <f t="shared" si="3"/>
        <v>7</v>
      </c>
      <c r="B25" s="45">
        <v>0.04888</v>
      </c>
      <c r="C25" s="39" t="s">
        <v>30</v>
      </c>
      <c r="D25" s="23">
        <f t="shared" si="0"/>
        <v>4888</v>
      </c>
      <c r="E25" s="49">
        <f t="shared" si="1"/>
        <v>1026.48</v>
      </c>
      <c r="F25" s="45">
        <f t="shared" si="9"/>
        <v>0.04888</v>
      </c>
      <c r="G25" s="23">
        <f t="shared" si="2"/>
        <v>4888</v>
      </c>
      <c r="H25" s="49">
        <f t="shared" si="4"/>
        <v>0</v>
      </c>
      <c r="I25" s="45">
        <v>0.04888</v>
      </c>
      <c r="J25" s="23">
        <f t="shared" si="5"/>
        <v>4888</v>
      </c>
      <c r="K25" s="49">
        <f t="shared" si="10"/>
        <v>0</v>
      </c>
      <c r="L25" s="23">
        <f t="shared" si="6"/>
        <v>1026.48</v>
      </c>
      <c r="M25" s="23">
        <f t="shared" si="7"/>
        <v>1026.48</v>
      </c>
      <c r="N25" s="26">
        <f t="shared" si="8"/>
        <v>1026.48</v>
      </c>
    </row>
    <row r="26" spans="1:14" ht="12.75">
      <c r="A26" s="2">
        <f t="shared" si="3"/>
        <v>8</v>
      </c>
      <c r="B26" s="45">
        <v>0.04522</v>
      </c>
      <c r="C26" s="39" t="s">
        <v>30</v>
      </c>
      <c r="D26" s="23">
        <f t="shared" si="0"/>
        <v>4522</v>
      </c>
      <c r="E26" s="49">
        <f t="shared" si="1"/>
        <v>949.62</v>
      </c>
      <c r="F26" s="45">
        <f t="shared" si="9"/>
        <v>0.04522</v>
      </c>
      <c r="G26" s="23">
        <f t="shared" si="2"/>
        <v>4522</v>
      </c>
      <c r="H26" s="49">
        <f t="shared" si="4"/>
        <v>0</v>
      </c>
      <c r="I26" s="45">
        <v>0.04522</v>
      </c>
      <c r="J26" s="23">
        <f t="shared" si="5"/>
        <v>4522</v>
      </c>
      <c r="K26" s="49">
        <f t="shared" si="10"/>
        <v>0</v>
      </c>
      <c r="L26" s="23">
        <f t="shared" si="6"/>
        <v>949.62</v>
      </c>
      <c r="M26" s="23">
        <f t="shared" si="7"/>
        <v>949.62</v>
      </c>
      <c r="N26" s="26">
        <f t="shared" si="8"/>
        <v>949.62</v>
      </c>
    </row>
    <row r="27" spans="1:14" ht="12.75">
      <c r="A27" s="2">
        <f t="shared" si="3"/>
        <v>9</v>
      </c>
      <c r="B27" s="45">
        <v>0.04462</v>
      </c>
      <c r="C27" s="39" t="s">
        <v>30</v>
      </c>
      <c r="D27" s="23">
        <f t="shared" si="0"/>
        <v>4462</v>
      </c>
      <c r="E27" s="49">
        <f t="shared" si="1"/>
        <v>937.02</v>
      </c>
      <c r="F27" s="45">
        <f t="shared" si="9"/>
        <v>0.04462</v>
      </c>
      <c r="G27" s="23">
        <f t="shared" si="2"/>
        <v>4462</v>
      </c>
      <c r="H27" s="49">
        <f t="shared" si="4"/>
        <v>0</v>
      </c>
      <c r="I27" s="45">
        <v>0.04462</v>
      </c>
      <c r="J27" s="23">
        <f t="shared" si="5"/>
        <v>4462</v>
      </c>
      <c r="K27" s="49">
        <f t="shared" si="10"/>
        <v>0</v>
      </c>
      <c r="L27" s="23">
        <f t="shared" si="6"/>
        <v>937.02</v>
      </c>
      <c r="M27" s="23">
        <f t="shared" si="7"/>
        <v>937.02</v>
      </c>
      <c r="N27" s="26">
        <f t="shared" si="8"/>
        <v>937.02</v>
      </c>
    </row>
    <row r="28" spans="1:14" ht="12.75">
      <c r="A28" s="2">
        <f t="shared" si="3"/>
        <v>10</v>
      </c>
      <c r="B28" s="45">
        <v>0.04461</v>
      </c>
      <c r="C28" s="39" t="s">
        <v>30</v>
      </c>
      <c r="D28" s="23">
        <f t="shared" si="0"/>
        <v>4461</v>
      </c>
      <c r="E28" s="49">
        <f t="shared" si="1"/>
        <v>936.81</v>
      </c>
      <c r="F28" s="45">
        <f t="shared" si="9"/>
        <v>0.04461</v>
      </c>
      <c r="G28" s="23">
        <f t="shared" si="2"/>
        <v>4461</v>
      </c>
      <c r="H28" s="49">
        <f t="shared" si="4"/>
        <v>0</v>
      </c>
      <c r="I28" s="45">
        <v>0.04461</v>
      </c>
      <c r="J28" s="23">
        <f t="shared" si="5"/>
        <v>4461</v>
      </c>
      <c r="K28" s="49">
        <f t="shared" si="10"/>
        <v>0</v>
      </c>
      <c r="L28" s="23">
        <f t="shared" si="6"/>
        <v>936.81</v>
      </c>
      <c r="M28" s="23">
        <f t="shared" si="7"/>
        <v>936.81</v>
      </c>
      <c r="N28" s="26">
        <f t="shared" si="8"/>
        <v>936.81</v>
      </c>
    </row>
    <row r="29" spans="1:14" ht="12.75">
      <c r="A29" s="2">
        <f t="shared" si="3"/>
        <v>11</v>
      </c>
      <c r="B29" s="45">
        <v>0.04462</v>
      </c>
      <c r="C29" s="39" t="s">
        <v>30</v>
      </c>
      <c r="D29" s="23">
        <f t="shared" si="0"/>
        <v>4462</v>
      </c>
      <c r="E29" s="49">
        <f t="shared" si="1"/>
        <v>937.02</v>
      </c>
      <c r="F29" s="45">
        <f t="shared" si="9"/>
        <v>0.04462</v>
      </c>
      <c r="G29" s="23">
        <f t="shared" si="2"/>
        <v>4462</v>
      </c>
      <c r="H29" s="49">
        <f t="shared" si="4"/>
        <v>0</v>
      </c>
      <c r="I29" s="45">
        <v>0.04462</v>
      </c>
      <c r="J29" s="23">
        <f t="shared" si="5"/>
        <v>4462</v>
      </c>
      <c r="K29" s="49">
        <f t="shared" si="10"/>
        <v>0</v>
      </c>
      <c r="L29" s="23">
        <f t="shared" si="6"/>
        <v>937.02</v>
      </c>
      <c r="M29" s="23">
        <f t="shared" si="7"/>
        <v>937.02</v>
      </c>
      <c r="N29" s="26">
        <f t="shared" si="8"/>
        <v>937.02</v>
      </c>
    </row>
    <row r="30" spans="1:14" ht="12.75">
      <c r="A30" s="2">
        <f t="shared" si="3"/>
        <v>12</v>
      </c>
      <c r="B30" s="45">
        <v>0.04461</v>
      </c>
      <c r="C30" s="39" t="s">
        <v>30</v>
      </c>
      <c r="D30" s="23">
        <f t="shared" si="0"/>
        <v>4461</v>
      </c>
      <c r="E30" s="49">
        <f t="shared" si="1"/>
        <v>936.81</v>
      </c>
      <c r="F30" s="45">
        <f t="shared" si="9"/>
        <v>0.04461</v>
      </c>
      <c r="G30" s="23">
        <f t="shared" si="2"/>
        <v>4461</v>
      </c>
      <c r="H30" s="49">
        <f t="shared" si="4"/>
        <v>0</v>
      </c>
      <c r="I30" s="45">
        <v>0.04461</v>
      </c>
      <c r="J30" s="23">
        <f t="shared" si="5"/>
        <v>4461</v>
      </c>
      <c r="K30" s="49">
        <f t="shared" si="10"/>
        <v>0</v>
      </c>
      <c r="L30" s="23">
        <f t="shared" si="6"/>
        <v>936.81</v>
      </c>
      <c r="M30" s="23">
        <f t="shared" si="7"/>
        <v>936.81</v>
      </c>
      <c r="N30" s="26">
        <f t="shared" si="8"/>
        <v>936.81</v>
      </c>
    </row>
    <row r="31" spans="1:14" ht="12.75">
      <c r="A31" s="2">
        <f t="shared" si="3"/>
        <v>13</v>
      </c>
      <c r="B31" s="45">
        <v>0.04462</v>
      </c>
      <c r="C31" s="39" t="s">
        <v>30</v>
      </c>
      <c r="D31" s="23">
        <f t="shared" si="0"/>
        <v>4462</v>
      </c>
      <c r="E31" s="49">
        <f t="shared" si="1"/>
        <v>937.02</v>
      </c>
      <c r="F31" s="45">
        <f t="shared" si="9"/>
        <v>0.04462</v>
      </c>
      <c r="G31" s="23">
        <f t="shared" si="2"/>
        <v>4462</v>
      </c>
      <c r="H31" s="49">
        <f t="shared" si="4"/>
        <v>0</v>
      </c>
      <c r="I31" s="45">
        <v>0.04462</v>
      </c>
      <c r="J31" s="23">
        <f t="shared" si="5"/>
        <v>4462</v>
      </c>
      <c r="K31" s="49">
        <f t="shared" si="10"/>
        <v>0</v>
      </c>
      <c r="L31" s="23">
        <f t="shared" si="6"/>
        <v>937.02</v>
      </c>
      <c r="M31" s="23">
        <f t="shared" si="7"/>
        <v>937.02</v>
      </c>
      <c r="N31" s="26">
        <f t="shared" si="8"/>
        <v>937.02</v>
      </c>
    </row>
    <row r="32" spans="1:14" ht="12.75">
      <c r="A32" s="2">
        <f t="shared" si="3"/>
        <v>14</v>
      </c>
      <c r="B32" s="45">
        <v>0.04461</v>
      </c>
      <c r="C32" s="39" t="s">
        <v>30</v>
      </c>
      <c r="D32" s="23">
        <f t="shared" si="0"/>
        <v>4461</v>
      </c>
      <c r="E32" s="49">
        <f t="shared" si="1"/>
        <v>936.81</v>
      </c>
      <c r="F32" s="45">
        <f t="shared" si="9"/>
        <v>0.04461</v>
      </c>
      <c r="G32" s="23">
        <f t="shared" si="2"/>
        <v>4461</v>
      </c>
      <c r="H32" s="49">
        <f t="shared" si="4"/>
        <v>0</v>
      </c>
      <c r="I32" s="45">
        <v>0.04461</v>
      </c>
      <c r="J32" s="23">
        <f t="shared" si="5"/>
        <v>4461</v>
      </c>
      <c r="K32" s="49">
        <f t="shared" si="10"/>
        <v>0</v>
      </c>
      <c r="L32" s="23">
        <f t="shared" si="6"/>
        <v>936.81</v>
      </c>
      <c r="M32" s="23">
        <f t="shared" si="7"/>
        <v>936.81</v>
      </c>
      <c r="N32" s="26">
        <f t="shared" si="8"/>
        <v>936.81</v>
      </c>
    </row>
    <row r="33" spans="1:14" ht="12.75">
      <c r="A33" s="2">
        <f t="shared" si="3"/>
        <v>15</v>
      </c>
      <c r="B33" s="45">
        <v>0.04462</v>
      </c>
      <c r="C33" s="39" t="s">
        <v>30</v>
      </c>
      <c r="D33" s="23">
        <f t="shared" si="0"/>
        <v>4462</v>
      </c>
      <c r="E33" s="49">
        <f t="shared" si="1"/>
        <v>937.02</v>
      </c>
      <c r="F33" s="45">
        <f t="shared" si="9"/>
        <v>0.04462</v>
      </c>
      <c r="G33" s="23">
        <f t="shared" si="2"/>
        <v>4462</v>
      </c>
      <c r="H33" s="49">
        <f t="shared" si="4"/>
        <v>0</v>
      </c>
      <c r="I33" s="45">
        <v>0.04462</v>
      </c>
      <c r="J33" s="23">
        <f t="shared" si="5"/>
        <v>4462</v>
      </c>
      <c r="K33" s="49">
        <f t="shared" si="10"/>
        <v>0</v>
      </c>
      <c r="L33" s="23">
        <f t="shared" si="6"/>
        <v>937.02</v>
      </c>
      <c r="M33" s="23">
        <f t="shared" si="7"/>
        <v>937.02</v>
      </c>
      <c r="N33" s="26">
        <f t="shared" si="8"/>
        <v>937.02</v>
      </c>
    </row>
    <row r="34" spans="1:14" ht="12.75">
      <c r="A34" s="2">
        <f t="shared" si="3"/>
        <v>16</v>
      </c>
      <c r="B34" s="45">
        <v>0.04461</v>
      </c>
      <c r="C34" s="39" t="s">
        <v>30</v>
      </c>
      <c r="D34" s="23">
        <f t="shared" si="0"/>
        <v>4461</v>
      </c>
      <c r="E34" s="49">
        <f t="shared" si="1"/>
        <v>936.81</v>
      </c>
      <c r="F34" s="45">
        <f t="shared" si="9"/>
        <v>0.04461</v>
      </c>
      <c r="G34" s="23">
        <f t="shared" si="2"/>
        <v>4461</v>
      </c>
      <c r="H34" s="49">
        <f t="shared" si="4"/>
        <v>0</v>
      </c>
      <c r="I34" s="45">
        <v>0.04461</v>
      </c>
      <c r="J34" s="23">
        <f t="shared" si="5"/>
        <v>4461</v>
      </c>
      <c r="K34" s="49">
        <f t="shared" si="10"/>
        <v>0</v>
      </c>
      <c r="L34" s="23">
        <f t="shared" si="6"/>
        <v>936.81</v>
      </c>
      <c r="M34" s="23">
        <f t="shared" si="7"/>
        <v>936.81</v>
      </c>
      <c r="N34" s="26">
        <f t="shared" si="8"/>
        <v>936.81</v>
      </c>
    </row>
    <row r="35" spans="1:14" ht="12.75">
      <c r="A35" s="2">
        <f t="shared" si="3"/>
        <v>17</v>
      </c>
      <c r="B35" s="45">
        <v>0.04462</v>
      </c>
      <c r="C35" s="39" t="s">
        <v>30</v>
      </c>
      <c r="D35" s="23">
        <f t="shared" si="0"/>
        <v>4462</v>
      </c>
      <c r="E35" s="49">
        <f t="shared" si="1"/>
        <v>937.02</v>
      </c>
      <c r="F35" s="45">
        <f t="shared" si="9"/>
        <v>0.04462</v>
      </c>
      <c r="G35" s="23">
        <f t="shared" si="2"/>
        <v>4462</v>
      </c>
      <c r="H35" s="49">
        <f t="shared" si="4"/>
        <v>0</v>
      </c>
      <c r="I35" s="45">
        <v>0.04462</v>
      </c>
      <c r="J35" s="23">
        <f t="shared" si="5"/>
        <v>4462</v>
      </c>
      <c r="K35" s="49">
        <f t="shared" si="10"/>
        <v>0</v>
      </c>
      <c r="L35" s="23">
        <f t="shared" si="6"/>
        <v>937.02</v>
      </c>
      <c r="M35" s="23">
        <f t="shared" si="7"/>
        <v>937.02</v>
      </c>
      <c r="N35" s="26">
        <f t="shared" si="8"/>
        <v>937.02</v>
      </c>
    </row>
    <row r="36" spans="1:14" ht="12.75">
      <c r="A36" s="2">
        <f t="shared" si="3"/>
        <v>18</v>
      </c>
      <c r="B36" s="45">
        <v>0.04461</v>
      </c>
      <c r="C36" s="39" t="s">
        <v>30</v>
      </c>
      <c r="D36" s="23">
        <f t="shared" si="0"/>
        <v>4461</v>
      </c>
      <c r="E36" s="49">
        <f t="shared" si="1"/>
        <v>936.81</v>
      </c>
      <c r="F36" s="45">
        <f t="shared" si="9"/>
        <v>0.04461</v>
      </c>
      <c r="G36" s="23">
        <f t="shared" si="2"/>
        <v>4461</v>
      </c>
      <c r="H36" s="49">
        <f t="shared" si="4"/>
        <v>0</v>
      </c>
      <c r="I36" s="45">
        <v>0.04461</v>
      </c>
      <c r="J36" s="23">
        <f t="shared" si="5"/>
        <v>4461</v>
      </c>
      <c r="K36" s="49">
        <f t="shared" si="10"/>
        <v>0</v>
      </c>
      <c r="L36" s="23">
        <f t="shared" si="6"/>
        <v>936.81</v>
      </c>
      <c r="M36" s="23">
        <f t="shared" si="7"/>
        <v>936.81</v>
      </c>
      <c r="N36" s="26">
        <f t="shared" si="8"/>
        <v>936.81</v>
      </c>
    </row>
    <row r="37" spans="1:14" ht="12.75">
      <c r="A37" s="2">
        <f t="shared" si="3"/>
        <v>19</v>
      </c>
      <c r="B37" s="45">
        <v>0.04462</v>
      </c>
      <c r="C37" s="39" t="s">
        <v>30</v>
      </c>
      <c r="D37" s="23">
        <f t="shared" si="0"/>
        <v>4462</v>
      </c>
      <c r="E37" s="49">
        <f t="shared" si="1"/>
        <v>937.02</v>
      </c>
      <c r="F37" s="45">
        <f t="shared" si="9"/>
        <v>0.04462</v>
      </c>
      <c r="G37" s="23">
        <f t="shared" si="2"/>
        <v>4462</v>
      </c>
      <c r="H37" s="49">
        <f t="shared" si="4"/>
        <v>0</v>
      </c>
      <c r="I37" s="45">
        <v>0.04462</v>
      </c>
      <c r="J37" s="23">
        <f t="shared" si="5"/>
        <v>4462</v>
      </c>
      <c r="K37" s="49">
        <f t="shared" si="10"/>
        <v>0</v>
      </c>
      <c r="L37" s="23">
        <f t="shared" si="6"/>
        <v>937.02</v>
      </c>
      <c r="M37" s="23">
        <f t="shared" si="7"/>
        <v>937.02</v>
      </c>
      <c r="N37" s="26">
        <f t="shared" si="8"/>
        <v>937.02</v>
      </c>
    </row>
    <row r="38" spans="1:14" ht="12.75">
      <c r="A38" s="2">
        <f t="shared" si="3"/>
        <v>20</v>
      </c>
      <c r="B38" s="45">
        <v>0.04461</v>
      </c>
      <c r="C38" s="39" t="s">
        <v>30</v>
      </c>
      <c r="D38" s="23">
        <f t="shared" si="0"/>
        <v>4461</v>
      </c>
      <c r="E38" s="49">
        <f t="shared" si="1"/>
        <v>936.81</v>
      </c>
      <c r="F38" s="45">
        <f t="shared" si="9"/>
        <v>0.04461</v>
      </c>
      <c r="G38" s="23">
        <f t="shared" si="2"/>
        <v>4461</v>
      </c>
      <c r="H38" s="49">
        <f t="shared" si="4"/>
        <v>0</v>
      </c>
      <c r="I38" s="45">
        <v>0.04461</v>
      </c>
      <c r="J38" s="23">
        <f t="shared" si="5"/>
        <v>4461</v>
      </c>
      <c r="K38" s="49">
        <f t="shared" si="10"/>
        <v>0</v>
      </c>
      <c r="L38" s="23">
        <f t="shared" si="6"/>
        <v>936.81</v>
      </c>
      <c r="M38" s="23">
        <f t="shared" si="7"/>
        <v>936.81</v>
      </c>
      <c r="N38" s="26">
        <f t="shared" si="8"/>
        <v>936.81</v>
      </c>
    </row>
    <row r="39" spans="1:14" ht="12.75">
      <c r="A39" s="2">
        <f t="shared" si="3"/>
        <v>21</v>
      </c>
      <c r="B39" s="46">
        <v>0.02231</v>
      </c>
      <c r="C39" s="39" t="s">
        <v>30</v>
      </c>
      <c r="D39" s="27">
        <f t="shared" si="0"/>
        <v>2231</v>
      </c>
      <c r="E39" s="50">
        <f t="shared" si="1"/>
        <v>468.51</v>
      </c>
      <c r="F39" s="46">
        <f t="shared" si="9"/>
        <v>0.02231</v>
      </c>
      <c r="G39" s="27">
        <f t="shared" si="2"/>
        <v>2231</v>
      </c>
      <c r="H39" s="50">
        <f t="shared" si="4"/>
        <v>0</v>
      </c>
      <c r="I39" s="46">
        <v>0.02231</v>
      </c>
      <c r="J39" s="27">
        <f t="shared" si="5"/>
        <v>2231</v>
      </c>
      <c r="K39" s="50">
        <f t="shared" si="10"/>
        <v>0</v>
      </c>
      <c r="L39" s="27">
        <f t="shared" si="6"/>
        <v>468.51</v>
      </c>
      <c r="M39" s="27">
        <f t="shared" si="7"/>
        <v>468.51</v>
      </c>
      <c r="N39" s="28">
        <f t="shared" si="8"/>
        <v>468.51</v>
      </c>
    </row>
    <row r="40" spans="2:13" ht="12.75">
      <c r="B40" s="24"/>
      <c r="C40" s="12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5" ht="13.5" thickBot="1">
      <c r="B41" s="11">
        <f>SUM(B19:B40)</f>
        <v>1.0000000000000002</v>
      </c>
      <c r="C41" s="12"/>
      <c r="D41" s="13">
        <f aca="true" t="shared" si="11" ref="D41:N41">SUM(D19:D40)</f>
        <v>100000</v>
      </c>
      <c r="E41" s="13">
        <f t="shared" si="11"/>
        <v>21000.000000000004</v>
      </c>
      <c r="F41" s="11">
        <f t="shared" si="11"/>
        <v>1.0000000000000002</v>
      </c>
      <c r="G41" s="13">
        <f t="shared" si="11"/>
        <v>100000</v>
      </c>
      <c r="H41" s="13">
        <f t="shared" si="11"/>
        <v>0</v>
      </c>
      <c r="I41" s="11">
        <f t="shared" si="11"/>
        <v>1.0000000000000002</v>
      </c>
      <c r="J41" s="13">
        <f t="shared" si="11"/>
        <v>100000</v>
      </c>
      <c r="K41" s="13">
        <f t="shared" si="11"/>
        <v>0</v>
      </c>
      <c r="L41" s="13">
        <f t="shared" si="11"/>
        <v>21000.000000000004</v>
      </c>
      <c r="M41" s="13">
        <f t="shared" si="11"/>
        <v>21000.000000000004</v>
      </c>
      <c r="N41" s="14">
        <f t="shared" si="11"/>
        <v>20212.5</v>
      </c>
      <c r="O41" s="31"/>
    </row>
    <row r="42" ht="13.5" thickTop="1"/>
    <row r="43" ht="12.75">
      <c r="O43"/>
    </row>
    <row r="44" spans="6:14" ht="12.75">
      <c r="F44" s="23"/>
      <c r="G44" s="3" t="s">
        <v>28</v>
      </c>
      <c r="I44" s="10">
        <f>K74</f>
        <v>0.08396194800000001</v>
      </c>
      <c r="J44" s="23"/>
      <c r="K44" s="23"/>
      <c r="L44" s="20">
        <f>M44+L19</f>
        <v>10402.05078331959</v>
      </c>
      <c r="M44" s="29">
        <f>NPV($K74,N19:N39)</f>
        <v>9614.55078331959</v>
      </c>
      <c r="N44"/>
    </row>
    <row r="45" ht="12.75">
      <c r="N45"/>
    </row>
    <row r="46" spans="7:14" ht="12.75">
      <c r="G46" s="3" t="s">
        <v>17</v>
      </c>
      <c r="N46"/>
    </row>
    <row r="47" spans="7:14" ht="12.75">
      <c r="G47" s="9" t="s">
        <v>18</v>
      </c>
      <c r="L47" s="31">
        <f>+L41-L44</f>
        <v>10597.949216680414</v>
      </c>
      <c r="N47"/>
    </row>
    <row r="48" ht="12.75">
      <c r="N48"/>
    </row>
    <row r="49" spans="6:14" ht="12.75">
      <c r="F49" s="23"/>
      <c r="G49" s="3" t="s">
        <v>19</v>
      </c>
      <c r="J49" s="23"/>
      <c r="K49" s="23"/>
      <c r="L49" s="20">
        <f>L47/(1-L11)</f>
        <v>13415.1255907347</v>
      </c>
      <c r="M49" s="42">
        <f>+L49/K5</f>
        <v>0.134151255907347</v>
      </c>
      <c r="N49" s="43" t="s">
        <v>32</v>
      </c>
    </row>
    <row r="50" spans="7:15" ht="12.75">
      <c r="G50" s="1" t="s">
        <v>11</v>
      </c>
      <c r="L50" s="32">
        <f>K5</f>
        <v>100000</v>
      </c>
      <c r="M50" s="33"/>
      <c r="O50"/>
    </row>
    <row r="51" spans="7:15" ht="12.75">
      <c r="G51" s="1"/>
      <c r="L51" s="33"/>
      <c r="M51" s="33"/>
      <c r="O51"/>
    </row>
    <row r="52" spans="7:15" ht="12.75">
      <c r="G52" s="3" t="s">
        <v>15</v>
      </c>
      <c r="L52" s="31">
        <f>+L49+K5</f>
        <v>113415.12559073471</v>
      </c>
      <c r="M52" s="31"/>
      <c r="O52"/>
    </row>
    <row r="53" spans="7:15" ht="12.75">
      <c r="G53" s="1"/>
      <c r="O53"/>
    </row>
    <row r="54" spans="7:15" ht="12.75">
      <c r="G54" s="3" t="s">
        <v>12</v>
      </c>
      <c r="L54" s="34">
        <f>+(L52-D19)*L11</f>
        <v>23029.67637405429</v>
      </c>
      <c r="M54" s="33"/>
      <c r="O54"/>
    </row>
    <row r="55" spans="9:15" ht="12.75">
      <c r="I55" s="1"/>
      <c r="O55"/>
    </row>
    <row r="56" spans="7:15" ht="12.75">
      <c r="G56" s="3" t="s">
        <v>14</v>
      </c>
      <c r="I56" s="1"/>
      <c r="L56" s="35">
        <f>+L52-L54</f>
        <v>90385.44921668043</v>
      </c>
      <c r="M56" s="35"/>
      <c r="O56"/>
    </row>
    <row r="57" ht="12.75">
      <c r="O57"/>
    </row>
    <row r="58" spans="7:15" ht="12.75">
      <c r="G58" s="1" t="s">
        <v>13</v>
      </c>
      <c r="L58" s="34">
        <f>+M44</f>
        <v>9614.55078331959</v>
      </c>
      <c r="M58" s="20"/>
      <c r="O58"/>
    </row>
    <row r="59" spans="7:15" ht="12.75">
      <c r="G59" s="1"/>
      <c r="L59" s="20"/>
      <c r="M59" s="20"/>
      <c r="O59"/>
    </row>
    <row r="60" spans="7:15" ht="13.5" thickBot="1">
      <c r="G60" s="3" t="s">
        <v>16</v>
      </c>
      <c r="L60" s="40">
        <f>+L56+L58</f>
        <v>100000.00000000001</v>
      </c>
      <c r="M60" s="20"/>
      <c r="O60"/>
    </row>
    <row r="61" spans="12:13" ht="13.5" thickTop="1">
      <c r="L61" s="30"/>
      <c r="M61" s="30"/>
    </row>
    <row r="62" spans="12:13" ht="12.75">
      <c r="L62" s="30"/>
      <c r="M62" s="30"/>
    </row>
    <row r="63" spans="12:13" ht="12.75">
      <c r="L63" s="30"/>
      <c r="M63" s="30"/>
    </row>
    <row r="64" spans="12:13" ht="12.75">
      <c r="L64" s="30"/>
      <c r="M64" s="30"/>
    </row>
    <row r="65" spans="12:13" ht="12.75">
      <c r="L65" s="30"/>
      <c r="M65" s="30"/>
    </row>
    <row r="66" spans="7:12" ht="12.75">
      <c r="G66" s="1" t="s">
        <v>3</v>
      </c>
      <c r="L66" s="30"/>
    </row>
    <row r="67" spans="6:13" ht="12.75">
      <c r="F67" s="4"/>
      <c r="G67" s="3" t="s">
        <v>42</v>
      </c>
      <c r="H67" s="16"/>
      <c r="I67" s="4"/>
      <c r="J67" s="4"/>
      <c r="K67" s="4" t="s">
        <v>4</v>
      </c>
      <c r="M67" s="4"/>
    </row>
    <row r="68" spans="6:13" ht="12.75">
      <c r="F68" s="8"/>
      <c r="G68" s="1"/>
      <c r="I68" s="5" t="s">
        <v>5</v>
      </c>
      <c r="J68" s="5" t="s">
        <v>6</v>
      </c>
      <c r="K68" s="5" t="s">
        <v>6</v>
      </c>
      <c r="M68" s="8"/>
    </row>
    <row r="69" ht="12.75">
      <c r="G69" s="1"/>
    </row>
    <row r="70" spans="6:13" ht="12.75">
      <c r="F70" s="17"/>
      <c r="G70" s="1" t="s">
        <v>46</v>
      </c>
      <c r="I70" s="53">
        <v>0.4423</v>
      </c>
      <c r="J70" s="59">
        <v>0.06796</v>
      </c>
      <c r="K70" s="53">
        <f>I70*(1-D80)*J70</f>
        <v>0.030058708000000003</v>
      </c>
      <c r="M70" s="17"/>
    </row>
    <row r="71" spans="6:13" ht="12.75">
      <c r="F71" s="17"/>
      <c r="G71" s="1" t="s">
        <v>47</v>
      </c>
      <c r="I71" s="53">
        <v>0.0503</v>
      </c>
      <c r="J71" s="53">
        <v>0.0528</v>
      </c>
      <c r="K71" s="53">
        <f>I71*(1-D81)*J71</f>
        <v>0.00265584</v>
      </c>
      <c r="M71" s="17"/>
    </row>
    <row r="72" spans="6:13" ht="12.75">
      <c r="F72" s="17"/>
      <c r="G72" s="1" t="s">
        <v>7</v>
      </c>
      <c r="I72" s="53">
        <v>0</v>
      </c>
      <c r="J72" s="53">
        <v>0</v>
      </c>
      <c r="K72" s="53">
        <f>I72*J72</f>
        <v>0</v>
      </c>
      <c r="M72" s="17"/>
    </row>
    <row r="73" spans="6:13" ht="12.75">
      <c r="F73" s="17"/>
      <c r="G73" s="1" t="s">
        <v>8</v>
      </c>
      <c r="I73" s="54">
        <v>0.5074</v>
      </c>
      <c r="J73" s="53">
        <v>0.101</v>
      </c>
      <c r="K73" s="54">
        <f>I73*J73</f>
        <v>0.0512474</v>
      </c>
      <c r="M73" s="36"/>
    </row>
    <row r="74" spans="6:13" ht="13.5" thickBot="1">
      <c r="F74" s="17"/>
      <c r="G74" s="3" t="s">
        <v>9</v>
      </c>
      <c r="H74" s="16"/>
      <c r="I74" s="18">
        <f>I70+I72+I73+I71</f>
        <v>1</v>
      </c>
      <c r="J74" s="17"/>
      <c r="K74" s="37">
        <f>K70+K72+K73+K71</f>
        <v>0.08396194800000001</v>
      </c>
      <c r="M74" s="36"/>
    </row>
    <row r="75" ht="13.5" thickTop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&amp;RPrepared by:  K. Wassenberg
&amp;D</oddHeader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NWN User</dc:creator>
  <cp:keywords/>
  <dc:description/>
  <cp:lastModifiedBy>King, Onita</cp:lastModifiedBy>
  <cp:lastPrinted>2014-10-20T17:14:44Z</cp:lastPrinted>
  <dcterms:created xsi:type="dcterms:W3CDTF">2001-09-06T16:09:13Z</dcterms:created>
  <dcterms:modified xsi:type="dcterms:W3CDTF">2018-02-21T00:29:30Z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0x010100EA31FB47D9B4FF499BF8A9C467F707F0</vt:lpwstr>
  </property>
  <property fmtid="{D5CDD505-2E9C-101B-9397-08002B2CF9AE}" pid="3" name="Year">
    <vt:lpwstr/>
  </property>
  <property fmtid="{D5CDD505-2E9C-101B-9397-08002B2CF9AE}" pid="4" name="Status">
    <vt:lpwstr/>
  </property>
  <property fmtid="{D5CDD505-2E9C-101B-9397-08002B2CF9AE}" pid="5" name="Confidentiality">
    <vt:lpwstr>None</vt:lpwstr>
  </property>
  <property fmtid="{D5CDD505-2E9C-101B-9397-08002B2CF9AE}" pid="6" name="DocumentDescription">
    <vt:lpwstr>NEW-NWNs-WUTC-Advice-18-01-Schedule-E-Support-xls-02-21-2018</vt:lpwstr>
  </property>
  <property fmtid="{D5CDD505-2E9C-101B-9397-08002B2CF9AE}" pid="7" name="EFilingId">
    <vt:lpwstr>8976.00000000000</vt:lpwstr>
  </property>
  <property fmtid="{D5CDD505-2E9C-101B-9397-08002B2CF9AE}" pid="8" name="DocumentSetType">
    <vt:lpwstr>Workpapers</vt:lpwstr>
  </property>
  <property fmtid="{D5CDD505-2E9C-101B-9397-08002B2CF9AE}" pid="9" name="IsDocumentOrder">
    <vt:lpwstr>0</vt:lpwstr>
  </property>
  <property fmtid="{D5CDD505-2E9C-101B-9397-08002B2CF9AE}" pid="10" name="IsHighlyConfidential">
    <vt:lpwstr>0</vt:lpwstr>
  </property>
  <property fmtid="{D5CDD505-2E9C-101B-9397-08002B2CF9AE}" pid="11" name="CaseCompanyNames">
    <vt:lpwstr>Northwest Natural Gas Company</vt:lpwstr>
  </property>
  <property fmtid="{D5CDD505-2E9C-101B-9397-08002B2CF9AE}" pid="12" name="IsConfidential">
    <vt:lpwstr>0</vt:lpwstr>
  </property>
  <property fmtid="{D5CDD505-2E9C-101B-9397-08002B2CF9AE}" pid="13" name="IsEFSEC">
    <vt:lpwstr>0</vt:lpwstr>
  </property>
  <property fmtid="{D5CDD505-2E9C-101B-9397-08002B2CF9AE}" pid="14" name="DocketNumber">
    <vt:lpwstr>180158</vt:lpwstr>
  </property>
  <property fmtid="{D5CDD505-2E9C-101B-9397-08002B2CF9AE}" pid="15" name="Date1">
    <vt:lpwstr>2018-02-21T00:00:00Z</vt:lpwstr>
  </property>
  <property fmtid="{D5CDD505-2E9C-101B-9397-08002B2CF9AE}" pid="16" name="Nickname">
    <vt:lpwstr/>
  </property>
  <property fmtid="{D5CDD505-2E9C-101B-9397-08002B2CF9AE}" pid="17" name="CaseType">
    <vt:lpwstr>Tariff Revision</vt:lpwstr>
  </property>
  <property fmtid="{D5CDD505-2E9C-101B-9397-08002B2CF9AE}" pid="18" name="OpenedDate">
    <vt:lpwstr>2018-02-21T00:00:00Z</vt:lpwstr>
  </property>
  <property fmtid="{D5CDD505-2E9C-101B-9397-08002B2CF9AE}" pid="19" name="Prefix">
    <vt:lpwstr>UG</vt:lpwstr>
  </property>
  <property fmtid="{D5CDD505-2E9C-101B-9397-08002B2CF9AE}" pid="20" name="IndustryCode">
    <vt:lpwstr>150</vt:lpwstr>
  </property>
  <property fmtid="{D5CDD505-2E9C-101B-9397-08002B2CF9AE}" pid="21" name="CaseStatus">
    <vt:lpwstr>Closed</vt:lpwstr>
  </property>
  <property fmtid="{D5CDD505-2E9C-101B-9397-08002B2CF9AE}" pid="22" name="_docset_NoMedatataSyncRequired">
    <vt:lpwstr>False</vt:lpwstr>
  </property>
</Properties>
</file>