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1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ustom.xml" ContentType="application/vnd.openxmlformats-officedocument.custom-properties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8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10920" tabRatio="782" activeTab="2"/>
  </bookViews>
  <sheets>
    <sheet name="References" sheetId="5" r:id="rId1"/>
    <sheet name="DF Calc (Mason Co.)" sheetId="6" r:id="rId2"/>
    <sheet name="Prop. Rates" sheetId="9" r:id="rId3"/>
    <sheet name="Co Cust Cnt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 localSheetId="3">[2]Hidden!#REF!</definedName>
    <definedName name="ACCT">[1]Hidden!$D$11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3">#REF!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 localSheetId="3">#REF!</definedName>
    <definedName name="CheckTotals">#REF!</definedName>
    <definedName name="colgroup">[1]Orientation!$G$6</definedName>
    <definedName name="colsegment">[1]Orientation!$F$6</definedName>
    <definedName name="CRCTable" localSheetId="3">#REF!</definedName>
    <definedName name="CRCTable">#REF!</definedName>
    <definedName name="CRCTableOLD" localSheetId="3">#REF!</definedName>
    <definedName name="CRCTableOLD">#REF!</definedName>
    <definedName name="CriteriaType">[5]ControlPanel!$Z$2:$Z$5</definedName>
    <definedName name="Cutomers">#REF!</definedName>
    <definedName name="_xlnm.Database" localSheetId="3">#REF!</definedName>
    <definedName name="_xlnm.Database">#REF!</definedName>
    <definedName name="Database1" localSheetId="3">#REF!</definedName>
    <definedName name="Database1">#REF!</definedName>
    <definedName name="DEPT">[2]Hidden!#REF!</definedName>
    <definedName name="District">'[6]Vashon BS'!#REF!</definedName>
    <definedName name="DistrictNum" localSheetId="3">#REF!</definedName>
    <definedName name="DistrictNum">#REF!</definedName>
    <definedName name="drlFilter">[1]Settings!$D$27</definedName>
    <definedName name="End" localSheetId="3">#REF!</definedName>
    <definedName name="End">#REF!</definedName>
    <definedName name="ExcludeIC">'[6]Vashon BS'!#REF!</definedName>
    <definedName name="FBTable" localSheetId="3">#REF!</definedName>
    <definedName name="FBTable">#REF!</definedName>
    <definedName name="FBTableOld" localSheetId="3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 localSheetId="3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 localSheetId="3">#REF!</definedName>
    <definedName name="master_def">#REF!</definedName>
    <definedName name="MemoAttachment" localSheetId="3">#REF!</definedName>
    <definedName name="MemoAttachment">#REF!</definedName>
    <definedName name="MetaSet">[1]Orientation!$C$22</definedName>
    <definedName name="NewOnlyOrg">#N/A</definedName>
    <definedName name="NOTES" localSheetId="3">#REF!</definedName>
    <definedName name="NOTES">#REF!</definedName>
    <definedName name="NR" localSheetId="3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 localSheetId="3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3">'Co Cust Cnt'!$A$1:$D$85</definedName>
    <definedName name="_xlnm.Print_Area" localSheetId="1">'DF Calc (Mason Co.)'!$A$1:$S$94</definedName>
    <definedName name="_xlnm.Print_Area">#REF!</definedName>
    <definedName name="Print_Area_MI" localSheetId="3">#REF!</definedName>
    <definedName name="Print_Area_MI">#REF!</definedName>
    <definedName name="Print_Area1" localSheetId="3">#REF!</definedName>
    <definedName name="Print_Area1">#REF!</definedName>
    <definedName name="Print_Area2" localSheetId="3">#REF!</definedName>
    <definedName name="Print_Area2">#REF!</definedName>
    <definedName name="Print_Area3" localSheetId="3">#REF!</definedName>
    <definedName name="Print_Area3">#REF!</definedName>
    <definedName name="Print_Area5" localSheetId="3">#REF!</definedName>
    <definedName name="Print_Area5">#REF!</definedName>
    <definedName name="_xlnm.Print_Titles" localSheetId="3">'Co Cust Cnt'!$A:$A,'Co Cust Cnt'!$5:$5</definedName>
    <definedName name="_xlnm.Print_Titles" localSheetId="1">'DF Calc (Mason Co.)'!$5:$5</definedName>
    <definedName name="_xlnm.Print_Titles" localSheetId="2">'Prop. Rates'!$1:$5</definedName>
    <definedName name="Print1" localSheetId="3">#REF!</definedName>
    <definedName name="Print1">#REF!</definedName>
    <definedName name="Print2" localSheetId="3">#REF!</definedName>
    <definedName name="Print2">#REF!</definedName>
    <definedName name="Print5" localSheetId="3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 localSheetId="3">[5]ControlPanel!$X$2:$X$8</definedName>
    <definedName name="ReportNames">[8]ControlPanel!$S$2:$S$16</definedName>
    <definedName name="ReportVersion">[1]Settings!$D$5</definedName>
    <definedName name="RetainedEarnings">#REF!</definedName>
    <definedName name="RevCust" localSheetId="3">[9]RevenuesCust!#REF!</definedName>
    <definedName name="RevCust">[9]RevenuesCust!#REF!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>#REF!</definedName>
    <definedName name="TemplateStart">#REF!</definedName>
    <definedName name="TheTable" localSheetId="3">#REF!</definedName>
    <definedName name="TheTable">#REF!</definedName>
    <definedName name="TheTableOLD" localSheetId="3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 localSheetId="3">#REF!</definedName>
    <definedName name="WTable">#REF!</definedName>
    <definedName name="WTableOld" localSheetId="3">#REF!</definedName>
    <definedName name="WTableOld">#REF!</definedName>
    <definedName name="ww">#REF!</definedName>
    <definedName name="xperiod">[1]Orientation!$G$15</definedName>
    <definedName name="xtabin">[2]Hidden!#REF!</definedName>
    <definedName name="xx" localSheetId="3">#REF!</definedName>
    <definedName name="xx">#REF!</definedName>
    <definedName name="xxx" localSheetId="3">#REF!</definedName>
    <definedName name="xxx">#REF!</definedName>
    <definedName name="xxxx" localSheetId="3">#REF!</definedName>
    <definedName name="xxxx">#REF!</definedName>
    <definedName name="YearMonth">'[6]Vashon BS'!#REF!</definedName>
    <definedName name="YWMedWasteDisp">#N/A</definedName>
  </definedNames>
  <calcPr calcId="145621" concurrentManualCount="4"/>
</workbook>
</file>

<file path=xl/calcChain.xml><?xml version="1.0" encoding="utf-8"?>
<calcChain xmlns="http://schemas.openxmlformats.org/spreadsheetml/2006/main">
  <c r="C67" i="9" l="1"/>
  <c r="C65" i="9"/>
  <c r="C66" i="9" l="1"/>
  <c r="D66" i="9" s="1"/>
  <c r="D67" i="9"/>
  <c r="C68" i="9"/>
  <c r="D68" i="9" s="1"/>
  <c r="C69" i="9"/>
  <c r="D69" i="9" s="1"/>
  <c r="C70" i="9"/>
  <c r="D70" i="9" s="1"/>
  <c r="C71" i="9"/>
  <c r="D71" i="9" s="1"/>
  <c r="C72" i="9"/>
  <c r="D72" i="9" s="1"/>
  <c r="D65" i="9"/>
  <c r="B54" i="5"/>
  <c r="C28" i="9" l="1"/>
  <c r="C18" i="9"/>
  <c r="C104" i="9" l="1"/>
  <c r="D104" i="9" s="1"/>
  <c r="C103" i="9"/>
  <c r="D103" i="9" s="1"/>
  <c r="C102" i="9"/>
  <c r="D102" i="9" s="1"/>
  <c r="C101" i="9"/>
  <c r="D101" i="9" s="1"/>
  <c r="C99" i="9"/>
  <c r="D99" i="9" s="1"/>
  <c r="C98" i="9"/>
  <c r="D98" i="9" s="1"/>
  <c r="C97" i="9"/>
  <c r="D97" i="9" s="1"/>
  <c r="C96" i="9"/>
  <c r="D96" i="9" s="1"/>
  <c r="C94" i="9"/>
  <c r="D94" i="9" s="1"/>
  <c r="C93" i="9"/>
  <c r="D93" i="9" s="1"/>
  <c r="C92" i="9"/>
  <c r="D92" i="9" s="1"/>
  <c r="C91" i="9"/>
  <c r="D91" i="9" s="1"/>
  <c r="C90" i="9"/>
  <c r="D90" i="9" s="1"/>
  <c r="C87" i="9"/>
  <c r="D87" i="9" s="1"/>
  <c r="C86" i="9"/>
  <c r="D86" i="9" s="1"/>
  <c r="C85" i="9"/>
  <c r="D85" i="9" s="1"/>
  <c r="C84" i="9"/>
  <c r="D84" i="9" s="1"/>
  <c r="C83" i="9"/>
  <c r="D83" i="9" s="1"/>
  <c r="C80" i="9"/>
  <c r="D80" i="9" s="1"/>
  <c r="C79" i="9"/>
  <c r="D79" i="9" s="1"/>
  <c r="C78" i="9"/>
  <c r="D78" i="9" s="1"/>
  <c r="C77" i="9"/>
  <c r="D77" i="9" s="1"/>
  <c r="C61" i="9"/>
  <c r="C62" i="9" s="1"/>
  <c r="D62" i="9" s="1"/>
  <c r="C58" i="9"/>
  <c r="D58" i="9" s="1"/>
  <c r="C57" i="9"/>
  <c r="D57" i="9" s="1"/>
  <c r="C56" i="9"/>
  <c r="D56" i="9" s="1"/>
  <c r="C55" i="9"/>
  <c r="D55" i="9" s="1"/>
  <c r="C52" i="9"/>
  <c r="D52" i="9" s="1"/>
  <c r="C51" i="9"/>
  <c r="D51" i="9" s="1"/>
  <c r="C47" i="9"/>
  <c r="C48" i="9" s="1"/>
  <c r="D48" i="9" s="1"/>
  <c r="C44" i="9"/>
  <c r="D44" i="9" s="1"/>
  <c r="C43" i="9"/>
  <c r="D43" i="9" s="1"/>
  <c r="C42" i="9"/>
  <c r="D42" i="9" s="1"/>
  <c r="C41" i="9"/>
  <c r="D41" i="9" s="1"/>
  <c r="C39" i="9"/>
  <c r="D39" i="9" s="1"/>
  <c r="C38" i="9"/>
  <c r="D38" i="9" s="1"/>
  <c r="D28" i="9"/>
  <c r="D18" i="9"/>
  <c r="C35" i="9"/>
  <c r="D35" i="9" s="1"/>
  <c r="C34" i="9"/>
  <c r="D34" i="9" s="1"/>
  <c r="C33" i="9"/>
  <c r="D33" i="9" s="1"/>
  <c r="C32" i="9"/>
  <c r="D32" i="9" s="1"/>
  <c r="C31" i="9"/>
  <c r="D31" i="9" s="1"/>
  <c r="C30" i="9"/>
  <c r="D30" i="9" s="1"/>
  <c r="C29" i="9"/>
  <c r="D29" i="9" s="1"/>
  <c r="C27" i="9"/>
  <c r="D27" i="9" s="1"/>
  <c r="C26" i="9"/>
  <c r="D26" i="9" s="1"/>
  <c r="C25" i="9"/>
  <c r="D25" i="9" s="1"/>
  <c r="C24" i="9"/>
  <c r="D24" i="9" s="1"/>
  <c r="C21" i="9"/>
  <c r="D21" i="9" s="1"/>
  <c r="C20" i="9"/>
  <c r="D20" i="9" s="1"/>
  <c r="C19" i="9"/>
  <c r="D19" i="9" s="1"/>
  <c r="C17" i="9"/>
  <c r="D17" i="9" s="1"/>
  <c r="C16" i="9"/>
  <c r="D16" i="9" s="1"/>
  <c r="C15" i="9"/>
  <c r="D15" i="9" s="1"/>
  <c r="C14" i="9"/>
  <c r="D14" i="9" s="1"/>
  <c r="C13" i="9"/>
  <c r="D13" i="9" s="1"/>
  <c r="C12" i="9"/>
  <c r="D12" i="9" s="1"/>
  <c r="C11" i="9"/>
  <c r="D11" i="9" s="1"/>
  <c r="C8" i="9"/>
  <c r="D8" i="9" s="1"/>
  <c r="D61" i="9" l="1"/>
  <c r="D47" i="9"/>
  <c r="B52" i="5"/>
  <c r="A1" i="6" l="1"/>
  <c r="D83" i="1" l="1"/>
  <c r="D82" i="1"/>
  <c r="D81" i="1"/>
  <c r="D80" i="1"/>
  <c r="D79" i="1"/>
  <c r="D78" i="1"/>
  <c r="D77" i="1"/>
  <c r="D76" i="1"/>
  <c r="D75" i="1"/>
  <c r="D74" i="1"/>
  <c r="D73" i="1"/>
  <c r="D72" i="1"/>
  <c r="D71" i="1"/>
  <c r="D68" i="1"/>
  <c r="C68" i="1"/>
  <c r="D66" i="1"/>
  <c r="D65" i="1"/>
  <c r="D63" i="1"/>
  <c r="D62" i="1"/>
  <c r="D60" i="1"/>
  <c r="D56" i="1"/>
  <c r="B56" i="1"/>
  <c r="D54" i="1"/>
  <c r="C54" i="1"/>
  <c r="D53" i="1"/>
  <c r="C53" i="1"/>
  <c r="D52" i="1"/>
  <c r="C52" i="1"/>
  <c r="D50" i="1"/>
  <c r="C50" i="1"/>
  <c r="B50" i="1"/>
  <c r="D49" i="1"/>
  <c r="C49" i="1"/>
  <c r="D48" i="1"/>
  <c r="C48" i="1"/>
  <c r="D46" i="1"/>
  <c r="C46" i="1"/>
  <c r="D43" i="1"/>
  <c r="B43" i="1"/>
  <c r="D42" i="1"/>
  <c r="C42" i="1"/>
  <c r="D41" i="1"/>
  <c r="C41" i="1"/>
  <c r="D40" i="1"/>
  <c r="C40" i="1"/>
  <c r="D38" i="1"/>
  <c r="C38" i="1"/>
  <c r="D37" i="1"/>
  <c r="C37" i="1"/>
  <c r="D36" i="1"/>
  <c r="C36" i="1"/>
  <c r="D35" i="1"/>
  <c r="C35" i="1"/>
  <c r="D34" i="1"/>
  <c r="C34" i="1"/>
  <c r="D32" i="1"/>
  <c r="C32" i="1"/>
  <c r="D31" i="1"/>
  <c r="C31" i="1"/>
  <c r="D30" i="1"/>
  <c r="C30" i="1"/>
  <c r="D29" i="1"/>
  <c r="C29" i="1"/>
  <c r="D28" i="1"/>
  <c r="C28" i="1"/>
  <c r="D26" i="1"/>
  <c r="C26" i="1"/>
  <c r="D25" i="1"/>
  <c r="C25" i="1"/>
  <c r="D24" i="1"/>
  <c r="C24" i="1"/>
  <c r="D23" i="1"/>
  <c r="C23" i="1"/>
  <c r="D22" i="1"/>
  <c r="C22" i="1"/>
  <c r="D21" i="1"/>
  <c r="C21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C90" i="6"/>
  <c r="C91" i="6" s="1"/>
  <c r="M84" i="6"/>
  <c r="G84" i="6"/>
  <c r="M83" i="6"/>
  <c r="G83" i="6"/>
  <c r="M82" i="6"/>
  <c r="G82" i="6"/>
  <c r="M81" i="6"/>
  <c r="G81" i="6"/>
  <c r="M80" i="6"/>
  <c r="G80" i="6"/>
  <c r="M79" i="6"/>
  <c r="G79" i="6"/>
  <c r="M78" i="6"/>
  <c r="G78" i="6"/>
  <c r="M77" i="6"/>
  <c r="G77" i="6"/>
  <c r="M76" i="6"/>
  <c r="G76" i="6"/>
  <c r="M75" i="6"/>
  <c r="G75" i="6"/>
  <c r="M74" i="6"/>
  <c r="G74" i="6"/>
  <c r="M73" i="6"/>
  <c r="G73" i="6"/>
  <c r="M72" i="6"/>
  <c r="G72" i="6"/>
  <c r="M71" i="6"/>
  <c r="M70" i="6"/>
  <c r="G70" i="6"/>
  <c r="M69" i="6"/>
  <c r="G69" i="6"/>
  <c r="M68" i="6"/>
  <c r="G68" i="6"/>
  <c r="M67" i="6"/>
  <c r="G67" i="6"/>
  <c r="M66" i="6"/>
  <c r="G66" i="6"/>
  <c r="M64" i="6"/>
  <c r="G64" i="6"/>
  <c r="M63" i="6"/>
  <c r="G63" i="6"/>
  <c r="M62" i="6"/>
  <c r="G62" i="6"/>
  <c r="M61" i="6"/>
  <c r="G61" i="6"/>
  <c r="M60" i="6"/>
  <c r="G60" i="6"/>
  <c r="M59" i="6"/>
  <c r="G59" i="6"/>
  <c r="M58" i="6"/>
  <c r="G58" i="6"/>
  <c r="M57" i="6"/>
  <c r="G57" i="6"/>
  <c r="M56" i="6"/>
  <c r="G56" i="6"/>
  <c r="D52" i="6"/>
  <c r="D51" i="6"/>
  <c r="M49" i="6"/>
  <c r="G49" i="6"/>
  <c r="M48" i="6"/>
  <c r="G48" i="6"/>
  <c r="M47" i="6"/>
  <c r="G47" i="6"/>
  <c r="M46" i="6"/>
  <c r="G46" i="6"/>
  <c r="D46" i="6"/>
  <c r="M45" i="6"/>
  <c r="G45" i="6"/>
  <c r="M44" i="6"/>
  <c r="G44" i="6"/>
  <c r="M43" i="6"/>
  <c r="G43" i="6"/>
  <c r="D42" i="6"/>
  <c r="M40" i="6"/>
  <c r="G40" i="6"/>
  <c r="M39" i="6"/>
  <c r="G39" i="6"/>
  <c r="M38" i="6"/>
  <c r="G38" i="6"/>
  <c r="M37" i="6"/>
  <c r="G37" i="6"/>
  <c r="M36" i="6"/>
  <c r="G36" i="6"/>
  <c r="M35" i="6"/>
  <c r="G35" i="6"/>
  <c r="M34" i="6"/>
  <c r="G34" i="6"/>
  <c r="M32" i="6"/>
  <c r="P32" i="6" s="1"/>
  <c r="G32" i="6"/>
  <c r="M31" i="6"/>
  <c r="P31" i="6" s="1"/>
  <c r="G31" i="6"/>
  <c r="M30" i="6"/>
  <c r="P30" i="6" s="1"/>
  <c r="G30" i="6"/>
  <c r="M29" i="6"/>
  <c r="P29" i="6" s="1"/>
  <c r="G29" i="6"/>
  <c r="M28" i="6"/>
  <c r="P28" i="6" s="1"/>
  <c r="G28" i="6"/>
  <c r="M26" i="6"/>
  <c r="P26" i="6" s="1"/>
  <c r="G26" i="6"/>
  <c r="M25" i="6"/>
  <c r="P25" i="6" s="1"/>
  <c r="G25" i="6"/>
  <c r="M24" i="6"/>
  <c r="P24" i="6" s="1"/>
  <c r="G24" i="6"/>
  <c r="M23" i="6"/>
  <c r="P23" i="6" s="1"/>
  <c r="G23" i="6"/>
  <c r="M22" i="6"/>
  <c r="P22" i="6" s="1"/>
  <c r="M21" i="6"/>
  <c r="P21" i="6" s="1"/>
  <c r="G21" i="6"/>
  <c r="M19" i="6"/>
  <c r="P19" i="6" s="1"/>
  <c r="G19" i="6"/>
  <c r="M18" i="6"/>
  <c r="P18" i="6" s="1"/>
  <c r="G18" i="6"/>
  <c r="M17" i="6"/>
  <c r="P17" i="6" s="1"/>
  <c r="G17" i="6"/>
  <c r="M16" i="6"/>
  <c r="P16" i="6" s="1"/>
  <c r="G16" i="6"/>
  <c r="M13" i="6"/>
  <c r="M14" i="6" s="1"/>
  <c r="P14" i="6" s="1"/>
  <c r="G13" i="6"/>
  <c r="G14" i="6" s="1"/>
  <c r="M12" i="6"/>
  <c r="P12" i="6" s="1"/>
  <c r="G12" i="6"/>
  <c r="M11" i="6"/>
  <c r="P11" i="6" s="1"/>
  <c r="G11" i="6"/>
  <c r="M10" i="6"/>
  <c r="P10" i="6" s="1"/>
  <c r="G10" i="6"/>
  <c r="E10" i="6"/>
  <c r="F10" i="6" s="1"/>
  <c r="M9" i="6"/>
  <c r="P9" i="6" s="1"/>
  <c r="G9" i="6"/>
  <c r="M8" i="6"/>
  <c r="P8" i="6" s="1"/>
  <c r="G8" i="6"/>
  <c r="G22" i="6" s="1"/>
  <c r="M7" i="6"/>
  <c r="P7" i="6" s="1"/>
  <c r="G7" i="6"/>
  <c r="M6" i="6"/>
  <c r="P6" i="6" s="1"/>
  <c r="G6" i="6"/>
  <c r="B53" i="5"/>
  <c r="R61" i="6" s="1"/>
  <c r="G52" i="5"/>
  <c r="C52" i="5"/>
  <c r="G51" i="5"/>
  <c r="G54" i="5" s="1"/>
  <c r="G56" i="5" s="1"/>
  <c r="C51" i="5"/>
  <c r="B12" i="5"/>
  <c r="E74" i="6" s="1"/>
  <c r="F74" i="6" s="1"/>
  <c r="E11" i="5"/>
  <c r="B11" i="5"/>
  <c r="E48" i="6" s="1"/>
  <c r="F48" i="6" s="1"/>
  <c r="H10" i="5"/>
  <c r="E10" i="5"/>
  <c r="D10" i="5"/>
  <c r="B10" i="5"/>
  <c r="E82" i="6" s="1"/>
  <c r="F82" i="6" s="1"/>
  <c r="H9" i="5"/>
  <c r="G9" i="5"/>
  <c r="E9" i="5"/>
  <c r="D9" i="5"/>
  <c r="C9" i="5"/>
  <c r="B9" i="5"/>
  <c r="F9" i="5" s="1"/>
  <c r="B8" i="5"/>
  <c r="E8" i="5" s="1"/>
  <c r="E7" i="5"/>
  <c r="B7" i="5"/>
  <c r="H7" i="5" s="1"/>
  <c r="H6" i="5"/>
  <c r="E6" i="5"/>
  <c r="D6" i="5"/>
  <c r="B6" i="5"/>
  <c r="G6" i="5" s="1"/>
  <c r="C53" i="5" l="1"/>
  <c r="D53" i="5"/>
  <c r="S61" i="6" s="1"/>
  <c r="B57" i="5"/>
  <c r="B58" i="5" s="1"/>
  <c r="B60" i="5" s="1"/>
  <c r="E18" i="6"/>
  <c r="F18" i="6" s="1"/>
  <c r="E19" i="6"/>
  <c r="F19" i="6" s="1"/>
  <c r="H19" i="6" s="1"/>
  <c r="E23" i="6"/>
  <c r="F23" i="6" s="1"/>
  <c r="H23" i="6" s="1"/>
  <c r="E29" i="6"/>
  <c r="F29" i="6" s="1"/>
  <c r="E34" i="6"/>
  <c r="F34" i="6" s="1"/>
  <c r="E39" i="6"/>
  <c r="F39" i="6" s="1"/>
  <c r="E47" i="6"/>
  <c r="F47" i="6" s="1"/>
  <c r="E59" i="6"/>
  <c r="F59" i="6" s="1"/>
  <c r="H59" i="6" s="1"/>
  <c r="E66" i="6"/>
  <c r="F66" i="6" s="1"/>
  <c r="H66" i="6" s="1"/>
  <c r="E70" i="6"/>
  <c r="F70" i="6" s="1"/>
  <c r="E73" i="6"/>
  <c r="F73" i="6" s="1"/>
  <c r="H73" i="6" s="1"/>
  <c r="E77" i="6"/>
  <c r="F77" i="6" s="1"/>
  <c r="H77" i="6" s="1"/>
  <c r="E81" i="6"/>
  <c r="F81" i="6" s="1"/>
  <c r="H81" i="6" s="1"/>
  <c r="F8" i="5"/>
  <c r="C8" i="5"/>
  <c r="F11" i="5"/>
  <c r="C12" i="5"/>
  <c r="G12" i="5"/>
  <c r="E9" i="6"/>
  <c r="F9" i="6" s="1"/>
  <c r="H9" i="6" s="1"/>
  <c r="E13" i="6"/>
  <c r="F13" i="6" s="1"/>
  <c r="H13" i="6" s="1"/>
  <c r="E14" i="6"/>
  <c r="F14" i="6" s="1"/>
  <c r="E17" i="6"/>
  <c r="F17" i="6" s="1"/>
  <c r="E28" i="6"/>
  <c r="F28" i="6" s="1"/>
  <c r="E32" i="6"/>
  <c r="F32" i="6" s="1"/>
  <c r="H32" i="6" s="1"/>
  <c r="E38" i="6"/>
  <c r="F38" i="6" s="1"/>
  <c r="E45" i="6"/>
  <c r="F45" i="6" s="1"/>
  <c r="E46" i="6"/>
  <c r="F46" i="6" s="1"/>
  <c r="E58" i="6"/>
  <c r="F58" i="6" s="1"/>
  <c r="H58" i="6" s="1"/>
  <c r="E64" i="6"/>
  <c r="F64" i="6" s="1"/>
  <c r="H64" i="6" s="1"/>
  <c r="E69" i="6"/>
  <c r="F69" i="6" s="1"/>
  <c r="E72" i="6"/>
  <c r="F72" i="6" s="1"/>
  <c r="H72" i="6" s="1"/>
  <c r="E76" i="6"/>
  <c r="F76" i="6" s="1"/>
  <c r="E80" i="6"/>
  <c r="F80" i="6" s="1"/>
  <c r="H80" i="6" s="1"/>
  <c r="E84" i="6"/>
  <c r="F84" i="6" s="1"/>
  <c r="H84" i="6" s="1"/>
  <c r="F12" i="5"/>
  <c r="G8" i="5"/>
  <c r="F6" i="5"/>
  <c r="D8" i="5"/>
  <c r="C11" i="5"/>
  <c r="D12" i="5"/>
  <c r="E7" i="6"/>
  <c r="F7" i="6" s="1"/>
  <c r="H7" i="6" s="1"/>
  <c r="E8" i="6"/>
  <c r="F8" i="6" s="1"/>
  <c r="H8" i="6" s="1"/>
  <c r="E12" i="6"/>
  <c r="F12" i="6" s="1"/>
  <c r="E16" i="6"/>
  <c r="F16" i="6" s="1"/>
  <c r="E22" i="6"/>
  <c r="F22" i="6" s="1"/>
  <c r="E25" i="6"/>
  <c r="F25" i="6" s="1"/>
  <c r="E26" i="6"/>
  <c r="F26" i="6" s="1"/>
  <c r="E31" i="6"/>
  <c r="F31" i="6" s="1"/>
  <c r="H31" i="6" s="1"/>
  <c r="E36" i="6"/>
  <c r="F36" i="6" s="1"/>
  <c r="E37" i="6"/>
  <c r="F37" i="6" s="1"/>
  <c r="E44" i="6"/>
  <c r="F44" i="6" s="1"/>
  <c r="E49" i="6"/>
  <c r="F49" i="6" s="1"/>
  <c r="E57" i="6"/>
  <c r="F57" i="6" s="1"/>
  <c r="H57" i="6" s="1"/>
  <c r="E61" i="6"/>
  <c r="F61" i="6" s="1"/>
  <c r="H61" i="6" s="1"/>
  <c r="E63" i="6"/>
  <c r="F63" i="6" s="1"/>
  <c r="E68" i="6"/>
  <c r="F68" i="6" s="1"/>
  <c r="H68" i="6" s="1"/>
  <c r="E75" i="6"/>
  <c r="F75" i="6" s="1"/>
  <c r="E79" i="6"/>
  <c r="F79" i="6" s="1"/>
  <c r="E83" i="6"/>
  <c r="F83" i="6" s="1"/>
  <c r="F7" i="5"/>
  <c r="C7" i="5"/>
  <c r="G7" i="5"/>
  <c r="H8" i="5"/>
  <c r="F10" i="5"/>
  <c r="G11" i="5"/>
  <c r="H12" i="5"/>
  <c r="C6" i="5"/>
  <c r="D7" i="5"/>
  <c r="C10" i="5"/>
  <c r="G10" i="5"/>
  <c r="D11" i="5"/>
  <c r="H11" i="5"/>
  <c r="E12" i="5"/>
  <c r="E6" i="6"/>
  <c r="F6" i="6" s="1"/>
  <c r="H6" i="6" s="1"/>
  <c r="E11" i="6"/>
  <c r="F11" i="6" s="1"/>
  <c r="E21" i="6"/>
  <c r="F21" i="6" s="1"/>
  <c r="H21" i="6" s="1"/>
  <c r="E24" i="6"/>
  <c r="F24" i="6" s="1"/>
  <c r="E30" i="6"/>
  <c r="F30" i="6" s="1"/>
  <c r="H30" i="6" s="1"/>
  <c r="E35" i="6"/>
  <c r="F35" i="6" s="1"/>
  <c r="E40" i="6"/>
  <c r="F40" i="6" s="1"/>
  <c r="E43" i="6"/>
  <c r="F43" i="6" s="1"/>
  <c r="E56" i="6"/>
  <c r="F56" i="6" s="1"/>
  <c r="H56" i="6" s="1"/>
  <c r="E60" i="6"/>
  <c r="F60" i="6" s="1"/>
  <c r="H60" i="6" s="1"/>
  <c r="E62" i="6"/>
  <c r="F62" i="6" s="1"/>
  <c r="H62" i="6" s="1"/>
  <c r="E67" i="6"/>
  <c r="F67" i="6" s="1"/>
  <c r="H67" i="6" s="1"/>
  <c r="E71" i="6"/>
  <c r="F71" i="6" s="1"/>
  <c r="H71" i="6" s="1"/>
  <c r="E78" i="6"/>
  <c r="F78" i="6" s="1"/>
  <c r="H78" i="6" s="1"/>
  <c r="P45" i="6"/>
  <c r="P40" i="6"/>
  <c r="P13" i="6"/>
  <c r="H16" i="6"/>
  <c r="P46" i="6"/>
  <c r="H79" i="6"/>
  <c r="H69" i="6"/>
  <c r="H82" i="6"/>
  <c r="H18" i="6"/>
  <c r="H76" i="6"/>
  <c r="H10" i="6"/>
  <c r="H17" i="6"/>
  <c r="H24" i="6"/>
  <c r="H70" i="6"/>
  <c r="H11" i="6"/>
  <c r="H12" i="6"/>
  <c r="H25" i="6"/>
  <c r="H26" i="6"/>
  <c r="H28" i="6"/>
  <c r="H29" i="6"/>
  <c r="H63" i="6"/>
  <c r="H75" i="6"/>
  <c r="H83" i="6"/>
  <c r="H14" i="6"/>
  <c r="H74" i="6"/>
  <c r="F42" i="6"/>
  <c r="H22" i="6"/>
  <c r="P38" i="6"/>
  <c r="H38" i="6"/>
  <c r="P36" i="6"/>
  <c r="H36" i="6"/>
  <c r="P49" i="6"/>
  <c r="H49" i="6"/>
  <c r="P34" i="6"/>
  <c r="P44" i="6"/>
  <c r="H44" i="6"/>
  <c r="P48" i="6"/>
  <c r="H48" i="6"/>
  <c r="H34" i="6"/>
  <c r="P35" i="6"/>
  <c r="H35" i="6"/>
  <c r="P39" i="6"/>
  <c r="H39" i="6"/>
  <c r="F51" i="6"/>
  <c r="P43" i="6"/>
  <c r="H43" i="6"/>
  <c r="H37" i="6"/>
  <c r="P37" i="6"/>
  <c r="H47" i="6"/>
  <c r="P47" i="6"/>
  <c r="H40" i="6"/>
  <c r="H45" i="6"/>
  <c r="H46" i="6"/>
  <c r="H51" i="6" l="1"/>
  <c r="P51" i="6"/>
  <c r="P42" i="6"/>
  <c r="H42" i="6"/>
  <c r="H52" i="6" s="1"/>
  <c r="C93" i="6" s="1"/>
  <c r="F52" i="6"/>
  <c r="C92" i="6" s="1"/>
  <c r="P52" i="6" l="1"/>
  <c r="I82" i="6"/>
  <c r="J82" i="6" s="1"/>
  <c r="K82" i="6" s="1"/>
  <c r="L82" i="6" s="1"/>
  <c r="I78" i="6"/>
  <c r="J78" i="6" s="1"/>
  <c r="K78" i="6" s="1"/>
  <c r="L78" i="6" s="1"/>
  <c r="I74" i="6"/>
  <c r="J74" i="6" s="1"/>
  <c r="K74" i="6" s="1"/>
  <c r="L74" i="6" s="1"/>
  <c r="I83" i="6"/>
  <c r="J83" i="6" s="1"/>
  <c r="K83" i="6" s="1"/>
  <c r="L83" i="6" s="1"/>
  <c r="I79" i="6"/>
  <c r="J79" i="6" s="1"/>
  <c r="K79" i="6" s="1"/>
  <c r="L79" i="6" s="1"/>
  <c r="I75" i="6"/>
  <c r="J75" i="6" s="1"/>
  <c r="K75" i="6" s="1"/>
  <c r="L75" i="6" s="1"/>
  <c r="I84" i="6"/>
  <c r="J84" i="6" s="1"/>
  <c r="K84" i="6" s="1"/>
  <c r="L84" i="6" s="1"/>
  <c r="I80" i="6"/>
  <c r="J80" i="6" s="1"/>
  <c r="K80" i="6" s="1"/>
  <c r="L80" i="6" s="1"/>
  <c r="I76" i="6"/>
  <c r="J76" i="6" s="1"/>
  <c r="K76" i="6" s="1"/>
  <c r="L76" i="6" s="1"/>
  <c r="I81" i="6"/>
  <c r="J81" i="6" s="1"/>
  <c r="K81" i="6" s="1"/>
  <c r="L81" i="6" s="1"/>
  <c r="I77" i="6"/>
  <c r="J77" i="6" s="1"/>
  <c r="K77" i="6" s="1"/>
  <c r="L77" i="6" s="1"/>
  <c r="I73" i="6"/>
  <c r="J73" i="6" s="1"/>
  <c r="K73" i="6" s="1"/>
  <c r="L73" i="6" s="1"/>
  <c r="I69" i="6"/>
  <c r="J69" i="6" s="1"/>
  <c r="K69" i="6" s="1"/>
  <c r="L69" i="6" s="1"/>
  <c r="I72" i="6"/>
  <c r="J72" i="6" s="1"/>
  <c r="K72" i="6" s="1"/>
  <c r="L72" i="6" s="1"/>
  <c r="I71" i="6"/>
  <c r="J71" i="6" s="1"/>
  <c r="K71" i="6" s="1"/>
  <c r="L71" i="6" s="1"/>
  <c r="I67" i="6"/>
  <c r="J67" i="6" s="1"/>
  <c r="K67" i="6" s="1"/>
  <c r="L67" i="6" s="1"/>
  <c r="I62" i="6"/>
  <c r="J62" i="6" s="1"/>
  <c r="K62" i="6" s="1"/>
  <c r="L62" i="6" s="1"/>
  <c r="I60" i="6"/>
  <c r="J60" i="6" s="1"/>
  <c r="K60" i="6" s="1"/>
  <c r="L60" i="6" s="1"/>
  <c r="I47" i="6"/>
  <c r="J47" i="6" s="1"/>
  <c r="K47" i="6" s="1"/>
  <c r="L47" i="6" s="1"/>
  <c r="N47" i="6" s="1"/>
  <c r="S47" i="6" s="1"/>
  <c r="I37" i="6"/>
  <c r="J37" i="6" s="1"/>
  <c r="K37" i="6" s="1"/>
  <c r="L37" i="6" s="1"/>
  <c r="I32" i="6"/>
  <c r="J32" i="6" s="1"/>
  <c r="K32" i="6" s="1"/>
  <c r="L32" i="6" s="1"/>
  <c r="N32" i="6" s="1"/>
  <c r="S32" i="6" s="1"/>
  <c r="I70" i="6"/>
  <c r="J70" i="6" s="1"/>
  <c r="K70" i="6" s="1"/>
  <c r="L70" i="6" s="1"/>
  <c r="I68" i="6"/>
  <c r="J68" i="6" s="1"/>
  <c r="K68" i="6" s="1"/>
  <c r="L68" i="6" s="1"/>
  <c r="I63" i="6"/>
  <c r="J63" i="6" s="1"/>
  <c r="K63" i="6" s="1"/>
  <c r="L63" i="6" s="1"/>
  <c r="I61" i="6"/>
  <c r="J61" i="6" s="1"/>
  <c r="K61" i="6" s="1"/>
  <c r="L61" i="6" s="1"/>
  <c r="I48" i="6"/>
  <c r="J48" i="6" s="1"/>
  <c r="K48" i="6" s="1"/>
  <c r="L48" i="6" s="1"/>
  <c r="N48" i="6" s="1"/>
  <c r="S48" i="6" s="1"/>
  <c r="I43" i="6"/>
  <c r="I38" i="6"/>
  <c r="J38" i="6" s="1"/>
  <c r="K38" i="6" s="1"/>
  <c r="L38" i="6" s="1"/>
  <c r="I34" i="6"/>
  <c r="J34" i="6" s="1"/>
  <c r="K34" i="6" s="1"/>
  <c r="L34" i="6" s="1"/>
  <c r="N34" i="6" s="1"/>
  <c r="S34" i="6" s="1"/>
  <c r="I64" i="6"/>
  <c r="J64" i="6" s="1"/>
  <c r="K64" i="6" s="1"/>
  <c r="L64" i="6" s="1"/>
  <c r="I58" i="6"/>
  <c r="J58" i="6" s="1"/>
  <c r="K58" i="6" s="1"/>
  <c r="L58" i="6" s="1"/>
  <c r="N58" i="6" s="1"/>
  <c r="I57" i="6"/>
  <c r="J57" i="6" s="1"/>
  <c r="K57" i="6" s="1"/>
  <c r="L57" i="6" s="1"/>
  <c r="I49" i="6"/>
  <c r="J49" i="6" s="1"/>
  <c r="K49" i="6" s="1"/>
  <c r="L49" i="6" s="1"/>
  <c r="N49" i="6" s="1"/>
  <c r="S49" i="6" s="1"/>
  <c r="I44" i="6"/>
  <c r="J44" i="6" s="1"/>
  <c r="K44" i="6" s="1"/>
  <c r="L44" i="6" s="1"/>
  <c r="I39" i="6"/>
  <c r="J39" i="6" s="1"/>
  <c r="K39" i="6" s="1"/>
  <c r="L39" i="6" s="1"/>
  <c r="I66" i="6"/>
  <c r="J66" i="6" s="1"/>
  <c r="K66" i="6" s="1"/>
  <c r="L66" i="6" s="1"/>
  <c r="I59" i="6"/>
  <c r="J59" i="6" s="1"/>
  <c r="K59" i="6" s="1"/>
  <c r="L59" i="6" s="1"/>
  <c r="I56" i="6"/>
  <c r="J56" i="6" s="1"/>
  <c r="K56" i="6" s="1"/>
  <c r="L56" i="6" s="1"/>
  <c r="I46" i="6"/>
  <c r="J46" i="6" s="1"/>
  <c r="K46" i="6" s="1"/>
  <c r="L46" i="6" s="1"/>
  <c r="I45" i="6"/>
  <c r="J45" i="6" s="1"/>
  <c r="K45" i="6" s="1"/>
  <c r="L45" i="6" s="1"/>
  <c r="I40" i="6"/>
  <c r="J40" i="6" s="1"/>
  <c r="K40" i="6" s="1"/>
  <c r="L40" i="6" s="1"/>
  <c r="N40" i="6" s="1"/>
  <c r="S40" i="6" s="1"/>
  <c r="I36" i="6"/>
  <c r="J36" i="6" s="1"/>
  <c r="K36" i="6" s="1"/>
  <c r="L36" i="6" s="1"/>
  <c r="I31" i="6"/>
  <c r="J31" i="6" s="1"/>
  <c r="K31" i="6" s="1"/>
  <c r="L31" i="6" s="1"/>
  <c r="N31" i="6" s="1"/>
  <c r="S31" i="6" s="1"/>
  <c r="I25" i="6"/>
  <c r="J25" i="6" s="1"/>
  <c r="K25" i="6" s="1"/>
  <c r="L25" i="6" s="1"/>
  <c r="I21" i="6"/>
  <c r="J21" i="6" s="1"/>
  <c r="K21" i="6" s="1"/>
  <c r="L21" i="6" s="1"/>
  <c r="I16" i="6"/>
  <c r="J16" i="6" s="1"/>
  <c r="K16" i="6" s="1"/>
  <c r="L16" i="6" s="1"/>
  <c r="I11" i="6"/>
  <c r="J11" i="6" s="1"/>
  <c r="K11" i="6" s="1"/>
  <c r="L11" i="6" s="1"/>
  <c r="I7" i="6"/>
  <c r="J7" i="6" s="1"/>
  <c r="K7" i="6" s="1"/>
  <c r="L7" i="6" s="1"/>
  <c r="I26" i="6"/>
  <c r="J26" i="6" s="1"/>
  <c r="K26" i="6" s="1"/>
  <c r="L26" i="6" s="1"/>
  <c r="I22" i="6"/>
  <c r="J22" i="6" s="1"/>
  <c r="K22" i="6" s="1"/>
  <c r="L22" i="6" s="1"/>
  <c r="I17" i="6"/>
  <c r="J17" i="6" s="1"/>
  <c r="K17" i="6" s="1"/>
  <c r="L17" i="6" s="1"/>
  <c r="I12" i="6"/>
  <c r="J12" i="6" s="1"/>
  <c r="K12" i="6" s="1"/>
  <c r="L12" i="6" s="1"/>
  <c r="I8" i="6"/>
  <c r="J8" i="6" s="1"/>
  <c r="K8" i="6" s="1"/>
  <c r="L8" i="6" s="1"/>
  <c r="I35" i="6"/>
  <c r="J35" i="6" s="1"/>
  <c r="K35" i="6" s="1"/>
  <c r="L35" i="6" s="1"/>
  <c r="I23" i="6"/>
  <c r="J23" i="6" s="1"/>
  <c r="K23" i="6" s="1"/>
  <c r="L23" i="6" s="1"/>
  <c r="I18" i="6"/>
  <c r="J18" i="6" s="1"/>
  <c r="K18" i="6" s="1"/>
  <c r="L18" i="6" s="1"/>
  <c r="I13" i="6"/>
  <c r="J13" i="6" s="1"/>
  <c r="K13" i="6" s="1"/>
  <c r="L13" i="6" s="1"/>
  <c r="I9" i="6"/>
  <c r="J9" i="6" s="1"/>
  <c r="K9" i="6" s="1"/>
  <c r="L9" i="6" s="1"/>
  <c r="I30" i="6"/>
  <c r="J30" i="6" s="1"/>
  <c r="K30" i="6" s="1"/>
  <c r="L30" i="6" s="1"/>
  <c r="N30" i="6" s="1"/>
  <c r="S30" i="6" s="1"/>
  <c r="I29" i="6"/>
  <c r="J29" i="6" s="1"/>
  <c r="K29" i="6" s="1"/>
  <c r="L29" i="6" s="1"/>
  <c r="N29" i="6" s="1"/>
  <c r="S29" i="6" s="1"/>
  <c r="I28" i="6"/>
  <c r="J28" i="6" s="1"/>
  <c r="K28" i="6" s="1"/>
  <c r="L28" i="6" s="1"/>
  <c r="I24" i="6"/>
  <c r="J24" i="6" s="1"/>
  <c r="K24" i="6" s="1"/>
  <c r="L24" i="6" s="1"/>
  <c r="I19" i="6"/>
  <c r="J19" i="6" s="1"/>
  <c r="K19" i="6" s="1"/>
  <c r="L19" i="6" s="1"/>
  <c r="I14" i="6"/>
  <c r="J14" i="6" s="1"/>
  <c r="K14" i="6" s="1"/>
  <c r="I10" i="6"/>
  <c r="J10" i="6" s="1"/>
  <c r="K10" i="6" s="1"/>
  <c r="L10" i="6" s="1"/>
  <c r="I6" i="6"/>
  <c r="J6" i="6" s="1"/>
  <c r="I42" i="6" l="1"/>
  <c r="K6" i="6"/>
  <c r="L6" i="6" s="1"/>
  <c r="N24" i="6"/>
  <c r="S24" i="6" s="1"/>
  <c r="N9" i="6"/>
  <c r="S9" i="6" s="1"/>
  <c r="N35" i="6"/>
  <c r="S35" i="6" s="1"/>
  <c r="N22" i="6"/>
  <c r="S22" i="6" s="1"/>
  <c r="N16" i="6"/>
  <c r="S16" i="6" s="1"/>
  <c r="N36" i="6"/>
  <c r="S36" i="6" s="1"/>
  <c r="N56" i="6"/>
  <c r="N44" i="6"/>
  <c r="S44" i="6" s="1"/>
  <c r="N64" i="6"/>
  <c r="N70" i="6"/>
  <c r="N60" i="6"/>
  <c r="N72" i="6"/>
  <c r="N81" i="6"/>
  <c r="N75" i="6"/>
  <c r="N78" i="6"/>
  <c r="N10" i="6"/>
  <c r="S10" i="6" s="1"/>
  <c r="N8" i="6"/>
  <c r="S8" i="6" s="1"/>
  <c r="N26" i="6"/>
  <c r="S26" i="6" s="1"/>
  <c r="N21" i="6"/>
  <c r="N59" i="6"/>
  <c r="N61" i="6"/>
  <c r="N62" i="6"/>
  <c r="N69" i="6"/>
  <c r="N76" i="6"/>
  <c r="N79" i="6"/>
  <c r="N82" i="6"/>
  <c r="N28" i="6"/>
  <c r="S28" i="6" s="1"/>
  <c r="N12" i="6"/>
  <c r="S12" i="6" s="1"/>
  <c r="N7" i="6"/>
  <c r="S7" i="6" s="1"/>
  <c r="N25" i="6"/>
  <c r="S25" i="6" s="1"/>
  <c r="N45" i="6"/>
  <c r="S45" i="6" s="1"/>
  <c r="N66" i="6"/>
  <c r="N57" i="6"/>
  <c r="N38" i="6"/>
  <c r="S38" i="6" s="1"/>
  <c r="N63" i="6"/>
  <c r="N37" i="6"/>
  <c r="S37" i="6" s="1"/>
  <c r="N67" i="6"/>
  <c r="N73" i="6"/>
  <c r="N80" i="6"/>
  <c r="N83" i="6"/>
  <c r="L14" i="6"/>
  <c r="N14" i="6" s="1"/>
  <c r="S14" i="6" s="1"/>
  <c r="N13" i="6"/>
  <c r="S13" i="6" s="1"/>
  <c r="N18" i="6"/>
  <c r="S18" i="6" s="1"/>
  <c r="N19" i="6"/>
  <c r="S19" i="6" s="1"/>
  <c r="N23" i="6"/>
  <c r="N17" i="6"/>
  <c r="S17" i="6" s="1"/>
  <c r="N11" i="6"/>
  <c r="S11" i="6" s="1"/>
  <c r="N46" i="6"/>
  <c r="S46" i="6" s="1"/>
  <c r="N39" i="6"/>
  <c r="S39" i="6" s="1"/>
  <c r="I51" i="6"/>
  <c r="J43" i="6"/>
  <c r="K43" i="6" s="1"/>
  <c r="L43" i="6" s="1"/>
  <c r="N43" i="6" s="1"/>
  <c r="S43" i="6" s="1"/>
  <c r="N68" i="6"/>
  <c r="N71" i="6"/>
  <c r="N77" i="6"/>
  <c r="N84" i="6"/>
  <c r="N74" i="6"/>
  <c r="O82" i="6" l="1"/>
  <c r="O83" i="6"/>
  <c r="O84" i="6"/>
  <c r="O81" i="6"/>
  <c r="O79" i="6"/>
  <c r="O80" i="6"/>
  <c r="O78" i="6"/>
  <c r="O73" i="6"/>
  <c r="O75" i="6"/>
  <c r="O72" i="6"/>
  <c r="O71" i="6"/>
  <c r="O74" i="6"/>
  <c r="O70" i="6"/>
  <c r="O68" i="6"/>
  <c r="O67" i="6"/>
  <c r="O66" i="6"/>
  <c r="O69" i="6"/>
  <c r="O63" i="6"/>
  <c r="O62" i="6"/>
  <c r="O61" i="6"/>
  <c r="O64" i="6"/>
  <c r="O59" i="6"/>
  <c r="O60" i="6"/>
  <c r="O36" i="6"/>
  <c r="Q36" i="6" s="1"/>
  <c r="R36" i="6" s="1"/>
  <c r="O35" i="6"/>
  <c r="Q35" i="6" s="1"/>
  <c r="R35" i="6" s="1"/>
  <c r="O37" i="6"/>
  <c r="Q37" i="6" s="1"/>
  <c r="R37" i="6" s="1"/>
  <c r="O38" i="6"/>
  <c r="Q38" i="6" s="1"/>
  <c r="R38" i="6" s="1"/>
  <c r="O34" i="6"/>
  <c r="Q34" i="6" s="1"/>
  <c r="R34" i="6" s="1"/>
  <c r="O16" i="6"/>
  <c r="Q16" i="6" s="1"/>
  <c r="R16" i="6" s="1"/>
  <c r="O29" i="6"/>
  <c r="Q29" i="6" s="1"/>
  <c r="R29" i="6" s="1"/>
  <c r="O19" i="6"/>
  <c r="Q19" i="6" s="1"/>
  <c r="R19" i="6" s="1"/>
  <c r="O31" i="6"/>
  <c r="Q31" i="6" s="1"/>
  <c r="R31" i="6" s="1"/>
  <c r="O26" i="6"/>
  <c r="Q26" i="6" s="1"/>
  <c r="R26" i="6" s="1"/>
  <c r="O24" i="6"/>
  <c r="Q24" i="6" s="1"/>
  <c r="R24" i="6" s="1"/>
  <c r="O30" i="6"/>
  <c r="Q30" i="6" s="1"/>
  <c r="R30" i="6" s="1"/>
  <c r="O17" i="6"/>
  <c r="Q17" i="6" s="1"/>
  <c r="R17" i="6" s="1"/>
  <c r="O18" i="6"/>
  <c r="Q18" i="6" s="1"/>
  <c r="R18" i="6" s="1"/>
  <c r="O32" i="6"/>
  <c r="Q32" i="6" s="1"/>
  <c r="R32" i="6" s="1"/>
  <c r="O25" i="6"/>
  <c r="Q25" i="6" s="1"/>
  <c r="R25" i="6" s="1"/>
  <c r="O23" i="6"/>
  <c r="O7" i="6"/>
  <c r="Q7" i="6" s="1"/>
  <c r="R7" i="6" s="1"/>
  <c r="O28" i="6"/>
  <c r="Q28" i="6" s="1"/>
  <c r="R28" i="6" s="1"/>
  <c r="O10" i="6"/>
  <c r="Q10" i="6" s="1"/>
  <c r="R10" i="6" s="1"/>
  <c r="O13" i="6"/>
  <c r="O14" i="6" s="1"/>
  <c r="Q14" i="6" s="1"/>
  <c r="R14" i="6" s="1"/>
  <c r="O22" i="6"/>
  <c r="Q22" i="6" s="1"/>
  <c r="R22" i="6" s="1"/>
  <c r="O11" i="6"/>
  <c r="Q11" i="6" s="1"/>
  <c r="R11" i="6" s="1"/>
  <c r="O21" i="6"/>
  <c r="O12" i="6"/>
  <c r="Q12" i="6" s="1"/>
  <c r="R12" i="6" s="1"/>
  <c r="O8" i="6"/>
  <c r="Q8" i="6" s="1"/>
  <c r="R8" i="6" s="1"/>
  <c r="O9" i="6"/>
  <c r="Q9" i="6" s="1"/>
  <c r="R9" i="6" s="1"/>
  <c r="O56" i="6"/>
  <c r="O49" i="6"/>
  <c r="Q49" i="6" s="1"/>
  <c r="R49" i="6" s="1"/>
  <c r="O46" i="6"/>
  <c r="Q46" i="6" s="1"/>
  <c r="R46" i="6" s="1"/>
  <c r="O45" i="6"/>
  <c r="Q45" i="6" s="1"/>
  <c r="R45" i="6" s="1"/>
  <c r="O48" i="6"/>
  <c r="Q48" i="6" s="1"/>
  <c r="R48" i="6" s="1"/>
  <c r="O76" i="6"/>
  <c r="O44" i="6"/>
  <c r="Q44" i="6" s="1"/>
  <c r="R44" i="6" s="1"/>
  <c r="O47" i="6"/>
  <c r="Q47" i="6" s="1"/>
  <c r="R47" i="6" s="1"/>
  <c r="S23" i="6"/>
  <c r="Q23" i="6"/>
  <c r="R23" i="6" s="1"/>
  <c r="Q21" i="6"/>
  <c r="R21" i="6" s="1"/>
  <c r="S21" i="6"/>
  <c r="N6" i="6"/>
  <c r="S6" i="6" s="1"/>
  <c r="O77" i="6"/>
  <c r="O43" i="6"/>
  <c r="Q43" i="6" s="1"/>
  <c r="O39" i="6"/>
  <c r="Q39" i="6" s="1"/>
  <c r="R39" i="6" s="1"/>
  <c r="O40" i="6"/>
  <c r="Q40" i="6" s="1"/>
  <c r="R40" i="6" s="1"/>
  <c r="I52" i="6"/>
  <c r="Q13" i="6" l="1"/>
  <c r="R13" i="6" s="1"/>
  <c r="O58" i="6"/>
  <c r="O57" i="6"/>
  <c r="O6" i="6"/>
  <c r="Q6" i="6" s="1"/>
  <c r="R43" i="6"/>
  <c r="R51" i="6" s="1"/>
  <c r="Q51" i="6"/>
  <c r="Q42" i="6" l="1"/>
  <c r="Q52" i="6" s="1"/>
  <c r="R6" i="6"/>
  <c r="R42" i="6" s="1"/>
  <c r="R52" i="6" s="1"/>
  <c r="B64" i="5" s="1"/>
  <c r="B65" i="5" s="1"/>
  <c r="R56" i="6"/>
  <c r="S56" i="6"/>
  <c r="R55" i="6" l="1"/>
  <c r="R57" i="6" s="1"/>
  <c r="S55" i="6"/>
</calcChain>
</file>

<file path=xl/comments1.xml><?xml version="1.0" encoding="utf-8"?>
<comments xmlns="http://schemas.openxmlformats.org/spreadsheetml/2006/main">
  <authors>
    <author>Heather Garland</author>
  </authors>
  <commentList>
    <comment ref="B52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Per Resolution 61-13 the DF will increase by the Oct-Oct Olympia CPI, which is 2.9% as shown at right.</t>
        </r>
      </text>
    </comment>
  </commentList>
</comments>
</file>

<file path=xl/comments2.xml><?xml version="1.0" encoding="utf-8"?>
<comments xmlns="http://schemas.openxmlformats.org/spreadsheetml/2006/main">
  <authors>
    <author>WCNX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From the Cost of Service in TG-121791 (last general rate filing).
</t>
        </r>
      </text>
    </comment>
  </commentList>
</comments>
</file>

<file path=xl/sharedStrings.xml><?xml version="1.0" encoding="utf-8"?>
<sst xmlns="http://schemas.openxmlformats.org/spreadsheetml/2006/main" count="376" uniqueCount="273">
  <si>
    <t>Mason County Garbage</t>
  </si>
  <si>
    <t xml:space="preserve"> </t>
  </si>
  <si>
    <t>RESIDENTIAL - Mason</t>
  </si>
  <si>
    <t>1-20 gal Mini Can Wkly</t>
  </si>
  <si>
    <t>1-32 gal Can Wkly</t>
  </si>
  <si>
    <t>2-32 g Can Wkly</t>
  </si>
  <si>
    <t>3-32 g Can Wkly</t>
  </si>
  <si>
    <t>4-32 g Can Wkly</t>
  </si>
  <si>
    <t>5-32 g Can Wkly</t>
  </si>
  <si>
    <t>6-32 g Can Wkly</t>
  </si>
  <si>
    <t>1-35 gal Cart Wkly</t>
  </si>
  <si>
    <t>1-45 gal Cart Wkly</t>
  </si>
  <si>
    <t>2-45 gal Cart Wkly</t>
  </si>
  <si>
    <t>1-48 gal Cart Wkly</t>
  </si>
  <si>
    <t>1-64 gal Cart Wkly</t>
  </si>
  <si>
    <t>1-96 gal Cart Wkly</t>
  </si>
  <si>
    <t>1-32 gal Can EOW</t>
  </si>
  <si>
    <t>2-32 g Can EOW</t>
  </si>
  <si>
    <t>1-35 gal Cart EOW</t>
  </si>
  <si>
    <t>1-48 gal Cart EOW</t>
  </si>
  <si>
    <t>1-64 gal Cart EOW</t>
  </si>
  <si>
    <t>1-96 gal Cart EOW</t>
  </si>
  <si>
    <t>1-32 gal Can Monthly</t>
  </si>
  <si>
    <t>1-35 gal Cart Monthly</t>
  </si>
  <si>
    <t>1-48 gal Cart Monthly</t>
  </si>
  <si>
    <t>1-64 gal Cart Monthly</t>
  </si>
  <si>
    <t>1-96 gal Cart Monthly</t>
  </si>
  <si>
    <t>1-32 gal Can On Call Svc</t>
  </si>
  <si>
    <t>1-35 gal Cart On Call Svc</t>
  </si>
  <si>
    <t>1-48 gal Cart On Call Svc</t>
  </si>
  <si>
    <t>1-64 gal Cart On Call Svc</t>
  </si>
  <si>
    <t>1-96 gal Cart On Call Svc</t>
  </si>
  <si>
    <t>Oversized Cans</t>
  </si>
  <si>
    <t>Extra Can, Bag, Box etc</t>
  </si>
  <si>
    <t>Extra Pickup</t>
  </si>
  <si>
    <t>Sub Total</t>
  </si>
  <si>
    <t>Total</t>
  </si>
  <si>
    <t>COMMERCIAL - Mason</t>
  </si>
  <si>
    <t>Extra Can</t>
  </si>
  <si>
    <t>1 Yard Wkly</t>
  </si>
  <si>
    <t>1.50 Yard Wkly</t>
  </si>
  <si>
    <t>2 Yard Wkly</t>
  </si>
  <si>
    <t>1 Yard EOW</t>
  </si>
  <si>
    <t>1.50 Yard EOW</t>
  </si>
  <si>
    <t>2 Yard EOW</t>
  </si>
  <si>
    <t>Extra Yardage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</si>
  <si>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</si>
  <si>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</si>
  <si>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</si>
  <si>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</si>
  <si>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</si>
  <si>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</si>
  <si>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</si>
  <si>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</si>
  <si>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</si>
  <si>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</si>
  <si>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</si>
  <si>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</si>
  <si>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</si>
  <si>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</si>
  <si>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</si>
  <si>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</si>
  <si>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</si>
  <si>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</si>
  <si>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</si>
  <si>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</si>
  <si>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</si>
  <si>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</si>
  <si>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</si>
  <si>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</si>
  <si>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</si>
  <si>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</si>
  <si>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</si>
  <si>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</si>
  <si>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</si>
  <si>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Once a month</t>
  </si>
  <si>
    <t>Extras</t>
  </si>
  <si>
    <t>Com'l</t>
  </si>
  <si>
    <t>Cans</t>
  </si>
  <si>
    <t>1 yd container</t>
  </si>
  <si>
    <t>1.5 yd container</t>
  </si>
  <si>
    <t>*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</si>
  <si>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</si>
  <si>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</si>
  <si>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</si>
  <si>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</si>
  <si>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</si>
  <si>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</si>
  <si>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</si>
  <si>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</si>
  <si>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</si>
  <si>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</si>
  <si>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</si>
  <si>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</si>
  <si>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</si>
  <si>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</si>
  <si>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</si>
  <si>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</si>
  <si>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</si>
  <si>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</si>
  <si>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</si>
  <si>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</si>
  <si>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</si>
  <si>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</si>
  <si>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</si>
  <si>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Increase per ton</t>
  </si>
  <si>
    <t>Factor</t>
  </si>
  <si>
    <t>Grossed Up Increase per ton</t>
  </si>
  <si>
    <t>Tons Collected</t>
  </si>
  <si>
    <t>Annual Pick-Up's</t>
  </si>
  <si>
    <t>Mason County</t>
  </si>
  <si>
    <t>Tariff Rate Increase</t>
  </si>
  <si>
    <t>Residential Cans:</t>
  </si>
  <si>
    <t>Over-weight cans</t>
  </si>
  <si>
    <t>Item 100, pg 21</t>
  </si>
  <si>
    <t xml:space="preserve"> 1 can</t>
  </si>
  <si>
    <t xml:space="preserve"> 2 can</t>
  </si>
  <si>
    <t xml:space="preserve"> 3 can</t>
  </si>
  <si>
    <t xml:space="preserve"> 4 can</t>
  </si>
  <si>
    <t xml:space="preserve"> 5 can</t>
  </si>
  <si>
    <t xml:space="preserve"> 6 can</t>
  </si>
  <si>
    <t xml:space="preserve"> 45-gallon can</t>
  </si>
  <si>
    <t xml:space="preserve"> 1 can every-other-week</t>
  </si>
  <si>
    <t xml:space="preserve"> 2 can every-other-week</t>
  </si>
  <si>
    <t xml:space="preserve"> 1 can once-per-month</t>
  </si>
  <si>
    <t xml:space="preserve"> Mini</t>
  </si>
  <si>
    <t>Automated Service:</t>
  </si>
  <si>
    <t xml:space="preserve"> 35-gallon tote</t>
  </si>
  <si>
    <t xml:space="preserve"> 48-gallon tote</t>
  </si>
  <si>
    <t xml:space="preserve"> 64-gallon tote</t>
  </si>
  <si>
    <t xml:space="preserve"> 96-gallon tote</t>
  </si>
  <si>
    <t xml:space="preserve"> 35-gal tote every-other-week</t>
  </si>
  <si>
    <t xml:space="preserve"> 48-gal tote every-other-week</t>
  </si>
  <si>
    <t xml:space="preserve"> 64-gal tote every-other-week</t>
  </si>
  <si>
    <t xml:space="preserve"> 96-gal tote every-other-week</t>
  </si>
  <si>
    <t xml:space="preserve"> 35-gal tote once-per-month</t>
  </si>
  <si>
    <t xml:space="preserve"> 48-gal tote once-per-month</t>
  </si>
  <si>
    <t xml:space="preserve"> 64-gal tote once-per-month</t>
  </si>
  <si>
    <t xml:space="preserve"> 96-gal tote once-per-month</t>
  </si>
  <si>
    <t>Item 100, pg 22</t>
  </si>
  <si>
    <t xml:space="preserve"> Occasional extra unit (All Sizes)</t>
  </si>
  <si>
    <t>32 gal can on call</t>
  </si>
  <si>
    <t xml:space="preserve"> 35-gal tote on call</t>
  </si>
  <si>
    <t xml:space="preserve"> 48-gal tote on call</t>
  </si>
  <si>
    <t xml:space="preserve"> 64-gal tote on call</t>
  </si>
  <si>
    <t xml:space="preserve"> 96-gal tote on call</t>
  </si>
  <si>
    <t>Item 120, pg 28</t>
  </si>
  <si>
    <t>Drum</t>
  </si>
  <si>
    <t>Special PU</t>
  </si>
  <si>
    <t>Item 130, pg 28</t>
  </si>
  <si>
    <t>Litter Toter, per pu</t>
  </si>
  <si>
    <t>Litter Toter, per month</t>
  </si>
  <si>
    <t>Item 150, pg 28</t>
  </si>
  <si>
    <t>Bulky</t>
  </si>
  <si>
    <t>Loose</t>
  </si>
  <si>
    <t>Additional yard</t>
  </si>
  <si>
    <t>Minimum</t>
  </si>
  <si>
    <t>Item 207, pg 32</t>
  </si>
  <si>
    <t>All container per yard</t>
  </si>
  <si>
    <t>All Drop boxes per yard</t>
  </si>
  <si>
    <t>Item 240, pg 35</t>
  </si>
  <si>
    <t>Item 245, pg 36</t>
  </si>
  <si>
    <t xml:space="preserve"> 35-gal cart </t>
  </si>
  <si>
    <t xml:space="preserve"> 48-gal cart </t>
  </si>
  <si>
    <t xml:space="preserve"> 64-gal cart</t>
  </si>
  <si>
    <t xml:space="preserve"> 96-gal cart</t>
  </si>
  <si>
    <t>Mason</t>
  </si>
  <si>
    <t>Pickup Frequency</t>
  </si>
  <si>
    <t>TOTAL Mason</t>
  </si>
  <si>
    <t>No. of Customers from TG-121791</t>
  </si>
  <si>
    <t>NO CUSTOMERS - Mason</t>
  </si>
  <si>
    <t>Oversized Can</t>
  </si>
  <si>
    <t>Drum - Special Pick-Up</t>
  </si>
  <si>
    <t>Item 55, page 16</t>
  </si>
  <si>
    <t>Commercial Cans - No Cust</t>
  </si>
  <si>
    <t>Note 2 - Each Addn'l Unit</t>
  </si>
  <si>
    <t>Note 4 - Grouped Cans</t>
  </si>
  <si>
    <t>Note 4 - Non-Grouped Cans</t>
  </si>
  <si>
    <t>Note 5 - 35 Gal Mo. Min</t>
  </si>
  <si>
    <t>Note 5 - 48 Gal Mo. Min</t>
  </si>
  <si>
    <t>Note 5 - 64 Gal Mo. Min</t>
  </si>
  <si>
    <t>Note 5 - 96 Gal Mo. Min</t>
  </si>
  <si>
    <t>Note 3 - Monthly Min.</t>
  </si>
  <si>
    <t>Residential</t>
  </si>
  <si>
    <t>Commercial</t>
  </si>
  <si>
    <t>Increase/(Decrease)</t>
  </si>
  <si>
    <t>Disposal Fee Revenue Increase/(Decrease)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</si>
  <si>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</si>
  <si>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</si>
  <si>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</si>
  <si>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</si>
  <si>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</si>
  <si>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</si>
  <si>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Monthly Frequency</t>
  </si>
  <si>
    <t>Annual PU's</t>
  </si>
  <si>
    <t>Calculated Annual Pounds</t>
  </si>
  <si>
    <t>Adjusted Annual Pounds</t>
  </si>
  <si>
    <t>Increase/
(Decrease)</t>
  </si>
  <si>
    <t>Gross Up</t>
  </si>
  <si>
    <t>Company Current Tariff</t>
  </si>
  <si>
    <t>Company Proposed Tariff</t>
  </si>
  <si>
    <t>Company Current Revenue</t>
  </si>
  <si>
    <t>Company Proposed Revenue</t>
  </si>
  <si>
    <t>Company Increased/(Decreased) Revenue</t>
  </si>
  <si>
    <t>Revised Tariff Rate</t>
  </si>
  <si>
    <t>Totals</t>
  </si>
  <si>
    <t>No Current Customers</t>
  </si>
  <si>
    <t>Adjustment Factor Calculation</t>
  </si>
  <si>
    <t>Legend</t>
  </si>
  <si>
    <t>Not on Meeks</t>
  </si>
  <si>
    <t>Total Tonnage</t>
  </si>
  <si>
    <t>Note</t>
  </si>
  <si>
    <t>Total Pounds</t>
  </si>
  <si>
    <t>Total Pick Ups</t>
  </si>
  <si>
    <t>Adjustment factor</t>
  </si>
  <si>
    <t>48 gallon cart</t>
  </si>
  <si>
    <t>35 gallon cart</t>
  </si>
  <si>
    <t>Litter Toter, per month (Min.)</t>
  </si>
  <si>
    <t>Commercial Service</t>
  </si>
  <si>
    <t>Note 4 (extras)</t>
  </si>
  <si>
    <t>Note 2 (Addn'l can)</t>
  </si>
  <si>
    <t>Note 3 (Monthly Min.)</t>
  </si>
  <si>
    <t>Note 4 (extra recepticles)</t>
  </si>
  <si>
    <t>Note 4 (recepticles not placed together)</t>
  </si>
  <si>
    <t>Note 5 (Automated Carts Monthly Min.)</t>
  </si>
  <si>
    <t>Residential Service</t>
  </si>
  <si>
    <t>1 can - Special PU</t>
  </si>
  <si>
    <t>35-gal cart Special PU</t>
  </si>
  <si>
    <t>48-gal cart Special PU</t>
  </si>
  <si>
    <t>64-gal cart Special PU</t>
  </si>
  <si>
    <t>96-gal cart Special PU</t>
  </si>
  <si>
    <t>from TG-121791 (Most recent rate case)</t>
  </si>
  <si>
    <t>Litter Toter, per month (min.)</t>
  </si>
  <si>
    <t>Mason County DF Increase</t>
  </si>
  <si>
    <t>1-45 gal Can Wkly</t>
  </si>
  <si>
    <t>Annual</t>
  </si>
  <si>
    <t xml:space="preserve"> Calculated Rate</t>
  </si>
  <si>
    <t>Supercan 64</t>
  </si>
  <si>
    <t>Supercan 94</t>
  </si>
  <si>
    <t>Equal to 1.5 cans</t>
  </si>
  <si>
    <t>Equal to 2 cans</t>
  </si>
  <si>
    <t>Equal to 3 cans</t>
  </si>
  <si>
    <t>Effective 1/1/2017</t>
  </si>
  <si>
    <t xml:space="preserve">Current </t>
  </si>
  <si>
    <t xml:space="preserve">Proposed </t>
  </si>
  <si>
    <t>Increase</t>
  </si>
  <si>
    <t>Rate</t>
  </si>
  <si>
    <t xml:space="preserve">Tariff </t>
  </si>
  <si>
    <t xml:space="preserve"> Rate</t>
  </si>
  <si>
    <t>Effective</t>
  </si>
  <si>
    <t>Pass Thru  Tons</t>
  </si>
  <si>
    <t>Pass Thru Increase</t>
  </si>
  <si>
    <t>Mason County Garbage Company, Inc. G-88</t>
  </si>
  <si>
    <t>Dump Fee Calc References</t>
  </si>
  <si>
    <t xml:space="preserve"> Monthly Customers from  TG-121791</t>
  </si>
  <si>
    <t>Dump Fee Calculation - Mason County</t>
  </si>
  <si>
    <t>Effective 1-1-2018</t>
  </si>
  <si>
    <t>Additional yard (Bulky/Loose)</t>
  </si>
  <si>
    <t>Minimum (Bulky/Loose)</t>
  </si>
  <si>
    <t>1 yard pickup (first, additional, temp)</t>
  </si>
  <si>
    <t>1.5 yard (first, additional, temp)</t>
  </si>
  <si>
    <t>2 yard (first, additional, temp)</t>
  </si>
  <si>
    <t xml:space="preserve"> 1-1-2018</t>
  </si>
  <si>
    <t xml:space="preserve">Mason County Disposal Increase                                                        </t>
  </si>
  <si>
    <t>Solid Waste (per ton)</t>
  </si>
  <si>
    <t>Minimum Fee</t>
  </si>
  <si>
    <t>Demolition Waste</t>
  </si>
  <si>
    <t>Appliances - each (white goods, couch, chairs, TV, &amp; Mattresses)</t>
  </si>
  <si>
    <t>Refrigerators</t>
  </si>
  <si>
    <t>Tires (no rim)</t>
  </si>
  <si>
    <t>Tires (with rim)</t>
  </si>
  <si>
    <t>Batteries</t>
  </si>
  <si>
    <t>Item 230, pg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</si>
</sst>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.000_);_(&quot;$&quot;* \(#,##0.000\);_(&quot;$&quot;* &quot;-&quot;??_);_(@_)"/>
    <numFmt numFmtId="167" formatCode="_(* #,##0.000000_);_(* \(#,##0.000000\);_(* &quot;-&quot;??_);_(@_)"/>
    <numFmt numFmtId="168" formatCode="_(&quot;$&quot;* #,##0.000000_);_(&quot;$&quot;* \(#,##0.000000\);_(&quot;$&quot;* &quot;-&quot;??_);_(@_)"/>
    <numFmt numFmtId="169" formatCode="0.0000%"/>
    <numFmt numFmtId="170" formatCode="_(&quot;$&quot;* #,##0_);_(&quot;$&quot;* \(#,##0\);_(&quot;$&quot;* &quot;-&quot;??_);_(@_)"/>
    <numFmt numFmtId="171" formatCode="_(* #,##0.000_);_(* \(#,##0.000\);_(* &quot;-&quot;??_);_(@_)"/>
    <numFmt numFmtId="172" formatCode="&quot;$&quot;#,##0\ ;\(&quot;$&quot;#,##0\)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8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63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0">
    <xf numFmtId="0" fontId="0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41" fontId="9" fillId="0" borderId="0"/>
    <xf numFmtId="0" fontId="14" fillId="7" borderId="0" applyNumberFormat="0" applyBorder="0" applyAlignment="0" applyProtection="0"/>
    <xf numFmtId="3" fontId="9" fillId="0" borderId="0"/>
    <xf numFmtId="0" fontId="15" fillId="25" borderId="4" applyNumberFormat="0" applyAlignment="0" applyProtection="0"/>
    <xf numFmtId="0" fontId="15" fillId="5" borderId="4" applyNumberFormat="0" applyAlignment="0" applyProtection="0"/>
    <xf numFmtId="0" fontId="16" fillId="26" borderId="5" applyNumberFormat="0" applyAlignment="0" applyProtection="0"/>
    <xf numFmtId="0" fontId="9" fillId="3" borderId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7" fillId="0" borderId="0"/>
    <xf numFmtId="0" fontId="18" fillId="0" borderId="0"/>
    <xf numFmtId="0" fontId="18" fillId="0" borderId="0"/>
    <xf numFmtId="0" fontId="19" fillId="27" borderId="1" applyAlignment="0">
      <alignment horizontal="right"/>
      <protection locked="0"/>
    </xf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28" borderId="0">
      <alignment horizontal="right"/>
      <protection locked="0"/>
    </xf>
    <xf numFmtId="14" fontId="9" fillId="0" borderId="0"/>
    <xf numFmtId="0" fontId="23" fillId="0" borderId="0" applyNumberFormat="0" applyFill="0" applyBorder="0" applyAlignment="0" applyProtection="0"/>
    <xf numFmtId="2" fontId="22" fillId="28" borderId="0">
      <alignment horizontal="right"/>
      <protection locked="0"/>
    </xf>
    <xf numFmtId="1" fontId="9" fillId="0" borderId="0">
      <alignment horizontal="center"/>
    </xf>
    <xf numFmtId="0" fontId="24" fillId="8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11" borderId="4" applyNumberFormat="0" applyAlignment="0" applyProtection="0"/>
    <xf numFmtId="3" fontId="34" fillId="29" borderId="0">
      <protection locked="0"/>
    </xf>
    <xf numFmtId="4" fontId="34" fillId="29" borderId="0">
      <protection locked="0"/>
    </xf>
    <xf numFmtId="0" fontId="35" fillId="0" borderId="11" applyNumberFormat="0" applyFill="0" applyAlignment="0" applyProtection="0"/>
    <xf numFmtId="0" fontId="36" fillId="15" borderId="0" applyNumberFormat="0" applyBorder="0" applyAlignment="0" applyProtection="0"/>
    <xf numFmtId="43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30" borderId="12" applyNumberFormat="0" applyFont="0" applyAlignment="0" applyProtection="0"/>
    <xf numFmtId="0" fontId="6" fillId="30" borderId="12" applyNumberFormat="0" applyFont="0" applyAlignment="0" applyProtection="0"/>
    <xf numFmtId="165" fontId="38" fillId="0" borderId="0" applyNumberFormat="0"/>
    <xf numFmtId="0" fontId="39" fillId="5" borderId="1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40" fillId="0" borderId="0" applyNumberFormat="0" applyFont="0" applyFill="0" applyBorder="0" applyAlignment="0" applyProtection="0">
      <alignment horizontal="left"/>
    </xf>
    <xf numFmtId="0" fontId="41" fillId="0" borderId="2">
      <alignment horizont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0" borderId="0">
      <alignment vertical="top"/>
    </xf>
    <xf numFmtId="0" fontId="17" fillId="0" borderId="0" applyNumberFormat="0" applyBorder="0" applyAlignment="0"/>
    <xf numFmtId="37" fontId="43" fillId="0" borderId="0"/>
    <xf numFmtId="37" fontId="8" fillId="0" borderId="0"/>
    <xf numFmtId="0" fontId="44" fillId="0" borderId="14" applyNumberFormat="0" applyFill="0" applyAlignment="0" applyProtection="0"/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54" fillId="0" borderId="0" applyNumberFormat="0" applyFont="0" applyFill="0" applyBorder="0">
      <alignment horizontal="left" indent="4"/>
      <protection locked="0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0" fillId="39" borderId="0" applyNumberFormat="0" applyFont="0" applyBorder="0" applyAlignment="0" applyProtection="0"/>
    <xf numFmtId="164" fontId="53" fillId="40" borderId="0" applyFont="0" applyFill="0" applyBorder="0" applyAlignment="0" applyProtection="0">
      <alignment wrapText="1"/>
    </xf>
    <xf numFmtId="0" fontId="9" fillId="0" borderId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30" borderId="0" applyNumberFormat="0" applyBorder="0" applyAlignment="0" applyProtection="0"/>
    <xf numFmtId="0" fontId="13" fillId="10" borderId="0" applyNumberFormat="0" applyBorder="0" applyAlignment="0" applyProtection="0"/>
    <xf numFmtId="0" fontId="13" fillId="41" borderId="0" applyNumberFormat="0" applyBorder="0" applyAlignment="0" applyProtection="0"/>
    <xf numFmtId="0" fontId="13" fillId="24" borderId="0" applyNumberFormat="0" applyBorder="0" applyAlignment="0" applyProtection="0"/>
    <xf numFmtId="0" fontId="13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4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24" borderId="0" applyNumberFormat="0" applyBorder="0" applyAlignment="0" applyProtection="0"/>
    <xf numFmtId="0" fontId="13" fillId="16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0" fontId="14" fillId="9" borderId="0" applyNumberFormat="0" applyBorder="0" applyAlignment="0" applyProtection="0"/>
    <xf numFmtId="3" fontId="9" fillId="0" borderId="0"/>
    <xf numFmtId="3" fontId="9" fillId="0" borderId="0"/>
    <xf numFmtId="3" fontId="9" fillId="0" borderId="0"/>
    <xf numFmtId="0" fontId="55" fillId="25" borderId="4" applyNumberFormat="0" applyAlignment="0" applyProtection="0"/>
    <xf numFmtId="0" fontId="58" fillId="25" borderId="4" applyNumberFormat="0" applyAlignment="0" applyProtection="0"/>
    <xf numFmtId="0" fontId="16" fillId="26" borderId="5" applyNumberFormat="0" applyAlignment="0" applyProtection="0"/>
    <xf numFmtId="0" fontId="16" fillId="44" borderId="27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28" applyNumberFormat="0" applyFill="0" applyAlignment="0" applyProtection="0"/>
    <xf numFmtId="0" fontId="59" fillId="0" borderId="29" applyNumberFormat="0" applyFill="0" applyAlignment="0" applyProtection="0"/>
    <xf numFmtId="0" fontId="27" fillId="0" borderId="30" applyNumberFormat="0" applyFill="0" applyAlignment="0" applyProtection="0"/>
    <xf numFmtId="0" fontId="60" fillId="0" borderId="8" applyNumberFormat="0" applyFill="0" applyAlignment="0" applyProtection="0"/>
    <xf numFmtId="0" fontId="29" fillId="0" borderId="31" applyNumberFormat="0" applyFill="0" applyAlignment="0" applyProtection="0"/>
    <xf numFmtId="0" fontId="61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3" fillId="15" borderId="4" applyNumberFormat="0" applyAlignment="0" applyProtection="0"/>
    <xf numFmtId="0" fontId="62" fillId="15" borderId="4" applyNumberFormat="0" applyAlignment="0" applyProtection="0"/>
    <xf numFmtId="0" fontId="45" fillId="0" borderId="33" applyNumberFormat="0" applyFill="0" applyAlignment="0" applyProtection="0"/>
    <xf numFmtId="0" fontId="63" fillId="0" borderId="34" applyNumberFormat="0" applyFill="0" applyAlignment="0" applyProtection="0"/>
    <xf numFmtId="0" fontId="56" fillId="15" borderId="0" applyNumberFormat="0" applyBorder="0" applyAlignment="0" applyProtection="0"/>
    <xf numFmtId="0" fontId="64" fillId="1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17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37" fillId="30" borderId="12" applyNumberFormat="0" applyFont="0" applyAlignment="0" applyProtection="0"/>
    <xf numFmtId="0" fontId="17" fillId="30" borderId="12" applyNumberFormat="0" applyFont="0" applyAlignment="0" applyProtection="0"/>
    <xf numFmtId="0" fontId="39" fillId="25" borderId="13" applyNumberFormat="0" applyAlignment="0" applyProtection="0"/>
    <xf numFmtId="0" fontId="29" fillId="25" borderId="3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7" fillId="0" borderId="0">
      <alignment vertical="top"/>
    </xf>
    <xf numFmtId="0" fontId="5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9" fillId="0" borderId="0"/>
    <xf numFmtId="0" fontId="52" fillId="38" borderId="0" applyNumberFormat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5" fillId="25" borderId="4" applyNumberFormat="0" applyAlignment="0" applyProtection="0"/>
    <xf numFmtId="0" fontId="15" fillId="5" borderId="4" applyNumberFormat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0" borderId="12" applyNumberFormat="0" applyFont="0" applyAlignment="0" applyProtection="0"/>
    <xf numFmtId="0" fontId="6" fillId="30" borderId="12" applyNumberFormat="0" applyFont="0" applyAlignment="0" applyProtection="0"/>
    <xf numFmtId="9" fontId="7" fillId="0" borderId="0" applyFont="0" applyFill="0" applyBorder="0" applyAlignment="0" applyProtection="0"/>
    <xf numFmtId="0" fontId="44" fillId="0" borderId="14" applyNumberFormat="0" applyFill="0" applyAlignment="0" applyProtection="0"/>
    <xf numFmtId="0" fontId="44" fillId="0" borderId="15" applyNumberFormat="0" applyFill="0" applyAlignment="0" applyProtection="0"/>
    <xf numFmtId="0" fontId="9" fillId="0" borderId="0"/>
    <xf numFmtId="0" fontId="9" fillId="0" borderId="0"/>
  </cellStyleXfs>
  <cellXfs count="257">
    <xf numFmtId="0" fontId="0" fillId="0" borderId="0" xfId="0"/>
    <xf numFmtId="0" fontId="5" fillId="0" borderId="0" xfId="4" applyNumberFormat="1" applyFont="1" applyFill="1"/>
    <xf numFmtId="0" fontId="6" fillId="0" borderId="0" xfId="4" applyNumberFormat="1" applyFont="1" applyFill="1"/>
    <xf numFmtId="44" fontId="6" fillId="0" borderId="0" xfId="5" applyFont="1" applyFill="1"/>
    <xf numFmtId="37" fontId="6" fillId="0" borderId="0" xfId="4" applyNumberFormat="1" applyFont="1" applyFill="1"/>
    <xf numFmtId="164" fontId="6" fillId="0" borderId="0" xfId="4" applyNumberFormat="1" applyFont="1" applyFill="1"/>
    <xf numFmtId="0" fontId="6" fillId="0" borderId="0" xfId="4" applyNumberFormat="1" applyFont="1" applyFill="1" applyBorder="1" applyAlignment="1">
      <alignment wrapText="1"/>
    </xf>
    <xf numFmtId="0" fontId="6" fillId="0" borderId="0" xfId="4" applyNumberFormat="1" applyFont="1" applyFill="1" applyAlignment="1">
      <alignment wrapText="1"/>
    </xf>
    <xf numFmtId="0" fontId="5" fillId="0" borderId="3" xfId="4" applyNumberFormat="1" applyFont="1" applyFill="1" applyBorder="1"/>
    <xf numFmtId="10" fontId="6" fillId="0" borderId="0" xfId="9" applyNumberFormat="1" applyFont="1" applyFill="1"/>
    <xf numFmtId="0" fontId="6" fillId="4" borderId="0" xfId="10" applyNumberFormat="1" applyFont="1" applyFill="1" applyAlignment="1">
      <alignment horizontal="left"/>
    </xf>
    <xf numFmtId="164" fontId="6" fillId="4" borderId="0" xfId="6" applyNumberFormat="1" applyFont="1" applyFill="1" applyAlignment="1">
      <alignment vertical="center"/>
    </xf>
    <xf numFmtId="43" fontId="6" fillId="4" borderId="0" xfId="6" applyNumberFormat="1" applyFont="1" applyFill="1" applyAlignment="1">
      <alignment vertical="center"/>
    </xf>
    <xf numFmtId="0" fontId="6" fillId="4" borderId="0" xfId="10" applyNumberFormat="1" applyFont="1" applyFill="1" applyBorder="1" applyAlignment="1">
      <alignment horizontal="left"/>
    </xf>
    <xf numFmtId="0" fontId="5" fillId="4" borderId="0" xfId="4" applyNumberFormat="1" applyFont="1" applyFill="1"/>
    <xf numFmtId="164" fontId="5" fillId="4" borderId="0" xfId="6" applyNumberFormat="1" applyFont="1" applyFill="1" applyAlignment="1">
      <alignment vertical="center"/>
    </xf>
    <xf numFmtId="37" fontId="5" fillId="0" borderId="0" xfId="4" applyNumberFormat="1" applyFont="1" applyFill="1"/>
    <xf numFmtId="164" fontId="5" fillId="0" borderId="0" xfId="4" applyNumberFormat="1" applyFont="1" applyFill="1"/>
    <xf numFmtId="10" fontId="5" fillId="0" borderId="0" xfId="9" applyNumberFormat="1" applyFont="1" applyFill="1"/>
    <xf numFmtId="164" fontId="6" fillId="0" borderId="0" xfId="6" applyNumberFormat="1" applyFont="1" applyFill="1" applyAlignment="1">
      <alignment vertical="center"/>
    </xf>
    <xf numFmtId="44" fontId="6" fillId="0" borderId="0" xfId="5" applyFont="1" applyFill="1" applyAlignment="1">
      <alignment vertical="center"/>
    </xf>
    <xf numFmtId="43" fontId="6" fillId="0" borderId="0" xfId="11" applyFont="1" applyFill="1"/>
    <xf numFmtId="165" fontId="6" fillId="0" borderId="0" xfId="8" applyNumberFormat="1" applyFont="1" applyFill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left" indent="1"/>
    </xf>
    <xf numFmtId="0" fontId="2" fillId="0" borderId="0" xfId="0" applyFont="1" applyFill="1" applyAlignment="1">
      <alignment horizontal="center"/>
    </xf>
    <xf numFmtId="164" fontId="0" fillId="0" borderId="1" xfId="1" applyNumberFormat="1" applyFont="1" applyBorder="1"/>
    <xf numFmtId="0" fontId="5" fillId="0" borderId="0" xfId="4" applyNumberFormat="1" applyFont="1" applyFill="1" applyAlignment="1">
      <alignment horizontal="center" wrapText="1"/>
    </xf>
    <xf numFmtId="2" fontId="5" fillId="0" borderId="0" xfId="4" applyNumberFormat="1" applyFont="1" applyFill="1" applyAlignment="1">
      <alignment horizontal="center" wrapText="1"/>
    </xf>
    <xf numFmtId="44" fontId="5" fillId="0" borderId="0" xfId="5" applyFont="1" applyFill="1" applyAlignment="1">
      <alignment horizontal="center" wrapText="1"/>
    </xf>
    <xf numFmtId="0" fontId="6" fillId="33" borderId="0" xfId="12" applyFont="1" applyFill="1"/>
    <xf numFmtId="164" fontId="6" fillId="33" borderId="0" xfId="6" applyNumberFormat="1" applyFont="1" applyFill="1" applyAlignment="1">
      <alignment vertical="center"/>
    </xf>
    <xf numFmtId="43" fontId="6" fillId="33" borderId="0" xfId="6" applyNumberFormat="1" applyFont="1" applyFill="1" applyAlignment="1">
      <alignment vertical="center"/>
    </xf>
    <xf numFmtId="0" fontId="5" fillId="33" borderId="1" xfId="12" applyFont="1" applyFill="1" applyBorder="1"/>
    <xf numFmtId="164" fontId="5" fillId="33" borderId="1" xfId="6" applyNumberFormat="1" applyFont="1" applyFill="1" applyBorder="1" applyAlignment="1">
      <alignment vertical="center"/>
    </xf>
    <xf numFmtId="0" fontId="5" fillId="0" borderId="0" xfId="12" applyFont="1" applyFill="1" applyBorder="1"/>
    <xf numFmtId="164" fontId="5" fillId="0" borderId="0" xfId="6" applyNumberFormat="1" applyFont="1" applyFill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44" fontId="5" fillId="0" borderId="0" xfId="5" applyFont="1" applyFill="1" applyBorder="1" applyAlignment="1" applyProtection="1">
      <alignment vertical="center"/>
    </xf>
    <xf numFmtId="0" fontId="5" fillId="0" borderId="0" xfId="4" applyNumberFormat="1" applyFont="1" applyFill="1" applyBorder="1"/>
    <xf numFmtId="44" fontId="1" fillId="0" borderId="0" xfId="2" applyFont="1" applyBorder="1"/>
    <xf numFmtId="0" fontId="0" fillId="0" borderId="0" xfId="0" applyFont="1" applyBorder="1" applyAlignment="1">
      <alignment horizontal="left"/>
    </xf>
    <xf numFmtId="44" fontId="6" fillId="0" borderId="0" xfId="4" applyNumberFormat="1" applyFont="1" applyFill="1"/>
    <xf numFmtId="3" fontId="6" fillId="0" borderId="0" xfId="4" applyNumberFormat="1" applyFont="1" applyFill="1"/>
    <xf numFmtId="3" fontId="5" fillId="0" borderId="0" xfId="4" applyNumberFormat="1" applyFont="1" applyFill="1"/>
    <xf numFmtId="0" fontId="5" fillId="0" borderId="0" xfId="4" applyNumberFormat="1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Font="1" applyAlignment="1"/>
    <xf numFmtId="43" fontId="1" fillId="0" borderId="0" xfId="1" applyFont="1" applyAlignment="1"/>
    <xf numFmtId="43" fontId="0" fillId="0" borderId="0" xfId="0" applyNumberFormat="1" applyFont="1" applyAlignment="1"/>
    <xf numFmtId="0" fontId="3" fillId="0" borderId="0" xfId="0" applyFont="1" applyAlignment="1"/>
    <xf numFmtId="43" fontId="1" fillId="0" borderId="0" xfId="1" applyFont="1" applyAlignment="1">
      <alignment horizontal="center"/>
    </xf>
    <xf numFmtId="164" fontId="1" fillId="0" borderId="0" xfId="1" applyNumberFormat="1" applyFont="1" applyAlignment="1"/>
    <xf numFmtId="0" fontId="2" fillId="0" borderId="0" xfId="0" applyFont="1" applyFill="1" applyAlignment="1"/>
    <xf numFmtId="44" fontId="1" fillId="0" borderId="0" xfId="2" applyFont="1" applyFill="1"/>
    <xf numFmtId="166" fontId="1" fillId="0" borderId="0" xfId="2" applyNumberFormat="1" applyFont="1" applyFill="1"/>
    <xf numFmtId="167" fontId="1" fillId="0" borderId="0" xfId="1" applyNumberFormat="1" applyFont="1" applyAlignment="1"/>
    <xf numFmtId="166" fontId="1" fillId="0" borderId="1" xfId="2" applyNumberFormat="1" applyFont="1" applyFill="1" applyBorder="1"/>
    <xf numFmtId="167" fontId="1" fillId="0" borderId="0" xfId="1" applyNumberFormat="1" applyFont="1" applyBorder="1" applyAlignment="1"/>
    <xf numFmtId="168" fontId="1" fillId="0" borderId="0" xfId="2" applyNumberFormat="1" applyFont="1" applyFill="1"/>
    <xf numFmtId="167" fontId="1" fillId="0" borderId="1" xfId="1" applyNumberFormat="1" applyFont="1" applyBorder="1" applyAlignment="1"/>
    <xf numFmtId="169" fontId="0" fillId="0" borderId="0" xfId="0" applyNumberFormat="1" applyFont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166" fontId="1" fillId="0" borderId="0" xfId="2" applyNumberFormat="1" applyFont="1" applyFill="1" applyBorder="1"/>
    <xf numFmtId="10" fontId="0" fillId="0" borderId="0" xfId="3" applyNumberFormat="1" applyFont="1" applyAlignment="1"/>
    <xf numFmtId="44" fontId="0" fillId="0" borderId="0" xfId="0" applyNumberFormat="1" applyAlignment="1"/>
    <xf numFmtId="44" fontId="0" fillId="0" borderId="0" xfId="0" applyNumberFormat="1" applyFont="1" applyAlignment="1"/>
    <xf numFmtId="168" fontId="1" fillId="0" borderId="0" xfId="2" applyNumberFormat="1" applyFont="1" applyFill="1" applyBorder="1"/>
    <xf numFmtId="44" fontId="0" fillId="0" borderId="0" xfId="2" applyFont="1" applyAlignment="1"/>
    <xf numFmtId="0" fontId="0" fillId="0" borderId="0" xfId="0" applyFill="1" applyBorder="1" applyAlignment="1"/>
    <xf numFmtId="0" fontId="3" fillId="0" borderId="17" xfId="0" applyFont="1" applyBorder="1" applyAlignment="1"/>
    <xf numFmtId="0" fontId="0" fillId="0" borderId="19" xfId="0" applyFont="1" applyBorder="1" applyAlignment="1"/>
    <xf numFmtId="44" fontId="1" fillId="0" borderId="20" xfId="2" applyFont="1" applyBorder="1"/>
    <xf numFmtId="0" fontId="0" fillId="0" borderId="0" xfId="0" applyFont="1" applyBorder="1" applyAlignment="1"/>
    <xf numFmtId="43" fontId="46" fillId="0" borderId="0" xfId="1" applyNumberFormat="1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47" fillId="0" borderId="0" xfId="10" applyFont="1" applyFill="1" applyBorder="1" applyAlignment="1">
      <alignment horizontal="left"/>
    </xf>
    <xf numFmtId="164" fontId="3" fillId="0" borderId="0" xfId="1" applyNumberFormat="1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3" fontId="0" fillId="0" borderId="0" xfId="1" applyFont="1" applyFill="1" applyAlignment="1">
      <alignment vertical="top"/>
    </xf>
    <xf numFmtId="0" fontId="46" fillId="0" borderId="1" xfId="189" applyFont="1" applyBorder="1"/>
    <xf numFmtId="0" fontId="46" fillId="0" borderId="1" xfId="190" applyFont="1" applyBorder="1" applyAlignment="1">
      <alignment horizontal="left"/>
    </xf>
    <xf numFmtId="44" fontId="0" fillId="0" borderId="0" xfId="0" applyNumberFormat="1" applyFont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 textRotation="90"/>
    </xf>
    <xf numFmtId="0" fontId="2" fillId="0" borderId="0" xfId="190" applyFont="1" applyBorder="1" applyAlignment="1">
      <alignment horizontal="left"/>
    </xf>
    <xf numFmtId="170" fontId="0" fillId="0" borderId="0" xfId="0" applyNumberFormat="1" applyFont="1" applyBorder="1" applyAlignment="1"/>
    <xf numFmtId="0" fontId="0" fillId="0" borderId="24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32" borderId="25" xfId="0" applyFont="1" applyFill="1" applyBorder="1" applyAlignment="1">
      <alignment horizontal="left"/>
    </xf>
    <xf numFmtId="43" fontId="0" fillId="0" borderId="0" xfId="0" applyNumberFormat="1" applyFont="1" applyBorder="1" applyAlignment="1"/>
    <xf numFmtId="164" fontId="46" fillId="0" borderId="0" xfId="1" applyNumberFormat="1" applyFont="1" applyFill="1" applyBorder="1" applyAlignment="1">
      <alignment horizontal="left"/>
    </xf>
    <xf numFmtId="0" fontId="48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46" fillId="0" borderId="0" xfId="10" applyFont="1" applyFill="1" applyBorder="1" applyAlignment="1">
      <alignment horizontal="left"/>
    </xf>
    <xf numFmtId="43" fontId="0" fillId="0" borderId="0" xfId="1" applyFont="1" applyFill="1" applyBorder="1" applyAlignment="1">
      <alignment horizontal="right"/>
    </xf>
    <xf numFmtId="10" fontId="0" fillId="0" borderId="0" xfId="3" applyNumberFormat="1" applyFont="1" applyFill="1" applyBorder="1" applyAlignment="1"/>
    <xf numFmtId="171" fontId="0" fillId="0" borderId="0" xfId="0" applyNumberFormat="1" applyFont="1" applyFill="1" applyBorder="1" applyAlignment="1">
      <alignment horizontal="right"/>
    </xf>
    <xf numFmtId="0" fontId="46" fillId="0" borderId="0" xfId="12" applyFont="1" applyFill="1" applyBorder="1"/>
    <xf numFmtId="0" fontId="0" fillId="0" borderId="0" xfId="0" applyFont="1" applyFill="1" applyAlignment="1">
      <alignment vertical="top"/>
    </xf>
    <xf numFmtId="0" fontId="0" fillId="0" borderId="0" xfId="0" applyBorder="1"/>
    <xf numFmtId="2" fontId="0" fillId="0" borderId="0" xfId="0" applyNumberFormat="1"/>
    <xf numFmtId="0" fontId="0" fillId="0" borderId="0" xfId="0" applyAlignment="1">
      <alignment horizontal="left" indent="1"/>
    </xf>
    <xf numFmtId="0" fontId="3" fillId="35" borderId="1" xfId="0" applyFont="1" applyFill="1" applyBorder="1" applyAlignment="1"/>
    <xf numFmtId="0" fontId="0" fillId="35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0" fontId="0" fillId="35" borderId="18" xfId="0" applyFont="1" applyFill="1" applyBorder="1" applyAlignment="1">
      <alignment horizontal="center"/>
    </xf>
    <xf numFmtId="0" fontId="49" fillId="0" borderId="0" xfId="0" applyFont="1"/>
    <xf numFmtId="2" fontId="0" fillId="0" borderId="0" xfId="0" applyNumberFormat="1" applyFill="1"/>
    <xf numFmtId="164" fontId="0" fillId="0" borderId="0" xfId="1" applyNumberFormat="1" applyFont="1" applyFill="1" applyAlignment="1">
      <alignment vertical="top"/>
    </xf>
    <xf numFmtId="0" fontId="0" fillId="0" borderId="0" xfId="0" applyFont="1" applyFill="1" applyAlignment="1">
      <alignment horizontal="center"/>
    </xf>
    <xf numFmtId="0" fontId="0" fillId="0" borderId="0" xfId="0" applyFill="1"/>
    <xf numFmtId="43" fontId="0" fillId="0" borderId="0" xfId="1" applyFont="1" applyFill="1"/>
    <xf numFmtId="9" fontId="0" fillId="0" borderId="0" xfId="3" applyFont="1" applyBorder="1" applyAlignment="1"/>
    <xf numFmtId="43" fontId="46" fillId="0" borderId="0" xfId="0" applyNumberFormat="1" applyFont="1" applyFill="1" applyAlignment="1">
      <alignment vertical="top"/>
    </xf>
    <xf numFmtId="0" fontId="3" fillId="35" borderId="0" xfId="0" applyFont="1" applyFill="1"/>
    <xf numFmtId="0" fontId="0" fillId="35" borderId="0" xfId="0" applyFill="1"/>
    <xf numFmtId="2" fontId="0" fillId="35" borderId="0" xfId="0" applyNumberFormat="1" applyFill="1"/>
    <xf numFmtId="43" fontId="0" fillId="35" borderId="0" xfId="1" applyFont="1" applyFill="1"/>
    <xf numFmtId="0" fontId="3" fillId="35" borderId="1" xfId="0" applyFont="1" applyFill="1" applyBorder="1" applyAlignment="1">
      <alignment horizontal="center" wrapText="1"/>
    </xf>
    <xf numFmtId="0" fontId="3" fillId="35" borderId="1" xfId="0" applyFont="1" applyFill="1" applyBorder="1" applyAlignment="1">
      <alignment horizontal="center" vertical="center"/>
    </xf>
    <xf numFmtId="164" fontId="3" fillId="35" borderId="1" xfId="1" applyNumberFormat="1" applyFont="1" applyFill="1" applyBorder="1" applyAlignment="1">
      <alignment horizontal="center" wrapText="1"/>
    </xf>
    <xf numFmtId="0" fontId="0" fillId="35" borderId="1" xfId="0" applyFont="1" applyFill="1" applyBorder="1" applyAlignment="1">
      <alignment vertical="center" textRotation="90"/>
    </xf>
    <xf numFmtId="0" fontId="0" fillId="35" borderId="1" xfId="0" applyFont="1" applyFill="1" applyBorder="1" applyAlignment="1">
      <alignment horizontal="center" vertical="center"/>
    </xf>
    <xf numFmtId="0" fontId="47" fillId="35" borderId="1" xfId="10" applyFont="1" applyFill="1" applyBorder="1" applyAlignment="1">
      <alignment horizontal="left"/>
    </xf>
    <xf numFmtId="3" fontId="3" fillId="35" borderId="1" xfId="0" applyNumberFormat="1" applyFont="1" applyFill="1" applyBorder="1" applyAlignment="1">
      <alignment horizontal="right"/>
    </xf>
    <xf numFmtId="164" fontId="3" fillId="35" borderId="1" xfId="0" applyNumberFormat="1" applyFont="1" applyFill="1" applyBorder="1" applyAlignment="1"/>
    <xf numFmtId="43" fontId="0" fillId="35" borderId="1" xfId="0" applyNumberFormat="1" applyFont="1" applyFill="1" applyBorder="1" applyAlignment="1"/>
    <xf numFmtId="3" fontId="3" fillId="35" borderId="1" xfId="0" applyNumberFormat="1" applyFont="1" applyFill="1" applyBorder="1" applyAlignment="1"/>
    <xf numFmtId="164" fontId="3" fillId="35" borderId="1" xfId="1" applyNumberFormat="1" applyFont="1" applyFill="1" applyBorder="1" applyAlignment="1"/>
    <xf numFmtId="44" fontId="3" fillId="35" borderId="1" xfId="2" applyFont="1" applyFill="1" applyBorder="1"/>
    <xf numFmtId="0" fontId="0" fillId="35" borderId="0" xfId="0" applyFont="1" applyFill="1" applyBorder="1" applyAlignment="1"/>
    <xf numFmtId="0" fontId="0" fillId="35" borderId="0" xfId="0" applyFont="1" applyFill="1" applyBorder="1" applyAlignment="1">
      <alignment horizontal="center"/>
    </xf>
    <xf numFmtId="0" fontId="3" fillId="35" borderId="0" xfId="0" applyFont="1" applyFill="1" applyBorder="1" applyAlignment="1"/>
    <xf numFmtId="0" fontId="0" fillId="35" borderId="0" xfId="0" applyFont="1" applyFill="1" applyBorder="1" applyAlignment="1">
      <alignment horizontal="right"/>
    </xf>
    <xf numFmtId="43" fontId="0" fillId="0" borderId="0" xfId="0" applyNumberFormat="1" applyFont="1" applyFill="1" applyAlignment="1"/>
    <xf numFmtId="10" fontId="0" fillId="0" borderId="0" xfId="3" applyNumberFormat="1" applyFont="1" applyBorder="1" applyAlignment="1"/>
    <xf numFmtId="3" fontId="0" fillId="0" borderId="0" xfId="0" applyNumberFormat="1" applyFont="1" applyBorder="1" applyAlignment="1"/>
    <xf numFmtId="0" fontId="46" fillId="0" borderId="0" xfId="0" applyFont="1" applyFill="1" applyAlignment="1"/>
    <xf numFmtId="0" fontId="46" fillId="0" borderId="0" xfId="0" applyFont="1" applyFill="1" applyAlignment="1">
      <alignment horizontal="right"/>
    </xf>
    <xf numFmtId="44" fontId="46" fillId="0" borderId="0" xfId="2" applyFont="1" applyBorder="1"/>
    <xf numFmtId="44" fontId="3" fillId="0" borderId="0" xfId="0" applyNumberFormat="1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44" fontId="46" fillId="0" borderId="1" xfId="2" applyFont="1" applyFill="1" applyBorder="1"/>
    <xf numFmtId="164" fontId="1" fillId="0" borderId="0" xfId="1" applyNumberFormat="1" applyFont="1" applyFill="1" applyAlignment="1"/>
    <xf numFmtId="44" fontId="0" fillId="0" borderId="0" xfId="0" applyNumberFormat="1" applyFont="1" applyFill="1" applyBorder="1" applyAlignment="1"/>
    <xf numFmtId="44" fontId="46" fillId="0" borderId="0" xfId="2" applyFont="1" applyFill="1" applyBorder="1"/>
    <xf numFmtId="44" fontId="0" fillId="0" borderId="0" xfId="3" applyNumberFormat="1" applyFont="1" applyBorder="1" applyAlignment="1"/>
    <xf numFmtId="0" fontId="5" fillId="37" borderId="0" xfId="4" applyNumberFormat="1" applyFont="1" applyFill="1" applyAlignment="1">
      <alignment horizontal="center" wrapText="1"/>
    </xf>
    <xf numFmtId="44" fontId="6" fillId="0" borderId="0" xfId="2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44" fontId="6" fillId="0" borderId="0" xfId="5" applyFont="1" applyFill="1" applyAlignment="1" applyProtection="1">
      <alignment vertical="center"/>
    </xf>
    <xf numFmtId="44" fontId="5" fillId="0" borderId="0" xfId="2" applyFont="1" applyFill="1" applyAlignment="1">
      <alignment vertical="center"/>
    </xf>
    <xf numFmtId="164" fontId="5" fillId="0" borderId="0" xfId="6" applyNumberFormat="1" applyFont="1" applyFill="1" applyAlignment="1">
      <alignment vertical="center"/>
    </xf>
    <xf numFmtId="43" fontId="6" fillId="0" borderId="0" xfId="1" applyFont="1" applyFill="1" applyAlignment="1">
      <alignment vertical="center"/>
    </xf>
    <xf numFmtId="164" fontId="6" fillId="0" borderId="0" xfId="6" applyNumberFormat="1" applyFont="1" applyFill="1" applyBorder="1" applyAlignment="1">
      <alignment vertical="center"/>
    </xf>
    <xf numFmtId="44" fontId="6" fillId="0" borderId="0" xfId="2" applyFont="1" applyFill="1" applyBorder="1" applyAlignment="1">
      <alignment vertical="center"/>
    </xf>
    <xf numFmtId="10" fontId="5" fillId="0" borderId="0" xfId="9" applyNumberFormat="1" applyFont="1" applyFill="1" applyBorder="1"/>
    <xf numFmtId="3" fontId="5" fillId="0" borderId="0" xfId="4" applyNumberFormat="1" applyFont="1" applyFill="1" applyBorder="1"/>
    <xf numFmtId="164" fontId="6" fillId="0" borderId="0" xfId="1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4" fontId="6" fillId="0" borderId="0" xfId="5" applyFont="1" applyFill="1" applyBorder="1" applyAlignment="1" applyProtection="1">
      <alignment vertical="center"/>
    </xf>
    <xf numFmtId="37" fontId="6" fillId="0" borderId="0" xfId="4" applyNumberFormat="1" applyFont="1" applyFill="1" applyBorder="1"/>
    <xf numFmtId="164" fontId="6" fillId="0" borderId="0" xfId="4" applyNumberFormat="1" applyFont="1" applyFill="1" applyBorder="1"/>
    <xf numFmtId="10" fontId="6" fillId="0" borderId="0" xfId="9" applyNumberFormat="1" applyFont="1" applyFill="1" applyBorder="1"/>
    <xf numFmtId="0" fontId="6" fillId="0" borderId="0" xfId="4" applyNumberFormat="1" applyFont="1" applyFill="1" applyBorder="1"/>
    <xf numFmtId="44" fontId="6" fillId="0" borderId="0" xfId="5" applyFont="1" applyFill="1" applyBorder="1"/>
    <xf numFmtId="0" fontId="10" fillId="0" borderId="0" xfId="4" applyNumberFormat="1" applyFont="1" applyFill="1" applyBorder="1"/>
    <xf numFmtId="37" fontId="10" fillId="0" borderId="0" xfId="4" applyNumberFormat="1" applyFont="1" applyFill="1" applyBorder="1"/>
    <xf numFmtId="0" fontId="6" fillId="0" borderId="0" xfId="4" applyNumberFormat="1" applyFont="1" applyFill="1" applyBorder="1" applyAlignment="1">
      <alignment horizontal="right"/>
    </xf>
    <xf numFmtId="164" fontId="6" fillId="0" borderId="0" xfId="1" applyNumberFormat="1" applyFont="1" applyFill="1" applyBorder="1"/>
    <xf numFmtId="10" fontId="6" fillId="0" borderId="0" xfId="3" applyNumberFormat="1" applyFont="1" applyFill="1" applyBorder="1"/>
    <xf numFmtId="43" fontId="6" fillId="0" borderId="0" xfId="1" applyFont="1" applyFill="1" applyBorder="1"/>
    <xf numFmtId="43" fontId="6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right"/>
    </xf>
    <xf numFmtId="170" fontId="5" fillId="0" borderId="0" xfId="2" applyNumberFormat="1" applyFont="1" applyFill="1" applyBorder="1"/>
    <xf numFmtId="42" fontId="5" fillId="0" borderId="0" xfId="4" applyNumberFormat="1" applyFont="1" applyFill="1" applyBorder="1"/>
    <xf numFmtId="44" fontId="46" fillId="0" borderId="23" xfId="2" applyFont="1" applyFill="1" applyBorder="1"/>
    <xf numFmtId="10" fontId="0" fillId="0" borderId="0" xfId="0" applyNumberFormat="1" applyFont="1" applyAlignment="1"/>
    <xf numFmtId="43" fontId="0" fillId="0" borderId="0" xfId="1" applyFont="1" applyAlignment="1">
      <alignment horizontal="left"/>
    </xf>
    <xf numFmtId="0" fontId="51" fillId="0" borderId="0" xfId="0" applyFont="1"/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Border="1" applyAlignment="1"/>
    <xf numFmtId="42" fontId="0" fillId="0" borderId="0" xfId="0" applyNumberFormat="1" applyFont="1" applyBorder="1" applyAlignment="1"/>
    <xf numFmtId="0" fontId="3" fillId="0" borderId="0" xfId="0" applyFont="1" applyBorder="1"/>
    <xf numFmtId="0" fontId="3" fillId="0" borderId="0" xfId="0" applyFont="1" applyFill="1" applyBorder="1"/>
    <xf numFmtId="43" fontId="0" fillId="0" borderId="0" xfId="1" applyNumberFormat="1" applyFont="1"/>
    <xf numFmtId="0" fontId="0" fillId="0" borderId="0" xfId="0" applyFont="1" applyFill="1" applyBorder="1" applyAlignment="1">
      <alignment horizontal="center"/>
    </xf>
    <xf numFmtId="164" fontId="0" fillId="0" borderId="0" xfId="1" applyNumberFormat="1" applyFont="1" applyBorder="1" applyAlignment="1"/>
    <xf numFmtId="0" fontId="0" fillId="0" borderId="0" xfId="0" applyFont="1" applyBorder="1" applyAlignment="1">
      <alignment vertical="top"/>
    </xf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 wrapText="1"/>
    </xf>
    <xf numFmtId="44" fontId="0" fillId="0" borderId="0" xfId="2" applyFont="1" applyFill="1" applyBorder="1"/>
    <xf numFmtId="44" fontId="0" fillId="36" borderId="0" xfId="2" applyFont="1" applyFill="1" applyBorder="1"/>
    <xf numFmtId="44" fontId="0" fillId="0" borderId="0" xfId="2" applyNumberFormat="1" applyFont="1" applyFill="1" applyBorder="1"/>
    <xf numFmtId="0" fontId="0" fillId="0" borderId="0" xfId="0" applyFont="1" applyFill="1" applyBorder="1" applyAlignment="1">
      <alignment vertical="top"/>
    </xf>
    <xf numFmtId="43" fontId="0" fillId="35" borderId="1" xfId="1" applyFont="1" applyFill="1" applyBorder="1" applyAlignment="1"/>
    <xf numFmtId="44" fontId="0" fillId="35" borderId="1" xfId="2" applyFont="1" applyFill="1" applyBorder="1"/>
    <xf numFmtId="43" fontId="0" fillId="0" borderId="0" xfId="2" applyNumberFormat="1" applyFont="1" applyFill="1" applyBorder="1"/>
    <xf numFmtId="0" fontId="0" fillId="0" borderId="0" xfId="0" applyFont="1" applyFill="1" applyAlignment="1"/>
    <xf numFmtId="43" fontId="0" fillId="0" borderId="0" xfId="1" applyNumberFormat="1" applyFont="1" applyFill="1" applyBorder="1" applyAlignment="1"/>
    <xf numFmtId="44" fontId="0" fillId="0" borderId="0" xfId="1" applyNumberFormat="1" applyFont="1" applyFill="1" applyBorder="1" applyAlignment="1"/>
    <xf numFmtId="164" fontId="0" fillId="35" borderId="0" xfId="1" applyNumberFormat="1" applyFont="1" applyFill="1" applyBorder="1" applyAlignment="1"/>
    <xf numFmtId="44" fontId="0" fillId="35" borderId="0" xfId="1" applyNumberFormat="1" applyFont="1" applyFill="1" applyBorder="1" applyAlignment="1"/>
    <xf numFmtId="43" fontId="0" fillId="0" borderId="1" xfId="1" applyFont="1" applyBorder="1" applyAlignment="1">
      <alignment horizontal="right"/>
    </xf>
    <xf numFmtId="43" fontId="0" fillId="0" borderId="1" xfId="1" applyNumberFormat="1" applyFont="1" applyFill="1" applyBorder="1" applyAlignment="1"/>
    <xf numFmtId="164" fontId="0" fillId="0" borderId="1" xfId="1" applyNumberFormat="1" applyFont="1" applyFill="1" applyBorder="1" applyAlignment="1"/>
    <xf numFmtId="164" fontId="0" fillId="0" borderId="1" xfId="1" applyNumberFormat="1" applyFont="1" applyBorder="1" applyAlignment="1"/>
    <xf numFmtId="44" fontId="0" fillId="0" borderId="1" xfId="2" applyFont="1" applyFill="1" applyBorder="1"/>
    <xf numFmtId="43" fontId="0" fillId="0" borderId="1" xfId="2" applyNumberFormat="1" applyFont="1" applyFill="1" applyBorder="1"/>
    <xf numFmtId="0" fontId="0" fillId="0" borderId="0" xfId="0" applyFont="1" applyFill="1" applyAlignment="1">
      <alignment horizontal="left" vertical="top"/>
    </xf>
    <xf numFmtId="44" fontId="0" fillId="0" borderId="0" xfId="2" applyFont="1" applyBorder="1"/>
    <xf numFmtId="0" fontId="0" fillId="0" borderId="0" xfId="0" applyFont="1"/>
    <xf numFmtId="43" fontId="0" fillId="0" borderId="1" xfId="1" applyFont="1" applyFill="1" applyBorder="1" applyAlignment="1"/>
    <xf numFmtId="44" fontId="0" fillId="0" borderId="1" xfId="2" applyFont="1" applyBorder="1"/>
    <xf numFmtId="43" fontId="69" fillId="0" borderId="16" xfId="191" applyNumberFormat="1" applyFont="1" applyFill="1" applyBorder="1"/>
    <xf numFmtId="0" fontId="0" fillId="34" borderId="26" xfId="1" applyNumberFormat="1" applyFont="1" applyFill="1" applyBorder="1" applyAlignment="1"/>
    <xf numFmtId="164" fontId="0" fillId="0" borderId="0" xfId="1" applyNumberFormat="1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43" fontId="0" fillId="0" borderId="0" xfId="1" applyFont="1" applyBorder="1" applyAlignment="1"/>
    <xf numFmtId="170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66" fontId="0" fillId="0" borderId="0" xfId="2" applyNumberFormat="1" applyFont="1" applyBorder="1"/>
    <xf numFmtId="43" fontId="46" fillId="0" borderId="0" xfId="53" applyFont="1"/>
    <xf numFmtId="44" fontId="46" fillId="0" borderId="0" xfId="85" applyFont="1"/>
    <xf numFmtId="43" fontId="46" fillId="0" borderId="0" xfId="53" applyFont="1" applyFill="1"/>
    <xf numFmtId="164" fontId="46" fillId="0" borderId="0" xfId="6" applyNumberFormat="1" applyFont="1" applyFill="1" applyAlignment="1">
      <alignment vertical="center"/>
    </xf>
    <xf numFmtId="44" fontId="46" fillId="0" borderId="0" xfId="85" applyFont="1" applyFill="1"/>
    <xf numFmtId="0" fontId="70" fillId="0" borderId="0" xfId="0" applyFont="1" applyFill="1" applyBorder="1" applyAlignment="1">
      <alignment vertical="top"/>
    </xf>
    <xf numFmtId="164" fontId="46" fillId="0" borderId="0" xfId="1" applyNumberFormat="1" applyFont="1" applyFill="1" applyAlignment="1"/>
    <xf numFmtId="0" fontId="70" fillId="0" borderId="0" xfId="0" applyFont="1" applyFill="1" applyAlignment="1">
      <alignment vertical="top"/>
    </xf>
    <xf numFmtId="0" fontId="0" fillId="0" borderId="0" xfId="0" applyAlignment="1">
      <alignment wrapText="1"/>
    </xf>
    <xf numFmtId="165" fontId="0" fillId="0" borderId="0" xfId="3" applyNumberFormat="1" applyFont="1" applyAlignment="1"/>
    <xf numFmtId="2" fontId="46" fillId="0" borderId="0" xfId="0" applyNumberFormat="1" applyFont="1"/>
    <xf numFmtId="0" fontId="0" fillId="31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31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3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0" fillId="31" borderId="0" xfId="0" applyFont="1" applyFill="1" applyBorder="1" applyAlignment="1">
      <alignment horizontal="center"/>
    </xf>
  </cellXfs>
  <cellStyles count="490">
    <cellStyle name="20% - Accent1 2" xfId="13"/>
    <cellStyle name="20% - Accent1 2 2" xfId="445"/>
    <cellStyle name="20% - Accent1 2 3" xfId="218"/>
    <cellStyle name="20% - Accent1 3" xfId="14"/>
    <cellStyle name="20% - Accent1 3 2" xfId="446"/>
    <cellStyle name="20% - Accent1 3 3" xfId="217"/>
    <cellStyle name="20% - Accent2 2" xfId="15"/>
    <cellStyle name="20% - Accent2 2 2" xfId="220"/>
    <cellStyle name="20% - Accent2 3" xfId="219"/>
    <cellStyle name="20% - Accent3 2" xfId="16"/>
    <cellStyle name="20% - Accent3 2 2" xfId="222"/>
    <cellStyle name="20% - Accent3 3" xfId="221"/>
    <cellStyle name="20% - Accent4 2" xfId="17"/>
    <cellStyle name="20% - Accent4 2 2" xfId="447"/>
    <cellStyle name="20% - Accent4 2 3" xfId="224"/>
    <cellStyle name="20% - Accent4 3" xfId="18"/>
    <cellStyle name="20% - Accent4 3 2" xfId="448"/>
    <cellStyle name="20% - Accent4 3 3" xfId="223"/>
    <cellStyle name="20% - Accent5 2" xfId="19"/>
    <cellStyle name="20% - Accent5 3" xfId="225"/>
    <cellStyle name="20% - Accent6 2" xfId="20"/>
    <cellStyle name="20% - Accent6 2 2" xfId="227"/>
    <cellStyle name="20% - Accent6 3" xfId="226"/>
    <cellStyle name="40% - Accent1 2" xfId="21"/>
    <cellStyle name="40% - Accent1 3" xfId="22"/>
    <cellStyle name="40% - Accent1 3 2" xfId="449"/>
    <cellStyle name="40% - Accent1 3 3" xfId="228"/>
    <cellStyle name="40% - Accent2 2" xfId="23"/>
    <cellStyle name="40% - Accent2 3" xfId="229"/>
    <cellStyle name="40% - Accent3 2" xfId="24"/>
    <cellStyle name="40% - Accent3 2 2" xfId="231"/>
    <cellStyle name="40% - Accent3 3" xfId="230"/>
    <cellStyle name="40% - Accent4 2" xfId="25"/>
    <cellStyle name="40% - Accent4 3" xfId="26"/>
    <cellStyle name="40% - Accent4 3 2" xfId="450"/>
    <cellStyle name="40% - Accent4 3 3" xfId="232"/>
    <cellStyle name="40% - Accent5 2" xfId="27"/>
    <cellStyle name="40% - Accent5 3" xfId="233"/>
    <cellStyle name="40% - Accent6 2" xfId="28"/>
    <cellStyle name="40% - Accent6 3" xfId="29"/>
    <cellStyle name="40% - Accent6 3 2" xfId="451"/>
    <cellStyle name="40% - Accent6 3 3" xfId="234"/>
    <cellStyle name="60% - Accent1 2" xfId="30"/>
    <cellStyle name="60% - Accent1 2 2" xfId="452"/>
    <cellStyle name="60% - Accent1 2 3" xfId="236"/>
    <cellStyle name="60% - Accent1 3" xfId="31"/>
    <cellStyle name="60% - Accent1 3 2" xfId="453"/>
    <cellStyle name="60% - Accent1 3 3" xfId="235"/>
    <cellStyle name="60% - Accent2 2" xfId="32"/>
    <cellStyle name="60% - Accent2 3" xfId="237"/>
    <cellStyle name="60% - Accent3 2" xfId="33"/>
    <cellStyle name="60% - Accent3 3" xfId="34"/>
    <cellStyle name="60% - Accent3 3 2" xfId="454"/>
    <cellStyle name="60% - Accent3 3 3" xfId="238"/>
    <cellStyle name="60% - Accent4 2" xfId="35"/>
    <cellStyle name="60% - Accent4 3" xfId="36"/>
    <cellStyle name="60% - Accent4 3 2" xfId="455"/>
    <cellStyle name="60% - Accent4 3 3" xfId="239"/>
    <cellStyle name="60% - Accent5 2" xfId="37"/>
    <cellStyle name="60% - Accent5 2 2" xfId="456"/>
    <cellStyle name="60% - Accent5 2 3" xfId="241"/>
    <cellStyle name="60% - Accent5 3" xfId="240"/>
    <cellStyle name="60% - Accent6 2" xfId="38"/>
    <cellStyle name="60% - Accent6 2 2" xfId="243"/>
    <cellStyle name="60% - Accent6 3" xfId="242"/>
    <cellStyle name="Accent1 2" xfId="39"/>
    <cellStyle name="Accent1 2 2" xfId="457"/>
    <cellStyle name="Accent1 2 3" xfId="245"/>
    <cellStyle name="Accent1 3" xfId="40"/>
    <cellStyle name="Accent1 3 2" xfId="458"/>
    <cellStyle name="Accent1 3 3" xfId="244"/>
    <cellStyle name="Accent2 2" xfId="41"/>
    <cellStyle name="Accent2 3" xfId="246"/>
    <cellStyle name="Accent3 2" xfId="42"/>
    <cellStyle name="Accent3 2 2" xfId="459"/>
    <cellStyle name="Accent3 2 3" xfId="248"/>
    <cellStyle name="Accent3 3" xfId="247"/>
    <cellStyle name="Accent4 2" xfId="43"/>
    <cellStyle name="Accent4 2 2" xfId="250"/>
    <cellStyle name="Accent4 3" xfId="249"/>
    <cellStyle name="Accent5 2" xfId="44"/>
    <cellStyle name="Accent5 2 2" xfId="252"/>
    <cellStyle name="Accent5 3" xfId="251"/>
    <cellStyle name="Accent6 2" xfId="45"/>
    <cellStyle name="Accent6 2 2" xfId="460"/>
    <cellStyle name="Accent6 2 3" xfId="254"/>
    <cellStyle name="Accent6 3" xfId="253"/>
    <cellStyle name="Accounting" xfId="46"/>
    <cellStyle name="Accounting 2" xfId="255"/>
    <cellStyle name="Accounting 3" xfId="256"/>
    <cellStyle name="Accounting_2011-11" xfId="257"/>
    <cellStyle name="Bad 2" xfId="47"/>
    <cellStyle name="Bad 3" xfId="258"/>
    <cellStyle name="Budget" xfId="48"/>
    <cellStyle name="Budget 2" xfId="259"/>
    <cellStyle name="Budget 3" xfId="260"/>
    <cellStyle name="Budget_2011-11" xfId="261"/>
    <cellStyle name="Calculation 2" xfId="49"/>
    <cellStyle name="Calculation 2 2" xfId="461"/>
    <cellStyle name="Calculation 2 3" xfId="263"/>
    <cellStyle name="Calculation 3" xfId="50"/>
    <cellStyle name="Calculation 3 2" xfId="462"/>
    <cellStyle name="Calculation 3 3" xfId="262"/>
    <cellStyle name="Check Cell 2" xfId="51"/>
    <cellStyle name="Check Cell 2 2" xfId="265"/>
    <cellStyle name="Check Cell 3" xfId="264"/>
    <cellStyle name="combo" xfId="52"/>
    <cellStyle name="Comma" xfId="1" builtinId="3"/>
    <cellStyle name="Comma 10" xfId="53"/>
    <cellStyle name="Comma 11" xfId="54"/>
    <cellStyle name="Comma 12" xfId="55"/>
    <cellStyle name="Comma 12 2" xfId="389"/>
    <cellStyle name="Comma 12 3" xfId="393"/>
    <cellStyle name="Comma 12 4" xfId="266"/>
    <cellStyle name="Comma 13" xfId="56"/>
    <cellStyle name="Comma 14" xfId="57"/>
    <cellStyle name="Comma 15" xfId="58"/>
    <cellStyle name="Comma 16" xfId="59"/>
    <cellStyle name="Comma 17" xfId="60"/>
    <cellStyle name="Comma 17 2" xfId="463"/>
    <cellStyle name="Comma 17 3" xfId="402"/>
    <cellStyle name="Comma 18" xfId="61"/>
    <cellStyle name="Comma 18 2" xfId="404"/>
    <cellStyle name="Comma 18 3" xfId="464"/>
    <cellStyle name="Comma 18 4" xfId="403"/>
    <cellStyle name="Comma 19" xfId="400"/>
    <cellStyle name="Comma 2" xfId="62"/>
    <cellStyle name="Comma 2 2" xfId="6"/>
    <cellStyle name="Comma 2 2 2" xfId="63"/>
    <cellStyle name="Comma 2 3" xfId="64"/>
    <cellStyle name="Comma 2 4" xfId="65"/>
    <cellStyle name="Comma 2 4 2" xfId="465"/>
    <cellStyle name="Comma 2 4 3" xfId="405"/>
    <cellStyle name="Comma 2 5" xfId="444"/>
    <cellStyle name="Comma 2 6" xfId="193"/>
    <cellStyle name="Comma 2 6 2" xfId="194"/>
    <cellStyle name="Comma 20" xfId="191"/>
    <cellStyle name="Comma 21" xfId="192"/>
    <cellStyle name="Comma 3" xfId="66"/>
    <cellStyle name="Comma 3 2" xfId="67"/>
    <cellStyle name="Comma 3 2 2" xfId="68"/>
    <cellStyle name="Comma 3 3" xfId="69"/>
    <cellStyle name="Comma 3 4" xfId="70"/>
    <cellStyle name="Comma 4" xfId="71"/>
    <cellStyle name="Comma 4 2" xfId="72"/>
    <cellStyle name="Comma 4 2 2" xfId="394"/>
    <cellStyle name="Comma 4 2 3" xfId="406"/>
    <cellStyle name="Comma 4 3" xfId="73"/>
    <cellStyle name="Comma 4 3 2" xfId="395"/>
    <cellStyle name="Comma 4 3 3" xfId="407"/>
    <cellStyle name="Comma 4 4" xfId="74"/>
    <cellStyle name="Comma 4 4 2" xfId="408"/>
    <cellStyle name="Comma 4 4 3" xfId="409"/>
    <cellStyle name="Comma 4 5" xfId="75"/>
    <cellStyle name="Comma 4 5 2" xfId="410"/>
    <cellStyle name="Comma 4 6" xfId="391"/>
    <cellStyle name="Comma 5" xfId="76"/>
    <cellStyle name="Comma 5 2" xfId="411"/>
    <cellStyle name="Comma 5 3" xfId="412"/>
    <cellStyle name="Comma 6" xfId="11"/>
    <cellStyle name="Comma 6 2" xfId="77"/>
    <cellStyle name="Comma 7" xfId="78"/>
    <cellStyle name="Comma 8" xfId="79"/>
    <cellStyle name="Comma 9" xfId="80"/>
    <cellStyle name="Comma(2)" xfId="81"/>
    <cellStyle name="Comma0" xfId="413"/>
    <cellStyle name="Comma0 - Style2" xfId="82"/>
    <cellStyle name="Comma1 - Style1" xfId="83"/>
    <cellStyle name="Comments" xfId="84"/>
    <cellStyle name="Currency" xfId="2" builtinId="4"/>
    <cellStyle name="Currency 10" xfId="401"/>
    <cellStyle name="Currency 2" xfId="85"/>
    <cellStyle name="Currency 2 2" xfId="86"/>
    <cellStyle name="Currency 2 2 2" xfId="269"/>
    <cellStyle name="Currency 2 2 3" xfId="196"/>
    <cellStyle name="Currency 2 3" xfId="87"/>
    <cellStyle name="Currency 2 3 2" xfId="466"/>
    <cellStyle name="Currency 2 3 3" xfId="268"/>
    <cellStyle name="Currency 2 4" xfId="414"/>
    <cellStyle name="Currency 2 5" xfId="195"/>
    <cellStyle name="Currency 2 6" xfId="197"/>
    <cellStyle name="Currency 2 6 2" xfId="198"/>
    <cellStyle name="Currency 3" xfId="88"/>
    <cellStyle name="Currency 3 2" xfId="89"/>
    <cellStyle name="Currency 3 2 2" xfId="271"/>
    <cellStyle name="Currency 3 3" xfId="270"/>
    <cellStyle name="Currency 3 4" xfId="396"/>
    <cellStyle name="Currency 3 5" xfId="199"/>
    <cellStyle name="Currency 4" xfId="90"/>
    <cellStyle name="Currency 4 2" xfId="201"/>
    <cellStyle name="Currency 4 3" xfId="200"/>
    <cellStyle name="Currency 5" xfId="91"/>
    <cellStyle name="Currency 5 2" xfId="388"/>
    <cellStyle name="Currency 5 3" xfId="397"/>
    <cellStyle name="Currency 5 4" xfId="267"/>
    <cellStyle name="Currency 6" xfId="92"/>
    <cellStyle name="Currency 7" xfId="93"/>
    <cellStyle name="Currency 8" xfId="94"/>
    <cellStyle name="Currency 8 2" xfId="467"/>
    <cellStyle name="Currency 8 3" xfId="415"/>
    <cellStyle name="Currency 9" xfId="5"/>
    <cellStyle name="Currency0" xfId="416"/>
    <cellStyle name="Data Enter" xfId="95"/>
    <cellStyle name="date" xfId="96"/>
    <cellStyle name="Explanatory Text 2" xfId="97"/>
    <cellStyle name="Explanatory Text 3" xfId="272"/>
    <cellStyle name="F9ReportControlStyle_ctpInquire" xfId="417"/>
    <cellStyle name="FactSheet" xfId="98"/>
    <cellStyle name="fish" xfId="99"/>
    <cellStyle name="Good 2" xfId="100"/>
    <cellStyle name="Good 3" xfId="273"/>
    <cellStyle name="Good 4" xfId="418"/>
    <cellStyle name="Heading 1 2" xfId="101"/>
    <cellStyle name="Heading 1 2 2" xfId="468"/>
    <cellStyle name="Heading 1 2 3" xfId="275"/>
    <cellStyle name="Heading 1 3" xfId="102"/>
    <cellStyle name="Heading 1 3 2" xfId="469"/>
    <cellStyle name="Heading 1 3 3" xfId="274"/>
    <cellStyle name="Heading 2 2" xfId="103"/>
    <cellStyle name="Heading 2 2 2" xfId="470"/>
    <cellStyle name="Heading 2 2 3" xfId="277"/>
    <cellStyle name="Heading 2 3" xfId="104"/>
    <cellStyle name="Heading 2 3 2" xfId="471"/>
    <cellStyle name="Heading 2 3 3" xfId="276"/>
    <cellStyle name="Heading 3 2" xfId="105"/>
    <cellStyle name="Heading 3 2 2" xfId="472"/>
    <cellStyle name="Heading 3 2 3" xfId="279"/>
    <cellStyle name="Heading 3 3" xfId="106"/>
    <cellStyle name="Heading 3 3 2" xfId="473"/>
    <cellStyle name="Heading 3 3 3" xfId="278"/>
    <cellStyle name="Heading 4 2" xfId="107"/>
    <cellStyle name="Heading 4 2 2" xfId="281"/>
    <cellStyle name="Heading 4 3" xfId="280"/>
    <cellStyle name="Hyperlink 2" xfId="108"/>
    <cellStyle name="Hyperlink 3" xfId="109"/>
    <cellStyle name="Hyperlink 3 2" xfId="398"/>
    <cellStyle name="Input 2" xfId="110"/>
    <cellStyle name="Input 2 2" xfId="283"/>
    <cellStyle name="Input 3" xfId="282"/>
    <cellStyle name="input(0)" xfId="111"/>
    <cellStyle name="Input(2)" xfId="112"/>
    <cellStyle name="Linked Cell 2" xfId="113"/>
    <cellStyle name="Linked Cell 2 2" xfId="474"/>
    <cellStyle name="Linked Cell 2 3" xfId="285"/>
    <cellStyle name="Linked Cell 3" xfId="284"/>
    <cellStyle name="Neutral 2" xfId="114"/>
    <cellStyle name="Neutral 2 2" xfId="475"/>
    <cellStyle name="Neutral 2 3" xfId="287"/>
    <cellStyle name="Neutral 3" xfId="286"/>
    <cellStyle name="New_normal" xfId="115"/>
    <cellStyle name="Normal" xfId="0" builtinId="0"/>
    <cellStyle name="Normal - Style1" xfId="116"/>
    <cellStyle name="Normal - Style2" xfId="117"/>
    <cellStyle name="Normal - Style3" xfId="118"/>
    <cellStyle name="Normal - Style4" xfId="119"/>
    <cellStyle name="Normal - Style5" xfId="120"/>
    <cellStyle name="Normal 10" xfId="121"/>
    <cellStyle name="Normal 10 2" xfId="12"/>
    <cellStyle name="Normal 10 2 2" xfId="122"/>
    <cellStyle name="Normal 10 2 3" xfId="476"/>
    <cellStyle name="Normal 10 2 4" xfId="202"/>
    <cellStyle name="Normal 10_2112 DF Schedule" xfId="419"/>
    <cellStyle name="Normal 11" xfId="123"/>
    <cellStyle name="Normal 11 2" xfId="420"/>
    <cellStyle name="Normal 12" xfId="124"/>
    <cellStyle name="Normal 12 2" xfId="477"/>
    <cellStyle name="Normal 12 3" xfId="288"/>
    <cellStyle name="Normal 13" xfId="125"/>
    <cellStyle name="Normal 13 2" xfId="478"/>
    <cellStyle name="Normal 13 3" xfId="289"/>
    <cellStyle name="Normal 14" xfId="126"/>
    <cellStyle name="Normal 14 2" xfId="479"/>
    <cellStyle name="Normal 14 3" xfId="290"/>
    <cellStyle name="Normal 15" xfId="127"/>
    <cellStyle name="Normal 15 2" xfId="480"/>
    <cellStyle name="Normal 15 3" xfId="291"/>
    <cellStyle name="Normal 16" xfId="128"/>
    <cellStyle name="Normal 16 2" xfId="421"/>
    <cellStyle name="Normal 16 3" xfId="292"/>
    <cellStyle name="Normal 17" xfId="129"/>
    <cellStyle name="Normal 17 2" xfId="422"/>
    <cellStyle name="Normal 17 3" xfId="293"/>
    <cellStyle name="Normal 18" xfId="130"/>
    <cellStyle name="Normal 18 2" xfId="423"/>
    <cellStyle name="Normal 18 3" xfId="294"/>
    <cellStyle name="Normal 19" xfId="131"/>
    <cellStyle name="Normal 19 2" xfId="424"/>
    <cellStyle name="Normal 19 3" xfId="295"/>
    <cellStyle name="Normal 2" xfId="132"/>
    <cellStyle name="Normal 2 10" xfId="425"/>
    <cellStyle name="Normal 2 11" xfId="426"/>
    <cellStyle name="Normal 2 2" xfId="133"/>
    <cellStyle name="Normal 2 2 2" xfId="134"/>
    <cellStyle name="Normal 2 2 2 2" xfId="427"/>
    <cellStyle name="Normal 2 2 3" xfId="135"/>
    <cellStyle name="Normal 2 2 4" xfId="203"/>
    <cellStyle name="Normal 2 2_Actual_Fuel" xfId="296"/>
    <cellStyle name="Normal 2 3" xfId="136"/>
    <cellStyle name="Normal 2 3 2" xfId="137"/>
    <cellStyle name="Normal 2 3 3" xfId="138"/>
    <cellStyle name="Normal 2 3_Consolidated Pro forma" xfId="428"/>
    <cellStyle name="Normal 2 4" xfId="139"/>
    <cellStyle name="Normal 2 5" xfId="140"/>
    <cellStyle name="Normal 2 6" xfId="429"/>
    <cellStyle name="Normal 2 7" xfId="430"/>
    <cellStyle name="Normal 2 8" xfId="431"/>
    <cellStyle name="Normal 2 9" xfId="432"/>
    <cellStyle name="Normal 2_2009 Regulated Price Out" xfId="433"/>
    <cellStyle name="Normal 20" xfId="141"/>
    <cellStyle name="Normal 20 2" xfId="297"/>
    <cellStyle name="Normal 21" xfId="142"/>
    <cellStyle name="Normal 21 2" xfId="298"/>
    <cellStyle name="Normal 22" xfId="143"/>
    <cellStyle name="Normal 22 2" xfId="299"/>
    <cellStyle name="Normal 23" xfId="144"/>
    <cellStyle name="Normal 23 2" xfId="300"/>
    <cellStyle name="Normal 24" xfId="145"/>
    <cellStyle name="Normal 24 2" xfId="301"/>
    <cellStyle name="Normal 25" xfId="146"/>
    <cellStyle name="Normal 25 2" xfId="302"/>
    <cellStyle name="Normal 26" xfId="147"/>
    <cellStyle name="Normal 26 2" xfId="303"/>
    <cellStyle name="Normal 27" xfId="148"/>
    <cellStyle name="Normal 27 2" xfId="304"/>
    <cellStyle name="Normal 28" xfId="149"/>
    <cellStyle name="Normal 28 2" xfId="305"/>
    <cellStyle name="Normal 29" xfId="150"/>
    <cellStyle name="Normal 29 2" xfId="306"/>
    <cellStyle name="Normal 3" xfId="151"/>
    <cellStyle name="Normal 3 2" xfId="152"/>
    <cellStyle name="Normal 3 2 2" xfId="434"/>
    <cellStyle name="Normal 3 3" xfId="307"/>
    <cellStyle name="Normal 3 4" xfId="392"/>
    <cellStyle name="Normal 3_2012 PR" xfId="308"/>
    <cellStyle name="Normal 30" xfId="309"/>
    <cellStyle name="Normal 31" xfId="310"/>
    <cellStyle name="Normal 32" xfId="311"/>
    <cellStyle name="Normal 33" xfId="312"/>
    <cellStyle name="Normal 34" xfId="313"/>
    <cellStyle name="Normal 35" xfId="314"/>
    <cellStyle name="Normal 36" xfId="315"/>
    <cellStyle name="Normal 37" xfId="316"/>
    <cellStyle name="Normal 38" xfId="317"/>
    <cellStyle name="Normal 39" xfId="318"/>
    <cellStyle name="Normal 4" xfId="153"/>
    <cellStyle name="Normal 4 2" xfId="319"/>
    <cellStyle name="Normal 4 3" xfId="435"/>
    <cellStyle name="Normal 4 4" xfId="204"/>
    <cellStyle name="Normal 4_Misc Pivot" xfId="436"/>
    <cellStyle name="Normal 40" xfId="320"/>
    <cellStyle name="Normal 41" xfId="321"/>
    <cellStyle name="Normal 42" xfId="322"/>
    <cellStyle name="Normal 43" xfId="323"/>
    <cellStyle name="Normal 44" xfId="324"/>
    <cellStyle name="Normal 45" xfId="325"/>
    <cellStyle name="Normal 46" xfId="326"/>
    <cellStyle name="Normal 47" xfId="327"/>
    <cellStyle name="Normal 48" xfId="328"/>
    <cellStyle name="Normal 49" xfId="329"/>
    <cellStyle name="Normal 5" xfId="154"/>
    <cellStyle name="Normal 5 2" xfId="155"/>
    <cellStyle name="Normal 5 3" xfId="205"/>
    <cellStyle name="Normal 5_2112 DF Schedule" xfId="437"/>
    <cellStyle name="Normal 50" xfId="330"/>
    <cellStyle name="Normal 51" xfId="331"/>
    <cellStyle name="Normal 52" xfId="332"/>
    <cellStyle name="Normal 53" xfId="333"/>
    <cellStyle name="Normal 54" xfId="334"/>
    <cellStyle name="Normal 55" xfId="335"/>
    <cellStyle name="Normal 56" xfId="336"/>
    <cellStyle name="Normal 57" xfId="337"/>
    <cellStyle name="Normal 58" xfId="338"/>
    <cellStyle name="Normal 59" xfId="339"/>
    <cellStyle name="Normal 6" xfId="156"/>
    <cellStyle name="Normal 6 2" xfId="340"/>
    <cellStyle name="Normal 6 3" xfId="206"/>
    <cellStyle name="Normal 60" xfId="341"/>
    <cellStyle name="Normal 61" xfId="342"/>
    <cellStyle name="Normal 62" xfId="343"/>
    <cellStyle name="Normal 63" xfId="344"/>
    <cellStyle name="Normal 64" xfId="345"/>
    <cellStyle name="Normal 65" xfId="346"/>
    <cellStyle name="Normal 66" xfId="347"/>
    <cellStyle name="Normal 67" xfId="348"/>
    <cellStyle name="Normal 68" xfId="349"/>
    <cellStyle name="Normal 69" xfId="350"/>
    <cellStyle name="Normal 7" xfId="157"/>
    <cellStyle name="Normal 7 2" xfId="438"/>
    <cellStyle name="Normal 70" xfId="351"/>
    <cellStyle name="Normal 71" xfId="352"/>
    <cellStyle name="Normal 72" xfId="353"/>
    <cellStyle name="Normal 73" xfId="354"/>
    <cellStyle name="Normal 74" xfId="355"/>
    <cellStyle name="Normal 75" xfId="356"/>
    <cellStyle name="Normal 76" xfId="357"/>
    <cellStyle name="Normal 77" xfId="358"/>
    <cellStyle name="Normal 78" xfId="359"/>
    <cellStyle name="Normal 79" xfId="360"/>
    <cellStyle name="Normal 8" xfId="158"/>
    <cellStyle name="Normal 8 2" xfId="439"/>
    <cellStyle name="Normal 80" xfId="361"/>
    <cellStyle name="Normal 81" xfId="362"/>
    <cellStyle name="Normal 82" xfId="363"/>
    <cellStyle name="Normal 83" xfId="364"/>
    <cellStyle name="Normal 84" xfId="216"/>
    <cellStyle name="Normal 84 2" xfId="189"/>
    <cellStyle name="Normal 84 3" xfId="481"/>
    <cellStyle name="Normal 85" xfId="371"/>
    <cellStyle name="Normal 85 2" xfId="482"/>
    <cellStyle name="Normal 86" xfId="383"/>
    <cellStyle name="Normal 87" xfId="384"/>
    <cellStyle name="Normal 88" xfId="385"/>
    <cellStyle name="Normal 89" xfId="386"/>
    <cellStyle name="Normal 9" xfId="159"/>
    <cellStyle name="Normal 9 2" xfId="440"/>
    <cellStyle name="Normal 90" xfId="190"/>
    <cellStyle name="Normal 91" xfId="390"/>
    <cellStyle name="Normal 92" xfId="443"/>
    <cellStyle name="Normal 93" xfId="488"/>
    <cellStyle name="Normal 94" xfId="489"/>
    <cellStyle name="Normal_CostStudyTCII" xfId="4"/>
    <cellStyle name="Normal_Price out 2" xfId="10"/>
    <cellStyle name="Note 2" xfId="160"/>
    <cellStyle name="Note 2 2" xfId="483"/>
    <cellStyle name="Note 2 3" xfId="366"/>
    <cellStyle name="Note 3" xfId="161"/>
    <cellStyle name="Note 3 2" xfId="484"/>
    <cellStyle name="Note 3 3" xfId="365"/>
    <cellStyle name="Notes" xfId="162"/>
    <cellStyle name="Output 2" xfId="163"/>
    <cellStyle name="Output 2 2" xfId="368"/>
    <cellStyle name="Output 3" xfId="367"/>
    <cellStyle name="Percent" xfId="3" builtinId="5"/>
    <cellStyle name="Percent 2" xfId="164"/>
    <cellStyle name="Percent 2 2" xfId="165"/>
    <cellStyle name="Percent 2 2 2" xfId="370"/>
    <cellStyle name="Percent 2 2 3" xfId="207"/>
    <cellStyle name="Percent 2 3" xfId="166"/>
    <cellStyle name="Percent 2 4" xfId="399"/>
    <cellStyle name="Percent 2 6" xfId="208"/>
    <cellStyle name="Percent 3" xfId="167"/>
    <cellStyle name="Percent 3 2" xfId="209"/>
    <cellStyle name="Percent 4" xfId="9"/>
    <cellStyle name="Percent 4 2" xfId="7"/>
    <cellStyle name="Percent 4 3" xfId="441"/>
    <cellStyle name="Percent 5" xfId="168"/>
    <cellStyle name="Percent 5 2" xfId="372"/>
    <cellStyle name="Percent 6" xfId="373"/>
    <cellStyle name="Percent 7" xfId="8"/>
    <cellStyle name="Percent 7 2" xfId="387"/>
    <cellStyle name="Percent 7 3" xfId="485"/>
    <cellStyle name="Percent 7 4" xfId="369"/>
    <cellStyle name="Percent 8" xfId="442"/>
    <cellStyle name="Percent(1)" xfId="169"/>
    <cellStyle name="Percent(2)" xfId="170"/>
    <cellStyle name="PRM" xfId="171"/>
    <cellStyle name="PRM 2" xfId="374"/>
    <cellStyle name="PRM 3" xfId="375"/>
    <cellStyle name="PRM_2011-11" xfId="376"/>
    <cellStyle name="PS_Comma" xfId="210"/>
    <cellStyle name="PSChar" xfId="172"/>
    <cellStyle name="PSDate" xfId="211"/>
    <cellStyle name="PSDec" xfId="212"/>
    <cellStyle name="PSHeading" xfId="173"/>
    <cellStyle name="PSInt" xfId="213"/>
    <cellStyle name="PSSpacer" xfId="214"/>
    <cellStyle name="STYL0 - Style1" xfId="174"/>
    <cellStyle name="STYL1 - Style2" xfId="175"/>
    <cellStyle name="STYL2 - Style3" xfId="176"/>
    <cellStyle name="STYL3 - Style4" xfId="177"/>
    <cellStyle name="STYL4 - Style5" xfId="178"/>
    <cellStyle name="STYL5 - Style6" xfId="179"/>
    <cellStyle name="STYL6 - Style7" xfId="180"/>
    <cellStyle name="STYL7 - Style8" xfId="181"/>
    <cellStyle name="Style 1" xfId="182"/>
    <cellStyle name="Style 1 2" xfId="377"/>
    <cellStyle name="STYLE1" xfId="183"/>
    <cellStyle name="sub heading" xfId="184"/>
    <cellStyle name="title 2" xfId="185"/>
    <cellStyle name="Title 2 2" xfId="379"/>
    <cellStyle name="Title 3" xfId="378"/>
    <cellStyle name="Total 2" xfId="186"/>
    <cellStyle name="Total 2 2" xfId="486"/>
    <cellStyle name="Total 2 3" xfId="381"/>
    <cellStyle name="Total 3" xfId="187"/>
    <cellStyle name="Total 3 2" xfId="487"/>
    <cellStyle name="Total 3 3" xfId="380"/>
    <cellStyle name="Warning Text 2" xfId="188"/>
    <cellStyle name="Warning Text 3" xfId="382"/>
    <cellStyle name="WM_STANDARD" xfId="21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6</xdr:col>
      <xdr:colOff>507001</xdr:colOff>
      <xdr:row>98</xdr:row>
      <xdr:rowOff>56405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84667"/>
          <a:ext cx="8000001" cy="5961905"/>
        </a:xfrm>
        <a:prstGeom prst="rect">
          <a:avLst/>
        </a:prstGeom>
      </xdr:spPr>
    </xdr:pic>
    <xdr:clientData/>
  </xdr:twoCellAnchor>
  <xdr:twoCellAnchor>
    <xdr:from>
      <xdr:col>7</xdr:col>
      <xdr:colOff>63499</xdr:colOff>
      <xdr:row>93</xdr:row>
      <xdr:rowOff>179916</xdr:rowOff>
    </xdr:from>
    <xdr:to>
      <xdr:col>8</xdr:col>
      <xdr:colOff>370416</xdr:colOff>
      <xdr:row>95</xdr:row>
      <xdr:rowOff>105833</xdr:rowOff>
    </xdr:to>
    <xdr:sp macro="" textlink="">
      <xdr:nvSpPr>
        <xdr:cNvPr id="3" name="Left Arrow 2"/>
        <xdr:cNvSpPr/>
      </xdr:nvSpPr>
      <xdr:spPr>
        <a:xfrm>
          <a:off x="8276166" y="17917583"/>
          <a:ext cx="920750" cy="306917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irmgardw\AppData\Local\Microsoft\Windows\Temporary%20Internet%20Files\Content.Outlook\VR8UJBA4\TG-152088\TG-152088%20Mason%20County%20DF%20Calc%201-1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Western%20Region/WUTC/WUTC-Mason%202149/Rate%20Filing/General%20Rate%20Filing%2011-13-2012/Audit/FINAL/Staff%20final%20Mason%20Proforma%20Linked%203-13-2013%20%20-%20Company%20Ra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3080</v>
          </cell>
        </row>
      </sheetData>
      <sheetData sheetId="4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DF Calc"/>
      <sheetName val="Rates"/>
      <sheetName val="Rev Inc %"/>
    </sheetNames>
    <sheetDataSet>
      <sheetData sheetId="0">
        <row r="9">
          <cell r="B9">
            <v>4.333333333333333</v>
          </cell>
        </row>
        <row r="10">
          <cell r="B10">
            <v>2.1666666666666665</v>
          </cell>
        </row>
        <row r="11">
          <cell r="B11">
            <v>1</v>
          </cell>
        </row>
      </sheetData>
      <sheetData sheetId="1">
        <row r="7">
          <cell r="K7">
            <v>3.1384217790711343E-2</v>
          </cell>
        </row>
      </sheetData>
      <sheetData sheetId="2">
        <row r="10">
          <cell r="B10">
            <v>4.3899999999999997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Legal Exp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2012 Capital Structure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1753938.3114074212</v>
          </cell>
        </row>
        <row r="214">
          <cell r="L214">
            <v>852492.14253095828</v>
          </cell>
        </row>
        <row r="278">
          <cell r="L278">
            <v>837580.65530511085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J15">
            <v>2138.64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3">
          <cell r="L23">
            <v>2329.3388396454475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69"/>
  <sheetViews>
    <sheetView view="pageBreakPreview" topLeftCell="A25" zoomScale="85" zoomScaleNormal="90" zoomScaleSheetLayoutView="85" zoomScalePageLayoutView="60" workbookViewId="0">
      <selection activeCell="O31" sqref="O31"/>
    </sheetView>
  </sheetViews>
  <sheetFormatPr defaultColWidth="9.140625" defaultRowHeight="15"/>
  <cols>
    <col min="1" max="1" width="42.5703125" style="51" customWidth="1"/>
    <col min="2" max="2" width="16.7109375" style="51" customWidth="1"/>
    <col min="3" max="3" width="15" style="51" customWidth="1"/>
    <col min="4" max="4" width="16.5703125" style="51" customWidth="1"/>
    <col min="5" max="5" width="9.140625" style="51"/>
    <col min="6" max="6" width="12.42578125" style="51" customWidth="1"/>
    <col min="7" max="7" width="10.7109375" style="51" customWidth="1"/>
    <col min="8" max="16384" width="9.140625" style="51"/>
  </cols>
  <sheetData>
    <row r="1" spans="1:8">
      <c r="A1" s="55" t="s">
        <v>252</v>
      </c>
    </row>
    <row r="2" spans="1:8">
      <c r="A2" s="55" t="s">
        <v>253</v>
      </c>
    </row>
    <row r="4" spans="1:8">
      <c r="A4" s="249" t="s">
        <v>46</v>
      </c>
      <c r="B4" s="249"/>
      <c r="C4" s="249"/>
      <c r="D4" s="249"/>
      <c r="E4" s="249"/>
      <c r="F4" s="249"/>
      <c r="G4" s="249"/>
      <c r="H4" s="249"/>
    </row>
    <row r="5" spans="1:8">
      <c r="A5" s="52" t="s">
        <v>47</v>
      </c>
      <c r="B5" s="23" t="s">
        <v>48</v>
      </c>
      <c r="C5" s="23" t="s">
        <v>49</v>
      </c>
      <c r="D5" s="23" t="s">
        <v>50</v>
      </c>
      <c r="E5" s="24" t="s">
        <v>51</v>
      </c>
      <c r="F5" s="24" t="s">
        <v>52</v>
      </c>
      <c r="G5" s="24" t="s">
        <v>53</v>
      </c>
      <c r="H5" s="23" t="s">
        <v>54</v>
      </c>
    </row>
    <row r="6" spans="1:8">
      <c r="A6" s="52" t="s">
        <v>55</v>
      </c>
      <c r="B6" s="53">
        <f>52*5/12</f>
        <v>21.666666666666668</v>
      </c>
      <c r="C6" s="26">
        <f>$B$6*2</f>
        <v>43.333333333333336</v>
      </c>
      <c r="D6" s="26">
        <f>$B$6*3</f>
        <v>65</v>
      </c>
      <c r="E6" s="26">
        <f>$B$6*4</f>
        <v>86.666666666666671</v>
      </c>
      <c r="F6" s="26">
        <f>$B$6*5</f>
        <v>108.33333333333334</v>
      </c>
      <c r="G6" s="26">
        <f>$B$6*6</f>
        <v>130</v>
      </c>
      <c r="H6" s="26">
        <f>$B$6*7</f>
        <v>151.66666666666669</v>
      </c>
    </row>
    <row r="7" spans="1:8">
      <c r="A7" s="52" t="s">
        <v>56</v>
      </c>
      <c r="B7" s="53">
        <f>52*4/12</f>
        <v>17.333333333333332</v>
      </c>
      <c r="C7" s="26">
        <f>$B$7*2</f>
        <v>34.666666666666664</v>
      </c>
      <c r="D7" s="26">
        <f>$B$7*3</f>
        <v>52</v>
      </c>
      <c r="E7" s="26">
        <f>$B$7*4</f>
        <v>69.333333333333329</v>
      </c>
      <c r="F7" s="26">
        <f>$B$7*5</f>
        <v>86.666666666666657</v>
      </c>
      <c r="G7" s="26">
        <f>$B$7*6</f>
        <v>104</v>
      </c>
      <c r="H7" s="26">
        <f>$B$7*7</f>
        <v>121.33333333333333</v>
      </c>
    </row>
    <row r="8" spans="1:8">
      <c r="A8" s="52" t="s">
        <v>57</v>
      </c>
      <c r="B8" s="53">
        <f>52*3/12</f>
        <v>13</v>
      </c>
      <c r="C8" s="26">
        <f>$B$8*2</f>
        <v>26</v>
      </c>
      <c r="D8" s="26">
        <f>$B$8*3</f>
        <v>39</v>
      </c>
      <c r="E8" s="26">
        <f>$B$8*4</f>
        <v>52</v>
      </c>
      <c r="F8" s="26">
        <f>$B$8*5</f>
        <v>65</v>
      </c>
      <c r="G8" s="26">
        <f>$B$8*6</f>
        <v>78</v>
      </c>
      <c r="H8" s="26">
        <f>$B$8*7</f>
        <v>91</v>
      </c>
    </row>
    <row r="9" spans="1:8">
      <c r="A9" s="52" t="s">
        <v>58</v>
      </c>
      <c r="B9" s="53">
        <f>52*2/12</f>
        <v>8.6666666666666661</v>
      </c>
      <c r="C9" s="54">
        <f>$B$9*2</f>
        <v>17.333333333333332</v>
      </c>
      <c r="D9" s="54">
        <f>$B$9*3</f>
        <v>26</v>
      </c>
      <c r="E9" s="54">
        <f>$B$9*4</f>
        <v>34.666666666666664</v>
      </c>
      <c r="F9" s="54">
        <f>$B$9*5</f>
        <v>43.333333333333329</v>
      </c>
      <c r="G9" s="54">
        <f>$B$9*6</f>
        <v>52</v>
      </c>
      <c r="H9" s="54">
        <f>$B$9*7</f>
        <v>60.666666666666664</v>
      </c>
    </row>
    <row r="10" spans="1:8">
      <c r="A10" s="52" t="s">
        <v>59</v>
      </c>
      <c r="B10" s="53">
        <f>52/12</f>
        <v>4.333333333333333</v>
      </c>
      <c r="C10" s="54">
        <f>$B$10*2</f>
        <v>8.6666666666666661</v>
      </c>
      <c r="D10" s="54">
        <f>$B$10*3</f>
        <v>13</v>
      </c>
      <c r="E10" s="54">
        <f>$B$10*4</f>
        <v>17.333333333333332</v>
      </c>
      <c r="F10" s="54">
        <f>$B$10*5</f>
        <v>21.666666666666664</v>
      </c>
      <c r="G10" s="54">
        <f>$B$10*6</f>
        <v>26</v>
      </c>
      <c r="H10" s="54">
        <f>$B$10*7</f>
        <v>30.333333333333332</v>
      </c>
    </row>
    <row r="11" spans="1:8">
      <c r="A11" s="52" t="s">
        <v>60</v>
      </c>
      <c r="B11" s="53">
        <f>26/12</f>
        <v>2.1666666666666665</v>
      </c>
      <c r="C11" s="54">
        <f>$B$11*2</f>
        <v>4.333333333333333</v>
      </c>
      <c r="D11" s="54">
        <f>$B$11*3</f>
        <v>6.5</v>
      </c>
      <c r="E11" s="54">
        <f>$B$11*4</f>
        <v>8.6666666666666661</v>
      </c>
      <c r="F11" s="54">
        <f>$B$11*5</f>
        <v>10.833333333333332</v>
      </c>
      <c r="G11" s="54">
        <f>$B$11*6</f>
        <v>13</v>
      </c>
      <c r="H11" s="54">
        <f>$B$11*7</f>
        <v>15.166666666666666</v>
      </c>
    </row>
    <row r="12" spans="1:8">
      <c r="A12" s="52" t="s">
        <v>61</v>
      </c>
      <c r="B12" s="53">
        <f>12/12</f>
        <v>1</v>
      </c>
      <c r="C12" s="54">
        <f>$B$12*2</f>
        <v>2</v>
      </c>
      <c r="D12" s="54">
        <f>$B$12*3</f>
        <v>3</v>
      </c>
      <c r="E12" s="54">
        <f>$B$12*4</f>
        <v>4</v>
      </c>
      <c r="F12" s="54">
        <f>$B$12*5</f>
        <v>5</v>
      </c>
      <c r="G12" s="54">
        <f>$B$12*6</f>
        <v>6</v>
      </c>
      <c r="H12" s="54">
        <f>$B$12*7</f>
        <v>7</v>
      </c>
    </row>
    <row r="13" spans="1:8">
      <c r="A13" s="52"/>
      <c r="B13" s="53"/>
      <c r="C13" s="54"/>
      <c r="D13" s="54"/>
      <c r="E13" s="54"/>
      <c r="F13" s="54"/>
      <c r="G13" s="54"/>
      <c r="H13" s="54"/>
    </row>
    <row r="14" spans="1:8">
      <c r="A14" s="249" t="s">
        <v>62</v>
      </c>
      <c r="B14" s="249"/>
      <c r="C14" s="54"/>
      <c r="D14" s="54"/>
      <c r="E14" s="54"/>
      <c r="F14" s="54"/>
      <c r="G14" s="54"/>
      <c r="H14" s="54"/>
    </row>
    <row r="15" spans="1:8">
      <c r="A15" s="55" t="s">
        <v>63</v>
      </c>
      <c r="B15" s="56" t="s">
        <v>64</v>
      </c>
      <c r="C15" s="54"/>
      <c r="D15" s="54"/>
      <c r="E15" s="54"/>
      <c r="F15" s="54"/>
      <c r="G15" s="54"/>
      <c r="H15" s="54"/>
    </row>
    <row r="16" spans="1:8">
      <c r="A16" s="28" t="s">
        <v>65</v>
      </c>
      <c r="B16" s="57">
        <v>20</v>
      </c>
      <c r="C16" s="54"/>
      <c r="D16" s="54"/>
      <c r="E16" s="54"/>
      <c r="F16" s="54"/>
      <c r="G16" s="54"/>
      <c r="H16" s="54"/>
    </row>
    <row r="17" spans="1:8">
      <c r="A17" s="28" t="s">
        <v>66</v>
      </c>
      <c r="B17" s="57">
        <v>34</v>
      </c>
      <c r="C17" s="54"/>
      <c r="D17" s="54"/>
      <c r="E17" s="54"/>
      <c r="F17" s="54"/>
      <c r="G17" s="54"/>
      <c r="H17" s="54"/>
    </row>
    <row r="18" spans="1:8">
      <c r="A18" s="28" t="s">
        <v>67</v>
      </c>
      <c r="B18" s="57">
        <v>51</v>
      </c>
      <c r="C18" s="54"/>
      <c r="D18" s="54"/>
      <c r="E18" s="54"/>
      <c r="F18" s="54"/>
      <c r="G18" s="54"/>
      <c r="H18" s="54"/>
    </row>
    <row r="19" spans="1:8">
      <c r="A19" s="28" t="s">
        <v>68</v>
      </c>
      <c r="B19" s="57">
        <v>77</v>
      </c>
      <c r="C19" s="54"/>
      <c r="D19" s="54"/>
      <c r="E19" s="54"/>
      <c r="F19" s="52" t="s">
        <v>69</v>
      </c>
      <c r="G19" s="57">
        <v>2000</v>
      </c>
      <c r="H19" s="54"/>
    </row>
    <row r="20" spans="1:8">
      <c r="A20" s="28" t="s">
        <v>70</v>
      </c>
      <c r="B20" s="57">
        <v>97</v>
      </c>
      <c r="C20" s="54"/>
      <c r="D20" s="54"/>
      <c r="E20" s="54"/>
      <c r="F20" s="52" t="s">
        <v>71</v>
      </c>
      <c r="G20" s="122" t="s">
        <v>72</v>
      </c>
      <c r="H20" s="54"/>
    </row>
    <row r="21" spans="1:8">
      <c r="A21" s="28" t="s">
        <v>73</v>
      </c>
      <c r="B21" s="57">
        <v>117</v>
      </c>
      <c r="C21" s="54"/>
      <c r="D21" s="54"/>
      <c r="E21" s="54"/>
      <c r="F21" s="52"/>
      <c r="G21" s="52"/>
      <c r="H21" s="54"/>
    </row>
    <row r="22" spans="1:8">
      <c r="A22" s="28" t="s">
        <v>74</v>
      </c>
      <c r="B22" s="57">
        <v>157</v>
      </c>
      <c r="C22" s="54"/>
      <c r="D22" s="54"/>
      <c r="E22" s="54"/>
      <c r="F22" s="150" t="s">
        <v>235</v>
      </c>
      <c r="G22" s="151">
        <v>12</v>
      </c>
      <c r="H22" s="54"/>
    </row>
    <row r="23" spans="1:8">
      <c r="A23" s="28" t="s">
        <v>216</v>
      </c>
      <c r="B23" s="57">
        <v>37</v>
      </c>
      <c r="C23" s="54" t="s">
        <v>81</v>
      </c>
      <c r="D23" s="54"/>
      <c r="E23" s="54"/>
      <c r="F23" s="58"/>
      <c r="G23" s="29"/>
      <c r="H23" s="54"/>
    </row>
    <row r="24" spans="1:8">
      <c r="A24" s="28" t="s">
        <v>215</v>
      </c>
      <c r="B24" s="157">
        <v>48</v>
      </c>
      <c r="C24" s="147" t="s">
        <v>239</v>
      </c>
      <c r="D24" s="147"/>
      <c r="E24" s="54"/>
      <c r="F24" s="58"/>
      <c r="G24" s="29"/>
      <c r="H24" s="54"/>
    </row>
    <row r="25" spans="1:8">
      <c r="A25" s="28" t="s">
        <v>237</v>
      </c>
      <c r="B25" s="57">
        <v>51</v>
      </c>
      <c r="C25" s="54" t="s">
        <v>240</v>
      </c>
      <c r="D25" s="54"/>
      <c r="E25" s="54"/>
      <c r="F25" s="54"/>
      <c r="G25" s="54"/>
      <c r="H25" s="54"/>
    </row>
    <row r="26" spans="1:8">
      <c r="A26" s="28" t="s">
        <v>238</v>
      </c>
      <c r="B26" s="57">
        <v>77</v>
      </c>
      <c r="C26" s="54" t="s">
        <v>241</v>
      </c>
      <c r="D26" s="54"/>
      <c r="E26" s="54"/>
      <c r="F26" s="54"/>
      <c r="G26" s="54"/>
      <c r="H26" s="54"/>
    </row>
    <row r="27" spans="1:8">
      <c r="A27" s="28" t="s">
        <v>75</v>
      </c>
      <c r="B27" s="57">
        <v>34</v>
      </c>
      <c r="C27" s="54"/>
      <c r="D27" s="54"/>
      <c r="E27" s="54"/>
      <c r="F27" s="54"/>
      <c r="G27" s="54"/>
      <c r="H27" s="54"/>
    </row>
    <row r="28" spans="1:8">
      <c r="A28" s="28" t="s">
        <v>76</v>
      </c>
      <c r="B28" s="57">
        <v>34</v>
      </c>
      <c r="C28" s="54"/>
      <c r="D28" s="54"/>
      <c r="E28" s="54"/>
      <c r="F28" s="54"/>
      <c r="G28" s="54"/>
      <c r="H28" s="54"/>
    </row>
    <row r="29" spans="1:8">
      <c r="A29" s="55" t="s">
        <v>77</v>
      </c>
      <c r="B29" s="57"/>
      <c r="C29" s="54"/>
      <c r="D29" s="54"/>
      <c r="E29" s="54"/>
      <c r="F29" s="54"/>
      <c r="G29" s="54"/>
      <c r="H29" s="54"/>
    </row>
    <row r="30" spans="1:8">
      <c r="A30" s="28" t="s">
        <v>78</v>
      </c>
      <c r="B30" s="57">
        <v>29</v>
      </c>
      <c r="C30" s="54"/>
      <c r="D30" s="54"/>
      <c r="E30" s="54"/>
      <c r="F30" s="54"/>
      <c r="G30" s="54"/>
      <c r="H30" s="54"/>
    </row>
    <row r="31" spans="1:8">
      <c r="A31" s="28" t="s">
        <v>79</v>
      </c>
      <c r="B31" s="57">
        <v>175</v>
      </c>
      <c r="C31" s="54"/>
      <c r="D31" s="54"/>
      <c r="E31" s="54"/>
      <c r="F31" s="54"/>
      <c r="G31" s="54"/>
      <c r="H31" s="54"/>
    </row>
    <row r="32" spans="1:8">
      <c r="A32" s="28" t="s">
        <v>80</v>
      </c>
      <c r="B32" s="57">
        <v>250</v>
      </c>
      <c r="C32" s="54"/>
      <c r="D32" s="54"/>
      <c r="E32" s="54"/>
      <c r="F32" s="54"/>
      <c r="G32" s="54"/>
      <c r="H32" s="54"/>
    </row>
    <row r="33" spans="1:8">
      <c r="A33" s="28" t="s">
        <v>82</v>
      </c>
      <c r="B33" s="57">
        <v>324</v>
      </c>
      <c r="C33" s="54"/>
      <c r="D33" s="54"/>
      <c r="E33" s="54"/>
      <c r="F33" s="54"/>
      <c r="G33" s="54"/>
      <c r="H33" s="54"/>
    </row>
    <row r="34" spans="1:8">
      <c r="A34" s="28" t="s">
        <v>83</v>
      </c>
      <c r="B34" s="57">
        <v>473</v>
      </c>
      <c r="C34" s="54"/>
      <c r="D34" s="54"/>
      <c r="E34" s="54"/>
      <c r="F34" s="54"/>
      <c r="G34" s="54"/>
      <c r="H34" s="54"/>
    </row>
    <row r="35" spans="1:8">
      <c r="A35" s="28" t="s">
        <v>84</v>
      </c>
      <c r="B35" s="57">
        <v>613</v>
      </c>
      <c r="C35" s="54"/>
      <c r="D35" s="54"/>
      <c r="E35" s="54"/>
      <c r="F35" s="54"/>
      <c r="G35" s="54"/>
      <c r="H35" s="54"/>
    </row>
    <row r="36" spans="1:8">
      <c r="A36" s="28" t="s">
        <v>85</v>
      </c>
      <c r="B36" s="57">
        <v>840</v>
      </c>
      <c r="C36" s="54"/>
      <c r="D36" s="54"/>
      <c r="E36" s="54"/>
      <c r="F36" s="54"/>
      <c r="G36" s="54"/>
      <c r="H36" s="54"/>
    </row>
    <row r="37" spans="1:8">
      <c r="A37" s="28" t="s">
        <v>86</v>
      </c>
      <c r="B37" s="57">
        <v>980</v>
      </c>
      <c r="C37" s="54"/>
      <c r="D37" s="54"/>
      <c r="E37" s="54"/>
      <c r="F37" s="54"/>
      <c r="G37" s="54"/>
      <c r="H37" s="54"/>
    </row>
    <row r="38" spans="1:8">
      <c r="A38" s="28" t="s">
        <v>87</v>
      </c>
      <c r="B38" s="57">
        <v>482</v>
      </c>
      <c r="C38" s="54" t="s">
        <v>81</v>
      </c>
      <c r="D38" s="54"/>
      <c r="E38" s="54"/>
      <c r="F38" s="54"/>
      <c r="G38" s="54"/>
      <c r="H38" s="54"/>
    </row>
    <row r="39" spans="1:8">
      <c r="A39" s="28" t="s">
        <v>88</v>
      </c>
      <c r="B39" s="57">
        <v>689</v>
      </c>
      <c r="C39" s="54" t="s">
        <v>81</v>
      </c>
      <c r="D39" s="54"/>
      <c r="E39" s="54"/>
      <c r="F39" s="54"/>
      <c r="G39" s="54"/>
      <c r="H39" s="54"/>
    </row>
    <row r="40" spans="1:8">
      <c r="A40" s="28" t="s">
        <v>89</v>
      </c>
      <c r="B40" s="57">
        <v>892</v>
      </c>
      <c r="C40" s="54" t="s">
        <v>81</v>
      </c>
      <c r="D40" s="54"/>
      <c r="E40" s="54"/>
      <c r="F40" s="54"/>
      <c r="G40" s="54"/>
      <c r="H40" s="54"/>
    </row>
    <row r="41" spans="1:8">
      <c r="A41" s="28" t="s">
        <v>90</v>
      </c>
      <c r="B41" s="57">
        <v>1301</v>
      </c>
      <c r="C41" s="54"/>
      <c r="D41" s="54"/>
      <c r="E41" s="54"/>
      <c r="F41" s="54"/>
      <c r="G41" s="54"/>
      <c r="H41" s="54"/>
    </row>
    <row r="42" spans="1:8">
      <c r="A42" s="28" t="s">
        <v>91</v>
      </c>
      <c r="B42" s="57">
        <v>1686</v>
      </c>
      <c r="C42" s="54"/>
      <c r="D42" s="54"/>
      <c r="E42" s="54"/>
      <c r="F42" s="54"/>
      <c r="G42" s="54"/>
      <c r="H42" s="54"/>
    </row>
    <row r="43" spans="1:8">
      <c r="A43" s="28" t="s">
        <v>92</v>
      </c>
      <c r="B43" s="57">
        <v>2046</v>
      </c>
      <c r="C43" s="54"/>
      <c r="D43" s="54"/>
      <c r="E43" s="54"/>
      <c r="F43" s="54"/>
      <c r="G43" s="54"/>
      <c r="H43" s="54"/>
    </row>
    <row r="44" spans="1:8">
      <c r="A44" s="28" t="s">
        <v>93</v>
      </c>
      <c r="B44" s="57">
        <v>2310</v>
      </c>
      <c r="C44" s="54"/>
      <c r="D44" s="54"/>
      <c r="E44" s="54"/>
      <c r="F44" s="54"/>
      <c r="G44" s="54"/>
      <c r="H44" s="54"/>
    </row>
    <row r="45" spans="1:8">
      <c r="A45" s="28" t="s">
        <v>94</v>
      </c>
      <c r="B45" s="57">
        <v>2800</v>
      </c>
      <c r="C45" s="54" t="s">
        <v>81</v>
      </c>
      <c r="D45" s="54"/>
      <c r="E45" s="54"/>
      <c r="F45" s="54"/>
      <c r="G45" s="54"/>
      <c r="H45" s="54"/>
    </row>
    <row r="46" spans="1:8">
      <c r="A46" s="28" t="s">
        <v>95</v>
      </c>
      <c r="B46" s="57">
        <v>125</v>
      </c>
      <c r="C46" s="54"/>
      <c r="D46" s="54"/>
      <c r="E46" s="54"/>
      <c r="F46" s="54"/>
      <c r="G46" s="54"/>
      <c r="H46" s="54"/>
    </row>
    <row r="47" spans="1:8">
      <c r="A47" s="52"/>
      <c r="B47" s="250" t="s">
        <v>96</v>
      </c>
      <c r="C47" s="250"/>
      <c r="D47" s="52"/>
      <c r="E47" s="52"/>
      <c r="F47" s="52"/>
      <c r="G47" s="52"/>
      <c r="H47" s="52"/>
    </row>
    <row r="48" spans="1:8">
      <c r="A48" s="52"/>
      <c r="B48" s="52"/>
      <c r="C48" s="52"/>
      <c r="D48" s="52"/>
      <c r="E48" s="52"/>
      <c r="F48" s="52"/>
      <c r="G48" s="52"/>
      <c r="H48" s="52"/>
    </row>
    <row r="49" spans="1:8">
      <c r="A49" s="52"/>
      <c r="B49" s="52"/>
      <c r="C49" s="52"/>
      <c r="D49" s="52"/>
      <c r="E49" s="52"/>
      <c r="F49" s="52"/>
      <c r="G49" s="52"/>
      <c r="H49" s="52"/>
    </row>
    <row r="50" spans="1:8">
      <c r="A50" s="115" t="s">
        <v>110</v>
      </c>
      <c r="B50" s="144" t="s">
        <v>97</v>
      </c>
      <c r="C50" s="116" t="s">
        <v>98</v>
      </c>
      <c r="D50" s="52"/>
      <c r="E50" s="52"/>
      <c r="F50" s="251" t="s">
        <v>99</v>
      </c>
      <c r="G50" s="251"/>
      <c r="H50" s="52"/>
    </row>
    <row r="51" spans="1:8">
      <c r="A51" s="50" t="s">
        <v>100</v>
      </c>
      <c r="B51" s="190">
        <v>93.45</v>
      </c>
      <c r="C51" s="60">
        <f>B51/2000</f>
        <v>4.6725000000000003E-2</v>
      </c>
      <c r="D51" s="52"/>
      <c r="E51" s="52"/>
      <c r="F51" s="52" t="s">
        <v>101</v>
      </c>
      <c r="G51" s="61">
        <f>0.015</f>
        <v>1.4999999999999999E-2</v>
      </c>
      <c r="H51" s="52"/>
    </row>
    <row r="52" spans="1:8">
      <c r="A52" s="50" t="s">
        <v>102</v>
      </c>
      <c r="B52" s="156">
        <f>B51*(1.029)</f>
        <v>96.160049999999998</v>
      </c>
      <c r="C52" s="62">
        <f>B52/2000</f>
        <v>4.8080024999999998E-2</v>
      </c>
      <c r="D52" s="191"/>
      <c r="E52" s="52"/>
      <c r="F52" s="52" t="s">
        <v>103</v>
      </c>
      <c r="G52" s="63">
        <f>0.004275</f>
        <v>4.2750000000000002E-3</v>
      </c>
      <c r="H52" s="52"/>
    </row>
    <row r="53" spans="1:8">
      <c r="A53" s="28" t="s">
        <v>185</v>
      </c>
      <c r="B53" s="59">
        <f>B52-B51</f>
        <v>2.7100499999999954</v>
      </c>
      <c r="C53" s="64">
        <f>C52-C51</f>
        <v>1.3550249999999958E-3</v>
      </c>
      <c r="D53" s="191">
        <f>B53/B51</f>
        <v>2.8999999999999949E-2</v>
      </c>
      <c r="E53" s="52"/>
      <c r="F53" s="52" t="s">
        <v>104</v>
      </c>
      <c r="G53" s="65"/>
      <c r="H53" s="52"/>
    </row>
    <row r="54" spans="1:8">
      <c r="A54" s="52"/>
      <c r="B54" s="247">
        <f>+B53/B51</f>
        <v>2.8999999999999949E-2</v>
      </c>
      <c r="C54" s="52"/>
      <c r="D54" s="52"/>
      <c r="E54" s="52"/>
      <c r="F54" s="52" t="s">
        <v>36</v>
      </c>
      <c r="G54" s="66">
        <f>SUM(G51:G53)</f>
        <v>1.9275E-2</v>
      </c>
      <c r="H54" s="52"/>
    </row>
    <row r="55" spans="1:8">
      <c r="A55" s="67"/>
      <c r="B55" s="68"/>
      <c r="C55" s="68"/>
      <c r="D55" s="69"/>
      <c r="E55" s="52"/>
      <c r="F55" s="52"/>
      <c r="G55" s="52"/>
      <c r="H55" s="52"/>
    </row>
    <row r="56" spans="1:8">
      <c r="A56" s="52"/>
      <c r="B56" s="117" t="s">
        <v>110</v>
      </c>
      <c r="C56" s="70"/>
      <c r="D56" s="69"/>
      <c r="E56" s="52"/>
      <c r="F56" s="52" t="s">
        <v>106</v>
      </c>
      <c r="G56" s="71">
        <f>1-G54</f>
        <v>0.98072499999999996</v>
      </c>
      <c r="H56" s="52"/>
    </row>
    <row r="57" spans="1:8">
      <c r="A57" s="52" t="s">
        <v>105</v>
      </c>
      <c r="B57" s="72">
        <f>B53</f>
        <v>2.7100499999999954</v>
      </c>
      <c r="C57" s="70"/>
      <c r="D57" s="69"/>
      <c r="E57" s="52"/>
      <c r="F57" s="52"/>
      <c r="G57" s="52"/>
      <c r="H57" s="52"/>
    </row>
    <row r="58" spans="1:8">
      <c r="A58" s="52" t="s">
        <v>107</v>
      </c>
      <c r="B58" s="73">
        <f>B57/$G$56</f>
        <v>2.7633128552856259</v>
      </c>
      <c r="C58" s="74"/>
      <c r="D58" s="69"/>
      <c r="E58" s="52"/>
      <c r="F58" s="52"/>
      <c r="G58" s="52"/>
      <c r="H58" s="52"/>
    </row>
    <row r="59" spans="1:8">
      <c r="A59" s="52" t="s">
        <v>108</v>
      </c>
      <c r="B59" s="30">
        <v>7794</v>
      </c>
      <c r="C59" s="69" t="s">
        <v>231</v>
      </c>
      <c r="D59" s="69"/>
      <c r="E59" s="52"/>
      <c r="F59" s="52"/>
      <c r="G59" s="52"/>
      <c r="H59" s="52"/>
    </row>
    <row r="60" spans="1:8">
      <c r="A60" s="55" t="s">
        <v>186</v>
      </c>
      <c r="B60" s="75">
        <f>B58*B59</f>
        <v>21537.260394096167</v>
      </c>
      <c r="C60" s="76"/>
      <c r="D60" s="69"/>
      <c r="E60" s="52"/>
      <c r="F60" s="52"/>
      <c r="G60" s="52"/>
      <c r="H60" s="52"/>
    </row>
    <row r="61" spans="1:8">
      <c r="A61" s="76"/>
      <c r="B61" s="76"/>
      <c r="C61" s="76"/>
      <c r="D61" s="69"/>
      <c r="E61" s="52"/>
      <c r="F61" s="52"/>
      <c r="G61" s="52"/>
      <c r="H61" s="52"/>
    </row>
    <row r="62" spans="1:8" ht="15.75" thickBot="1">
      <c r="D62" s="73"/>
      <c r="E62" s="52"/>
      <c r="F62" s="52"/>
      <c r="G62" s="52"/>
      <c r="H62" s="52"/>
    </row>
    <row r="63" spans="1:8">
      <c r="A63" s="77" t="s">
        <v>187</v>
      </c>
      <c r="B63" s="118" t="s">
        <v>188</v>
      </c>
      <c r="C63" s="52"/>
      <c r="D63" s="52"/>
      <c r="E63" s="52"/>
      <c r="F63" s="52"/>
      <c r="G63" s="52"/>
      <c r="H63" s="52"/>
    </row>
    <row r="64" spans="1:8">
      <c r="A64" s="78" t="s">
        <v>189</v>
      </c>
      <c r="B64" s="79">
        <f>'DF Calc (Mason Co.)'!R52</f>
        <v>21775.051481819057</v>
      </c>
      <c r="C64" s="52"/>
      <c r="D64" s="52"/>
      <c r="E64" s="52"/>
      <c r="F64" s="52"/>
      <c r="G64" s="52"/>
      <c r="H64" s="52"/>
    </row>
    <row r="65" spans="1:8">
      <c r="A65" s="78" t="s">
        <v>190</v>
      </c>
      <c r="B65" s="79">
        <f>B64-B60</f>
        <v>237.79108772288964</v>
      </c>
      <c r="C65" s="52"/>
      <c r="D65" s="52"/>
      <c r="E65" s="52"/>
      <c r="F65" s="52"/>
      <c r="G65" s="52"/>
      <c r="H65" s="52"/>
    </row>
    <row r="66" spans="1:8" ht="15.75" thickBot="1">
      <c r="A66" s="154"/>
      <c r="B66" s="155"/>
      <c r="C66" s="52"/>
    </row>
    <row r="69" spans="1:8">
      <c r="A69" s="45"/>
      <c r="B69" s="44"/>
      <c r="C69" s="153"/>
    </row>
  </sheetData>
  <mergeCells count="4">
    <mergeCell ref="A4:H4"/>
    <mergeCell ref="A14:B14"/>
    <mergeCell ref="B47:C47"/>
    <mergeCell ref="F50:G50"/>
  </mergeCells>
  <pageMargins left="0.7" right="0.7" top="0.75" bottom="0.75" header="0.3" footer="0.3"/>
  <pageSetup scale="47" orientation="portrait" r:id="rId1"/>
  <headerFooter>
    <oddFooter xml:space="preserve">&amp;L&amp;F - &amp;A
&amp;R&amp;P of &amp;N  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101"/>
  <sheetViews>
    <sheetView view="pageBreakPreview" zoomScale="85" zoomScaleNormal="80" zoomScaleSheetLayoutView="85" zoomScalePageLayoutView="50" workbookViewId="0">
      <selection activeCell="P19" sqref="P19"/>
    </sheetView>
  </sheetViews>
  <sheetFormatPr defaultColWidth="8.85546875" defaultRowHeight="15"/>
  <cols>
    <col min="1" max="1" width="4.140625" style="80" bestFit="1" customWidth="1"/>
    <col min="2" max="2" width="16.7109375" style="84" bestFit="1" customWidth="1"/>
    <col min="3" max="3" width="26.7109375" style="80" bestFit="1" customWidth="1"/>
    <col min="4" max="4" width="15.140625" style="88" customWidth="1"/>
    <col min="5" max="5" width="10" style="80" bestFit="1" customWidth="1"/>
    <col min="6" max="6" width="11.28515625" style="80" bestFit="1" customWidth="1"/>
    <col min="7" max="7" width="8.28515625" style="80" bestFit="1" customWidth="1"/>
    <col min="8" max="8" width="16.7109375" style="80" bestFit="1" customWidth="1"/>
    <col min="9" max="9" width="15.7109375" style="203" bestFit="1" customWidth="1"/>
    <col min="10" max="10" width="11.7109375" style="80" customWidth="1"/>
    <col min="11" max="11" width="13" style="80" customWidth="1"/>
    <col min="12" max="12" width="9.85546875" style="80" bestFit="1" customWidth="1"/>
    <col min="13" max="13" width="12.42578125" style="80" bestFit="1" customWidth="1"/>
    <col min="14" max="14" width="14.5703125" style="80" bestFit="1" customWidth="1"/>
    <col min="15" max="15" width="14.28515625" style="80" bestFit="1" customWidth="1"/>
    <col min="16" max="16" width="16.140625" style="80" bestFit="1" customWidth="1"/>
    <col min="17" max="17" width="20.140625" style="80" customWidth="1"/>
    <col min="18" max="18" width="21" style="80" bestFit="1" customWidth="1"/>
    <col min="19" max="19" width="12.85546875" style="80" bestFit="1" customWidth="1"/>
    <col min="20" max="16384" width="8.85546875" style="80"/>
  </cols>
  <sheetData>
    <row r="1" spans="1:21">
      <c r="A1" s="199" t="str">
        <f>References!A1</f>
        <v>Mason County Garbage Company, Inc. G-88</v>
      </c>
    </row>
    <row r="2" spans="1:21">
      <c r="A2" s="199" t="s">
        <v>255</v>
      </c>
    </row>
    <row r="3" spans="1:21">
      <c r="A3" s="200" t="s">
        <v>256</v>
      </c>
    </row>
    <row r="5" spans="1:21" ht="60">
      <c r="A5" s="115"/>
      <c r="B5" s="131" t="s">
        <v>191</v>
      </c>
      <c r="C5" s="132" t="s">
        <v>192</v>
      </c>
      <c r="D5" s="131" t="s">
        <v>254</v>
      </c>
      <c r="E5" s="131" t="s">
        <v>193</v>
      </c>
      <c r="F5" s="131" t="s">
        <v>194</v>
      </c>
      <c r="G5" s="131" t="s">
        <v>62</v>
      </c>
      <c r="H5" s="131" t="s">
        <v>195</v>
      </c>
      <c r="I5" s="133" t="s">
        <v>196</v>
      </c>
      <c r="J5" s="131" t="s">
        <v>197</v>
      </c>
      <c r="K5" s="131" t="s">
        <v>198</v>
      </c>
      <c r="L5" s="131" t="s">
        <v>111</v>
      </c>
      <c r="M5" s="131" t="s">
        <v>199</v>
      </c>
      <c r="N5" s="131" t="s">
        <v>236</v>
      </c>
      <c r="O5" s="131" t="s">
        <v>200</v>
      </c>
      <c r="P5" s="131" t="s">
        <v>201</v>
      </c>
      <c r="Q5" s="131" t="s">
        <v>202</v>
      </c>
      <c r="R5" s="131" t="s">
        <v>203</v>
      </c>
      <c r="S5" s="131" t="s">
        <v>204</v>
      </c>
    </row>
    <row r="6" spans="1:21" s="69" customFormat="1">
      <c r="A6" s="253" t="s">
        <v>183</v>
      </c>
      <c r="B6" s="82">
        <v>21</v>
      </c>
      <c r="C6" s="204" t="s">
        <v>3</v>
      </c>
      <c r="D6" s="205">
        <v>14</v>
      </c>
      <c r="E6" s="81">
        <f>References!$B$10</f>
        <v>4.333333333333333</v>
      </c>
      <c r="F6" s="205">
        <f>D6*E6*12</f>
        <v>728</v>
      </c>
      <c r="G6" s="238">
        <f>References!B16</f>
        <v>20</v>
      </c>
      <c r="H6" s="205">
        <f>F6*G6</f>
        <v>14560</v>
      </c>
      <c r="I6" s="206">
        <f t="shared" ref="I6:I14" si="0">$C$93*H6</f>
        <v>11255.071225017538</v>
      </c>
      <c r="J6" s="207">
        <f>References!$C$53*'DF Calc (Mason Co.)'!I6</f>
        <v>15.250902886679343</v>
      </c>
      <c r="K6" s="207">
        <f>J6/References!$G$56</f>
        <v>15.550641501623129</v>
      </c>
      <c r="L6" s="207">
        <f>K6/F6*E6</f>
        <v>9.2563342271566235E-2</v>
      </c>
      <c r="M6" s="239">
        <f>'Prop. Rates'!B21</f>
        <v>13.16</v>
      </c>
      <c r="N6" s="207">
        <f>L6+M6</f>
        <v>13.252563342271566</v>
      </c>
      <c r="O6" s="239">
        <f>'Prop. Rates'!D21</f>
        <v>13.25</v>
      </c>
      <c r="P6" s="207">
        <f>D6*M6*12</f>
        <v>2210.88</v>
      </c>
      <c r="Q6" s="207">
        <f>D6*O6*12</f>
        <v>2226</v>
      </c>
      <c r="R6" s="207">
        <f>Q6-P6</f>
        <v>15.119999999999891</v>
      </c>
      <c r="S6" s="208">
        <f t="shared" ref="S6:S14" si="1">N6</f>
        <v>13.252563342271566</v>
      </c>
      <c r="U6" s="158"/>
    </row>
    <row r="7" spans="1:21" s="69" customFormat="1">
      <c r="A7" s="253"/>
      <c r="B7" s="82">
        <v>21</v>
      </c>
      <c r="C7" s="204" t="s">
        <v>4</v>
      </c>
      <c r="D7" s="205">
        <v>2338</v>
      </c>
      <c r="E7" s="81">
        <f>References!$B$10</f>
        <v>4.333333333333333</v>
      </c>
      <c r="F7" s="205">
        <f t="shared" ref="F7:F40" si="2">D7*E7*12</f>
        <v>121575.99999999999</v>
      </c>
      <c r="G7" s="238">
        <f>References!$B$17</f>
        <v>34</v>
      </c>
      <c r="H7" s="205">
        <f t="shared" ref="H7:H40" si="3">F7*G7</f>
        <v>4133583.9999999995</v>
      </c>
      <c r="I7" s="206">
        <f t="shared" si="0"/>
        <v>3195314.7207824788</v>
      </c>
      <c r="J7" s="207">
        <f>References!$C$53*'DF Calc (Mason Co.)'!I7</f>
        <v>4329.7313295282647</v>
      </c>
      <c r="K7" s="207">
        <f>J7/References!$G$56</f>
        <v>4414.8271223108059</v>
      </c>
      <c r="L7" s="207">
        <f t="shared" ref="L7:L32" si="4">K7/F7*E7</f>
        <v>0.1573576818616626</v>
      </c>
      <c r="M7" s="239">
        <f>'Prop. Rates'!B11</f>
        <v>15.61</v>
      </c>
      <c r="N7" s="207">
        <f t="shared" ref="N7:N40" si="5">L7+M7</f>
        <v>15.767357681861663</v>
      </c>
      <c r="O7" s="239">
        <f>'Prop. Rates'!D11</f>
        <v>15.77</v>
      </c>
      <c r="P7" s="207">
        <f t="shared" ref="P7:P32" si="6">D7*M7*12</f>
        <v>437954.16000000003</v>
      </c>
      <c r="Q7" s="207">
        <f t="shared" ref="Q7:Q32" si="7">D7*O7*12</f>
        <v>442443.12</v>
      </c>
      <c r="R7" s="207">
        <f t="shared" ref="R7:R40" si="8">Q7-P7</f>
        <v>4488.9599999999627</v>
      </c>
      <c r="S7" s="208">
        <f t="shared" si="1"/>
        <v>15.767357681861663</v>
      </c>
      <c r="U7" s="158"/>
    </row>
    <row r="8" spans="1:21" s="69" customFormat="1">
      <c r="A8" s="253"/>
      <c r="B8" s="82">
        <v>21</v>
      </c>
      <c r="C8" s="204" t="s">
        <v>5</v>
      </c>
      <c r="D8" s="205">
        <v>457</v>
      </c>
      <c r="E8" s="81">
        <f>References!$B$10</f>
        <v>4.333333333333333</v>
      </c>
      <c r="F8" s="205">
        <f t="shared" si="2"/>
        <v>23764</v>
      </c>
      <c r="G8" s="240">
        <f>References!B18</f>
        <v>51</v>
      </c>
      <c r="H8" s="205">
        <f t="shared" si="3"/>
        <v>1211964</v>
      </c>
      <c r="I8" s="206">
        <f t="shared" si="0"/>
        <v>936864.08943387051</v>
      </c>
      <c r="J8" s="207">
        <f>References!$C$53*'DF Calc (Mason Co.)'!I8</f>
        <v>1269.4742627851265</v>
      </c>
      <c r="K8" s="207">
        <f>J8/References!$G$56</f>
        <v>1294.4242909940365</v>
      </c>
      <c r="L8" s="207">
        <f t="shared" si="4"/>
        <v>0.23603652279249387</v>
      </c>
      <c r="M8" s="239">
        <f>'Prop. Rates'!B12</f>
        <v>23.33</v>
      </c>
      <c r="N8" s="207">
        <f t="shared" si="5"/>
        <v>23.566036522792491</v>
      </c>
      <c r="O8" s="239">
        <f>'Prop. Rates'!D12</f>
        <v>23.57</v>
      </c>
      <c r="P8" s="207">
        <f t="shared" si="6"/>
        <v>127941.72</v>
      </c>
      <c r="Q8" s="207">
        <f t="shared" si="7"/>
        <v>129257.88</v>
      </c>
      <c r="R8" s="207">
        <f t="shared" si="8"/>
        <v>1316.1600000000035</v>
      </c>
      <c r="S8" s="208">
        <f t="shared" si="1"/>
        <v>23.566036522792491</v>
      </c>
      <c r="U8" s="158"/>
    </row>
    <row r="9" spans="1:21" s="69" customFormat="1">
      <c r="A9" s="253"/>
      <c r="B9" s="82">
        <v>21</v>
      </c>
      <c r="C9" s="204" t="s">
        <v>6</v>
      </c>
      <c r="D9" s="205">
        <v>32</v>
      </c>
      <c r="E9" s="81">
        <f>References!$B$10</f>
        <v>4.333333333333333</v>
      </c>
      <c r="F9" s="205">
        <f t="shared" si="2"/>
        <v>1664</v>
      </c>
      <c r="G9" s="240">
        <f>References!B19</f>
        <v>77</v>
      </c>
      <c r="H9" s="205">
        <f t="shared" si="3"/>
        <v>128128</v>
      </c>
      <c r="I9" s="206">
        <f t="shared" si="0"/>
        <v>99044.626780154329</v>
      </c>
      <c r="J9" s="207">
        <f>References!$C$53*'DF Calc (Mason Co.)'!I9</f>
        <v>134.20794540277819</v>
      </c>
      <c r="K9" s="207">
        <f>J9/References!$G$56</f>
        <v>136.84564521428351</v>
      </c>
      <c r="L9" s="207">
        <f t="shared" si="4"/>
        <v>0.35636886774552995</v>
      </c>
      <c r="M9" s="239">
        <f>'Prop. Rates'!B13</f>
        <v>31.47</v>
      </c>
      <c r="N9" s="207">
        <f t="shared" si="5"/>
        <v>31.826368867745529</v>
      </c>
      <c r="O9" s="239">
        <f>'Prop. Rates'!D13</f>
        <v>31.83</v>
      </c>
      <c r="P9" s="207">
        <f t="shared" si="6"/>
        <v>12084.48</v>
      </c>
      <c r="Q9" s="207">
        <f t="shared" si="7"/>
        <v>12222.72</v>
      </c>
      <c r="R9" s="207">
        <f t="shared" si="8"/>
        <v>138.23999999999978</v>
      </c>
      <c r="S9" s="208">
        <f t="shared" si="1"/>
        <v>31.826368867745529</v>
      </c>
      <c r="U9" s="158"/>
    </row>
    <row r="10" spans="1:21" s="69" customFormat="1">
      <c r="A10" s="253"/>
      <c r="B10" s="82">
        <v>21</v>
      </c>
      <c r="C10" s="204" t="s">
        <v>7</v>
      </c>
      <c r="D10" s="205">
        <v>4</v>
      </c>
      <c r="E10" s="81">
        <f>References!$B$10</f>
        <v>4.333333333333333</v>
      </c>
      <c r="F10" s="205">
        <f t="shared" si="2"/>
        <v>208</v>
      </c>
      <c r="G10" s="240">
        <f>References!B20</f>
        <v>97</v>
      </c>
      <c r="H10" s="205">
        <f t="shared" si="3"/>
        <v>20176</v>
      </c>
      <c r="I10" s="206">
        <f t="shared" si="0"/>
        <v>15596.312983238588</v>
      </c>
      <c r="J10" s="207">
        <f>References!$C$53*'DF Calc (Mason Co.)'!I10</f>
        <v>21.133394000112801</v>
      </c>
      <c r="K10" s="207">
        <f>J10/References!$G$56</f>
        <v>21.548746080820621</v>
      </c>
      <c r="L10" s="207">
        <f t="shared" si="4"/>
        <v>0.44893221001709621</v>
      </c>
      <c r="M10" s="239">
        <f>'Prop. Rates'!B14</f>
        <v>40.36</v>
      </c>
      <c r="N10" s="207">
        <f t="shared" si="5"/>
        <v>40.808932210017097</v>
      </c>
      <c r="O10" s="239">
        <f>'Prop. Rates'!D14</f>
        <v>40.81</v>
      </c>
      <c r="P10" s="207">
        <f t="shared" si="6"/>
        <v>1937.28</v>
      </c>
      <c r="Q10" s="207">
        <f t="shared" si="7"/>
        <v>1958.88</v>
      </c>
      <c r="R10" s="207">
        <f t="shared" si="8"/>
        <v>21.600000000000136</v>
      </c>
      <c r="S10" s="208">
        <f t="shared" si="1"/>
        <v>40.808932210017097</v>
      </c>
      <c r="U10" s="158"/>
    </row>
    <row r="11" spans="1:21" s="69" customFormat="1">
      <c r="A11" s="253"/>
      <c r="B11" s="82">
        <v>21</v>
      </c>
      <c r="C11" s="204" t="s">
        <v>8</v>
      </c>
      <c r="D11" s="205">
        <v>1</v>
      </c>
      <c r="E11" s="81">
        <f>References!$B$10</f>
        <v>4.333333333333333</v>
      </c>
      <c r="F11" s="205">
        <f t="shared" si="2"/>
        <v>52</v>
      </c>
      <c r="G11" s="240">
        <f>References!B21</f>
        <v>117</v>
      </c>
      <c r="H11" s="205">
        <f t="shared" si="3"/>
        <v>6084</v>
      </c>
      <c r="I11" s="206">
        <f t="shared" si="0"/>
        <v>4703.011904739471</v>
      </c>
      <c r="J11" s="207">
        <f>References!$C$53*'DF Calc (Mason Co.)'!I11</f>
        <v>6.3726987062195821</v>
      </c>
      <c r="K11" s="207">
        <f>J11/References!$G$56</f>
        <v>6.4979466274639499</v>
      </c>
      <c r="L11" s="207">
        <f t="shared" si="4"/>
        <v>0.54149555228866242</v>
      </c>
      <c r="M11" s="239">
        <f>'Prop. Rates'!B15</f>
        <v>48.28</v>
      </c>
      <c r="N11" s="207">
        <f t="shared" si="5"/>
        <v>48.821495552288667</v>
      </c>
      <c r="O11" s="239">
        <f>'Prop. Rates'!D15</f>
        <v>48.82</v>
      </c>
      <c r="P11" s="207">
        <f t="shared" si="6"/>
        <v>579.36</v>
      </c>
      <c r="Q11" s="207">
        <f t="shared" si="7"/>
        <v>585.84</v>
      </c>
      <c r="R11" s="207">
        <f t="shared" si="8"/>
        <v>6.4800000000000182</v>
      </c>
      <c r="S11" s="208">
        <f t="shared" si="1"/>
        <v>48.821495552288667</v>
      </c>
      <c r="U11" s="158"/>
    </row>
    <row r="12" spans="1:21" s="69" customFormat="1">
      <c r="A12" s="253"/>
      <c r="B12" s="82">
        <v>21</v>
      </c>
      <c r="C12" s="204" t="s">
        <v>9</v>
      </c>
      <c r="D12" s="205">
        <v>2</v>
      </c>
      <c r="E12" s="81">
        <f>References!$B$10</f>
        <v>4.333333333333333</v>
      </c>
      <c r="F12" s="205">
        <f t="shared" si="2"/>
        <v>104</v>
      </c>
      <c r="G12" s="240">
        <f>References!B22</f>
        <v>157</v>
      </c>
      <c r="H12" s="205">
        <f t="shared" si="3"/>
        <v>16328</v>
      </c>
      <c r="I12" s="206">
        <f t="shared" si="0"/>
        <v>12621.758445198238</v>
      </c>
      <c r="J12" s="207">
        <f>References!$C$53*'DF Calc (Mason Co.)'!I12</f>
        <v>17.102798237204691</v>
      </c>
      <c r="K12" s="207">
        <f>J12/References!$G$56</f>
        <v>17.438933683963082</v>
      </c>
      <c r="L12" s="207">
        <f t="shared" si="4"/>
        <v>0.72662223683179505</v>
      </c>
      <c r="M12" s="239">
        <f>'Prop. Rates'!B16</f>
        <v>56.07</v>
      </c>
      <c r="N12" s="207">
        <f t="shared" si="5"/>
        <v>56.796622236831794</v>
      </c>
      <c r="O12" s="239">
        <f>'Prop. Rates'!D16</f>
        <v>56.8</v>
      </c>
      <c r="P12" s="207">
        <f t="shared" si="6"/>
        <v>1345.68</v>
      </c>
      <c r="Q12" s="207">
        <f t="shared" si="7"/>
        <v>1363.1999999999998</v>
      </c>
      <c r="R12" s="207">
        <f t="shared" si="8"/>
        <v>17.519999999999754</v>
      </c>
      <c r="S12" s="208">
        <f t="shared" si="1"/>
        <v>56.796622236831794</v>
      </c>
      <c r="U12" s="158"/>
    </row>
    <row r="13" spans="1:21" s="69" customFormat="1">
      <c r="A13" s="253"/>
      <c r="B13" s="82">
        <v>21</v>
      </c>
      <c r="C13" s="204" t="s">
        <v>234</v>
      </c>
      <c r="D13" s="205">
        <v>500</v>
      </c>
      <c r="E13" s="81">
        <f>References!$B$10</f>
        <v>4.333333333333333</v>
      </c>
      <c r="F13" s="205">
        <f>D13*E13*12</f>
        <v>26000</v>
      </c>
      <c r="G13" s="240">
        <f>References!$B$24</f>
        <v>48</v>
      </c>
      <c r="H13" s="205">
        <f>F13*G13</f>
        <v>1248000</v>
      </c>
      <c r="I13" s="206">
        <f t="shared" si="0"/>
        <v>964720.39071578893</v>
      </c>
      <c r="J13" s="207">
        <f>References!$C$53*'DF Calc (Mason Co.)'!I13</f>
        <v>1307.2202474296578</v>
      </c>
      <c r="K13" s="207">
        <f>J13/References!$G$56</f>
        <v>1332.9121287105538</v>
      </c>
      <c r="L13" s="207">
        <f>K13/F13*E13</f>
        <v>0.22215202145175894</v>
      </c>
      <c r="M13" s="239">
        <f>'Prop. Rates'!B17</f>
        <v>20.99</v>
      </c>
      <c r="N13" s="207">
        <f>L13+M13</f>
        <v>21.212152021451757</v>
      </c>
      <c r="O13" s="239">
        <f>'Prop. Rates'!D17</f>
        <v>21.21</v>
      </c>
      <c r="P13" s="207">
        <f>D13*M13*12</f>
        <v>125940</v>
      </c>
      <c r="Q13" s="207">
        <f>D13*O13*12</f>
        <v>127260</v>
      </c>
      <c r="R13" s="207">
        <f>Q13-P13</f>
        <v>1320</v>
      </c>
      <c r="S13" s="208">
        <f t="shared" si="1"/>
        <v>21.212152021451757</v>
      </c>
      <c r="U13" s="158"/>
    </row>
    <row r="14" spans="1:21" s="69" customFormat="1">
      <c r="A14" s="253"/>
      <c r="B14" s="82">
        <v>21</v>
      </c>
      <c r="C14" s="204" t="s">
        <v>12</v>
      </c>
      <c r="D14" s="205">
        <v>22</v>
      </c>
      <c r="E14" s="81">
        <f>References!$B$10</f>
        <v>4.333333333333333</v>
      </c>
      <c r="F14" s="205">
        <f>D14*E14*12</f>
        <v>1144</v>
      </c>
      <c r="G14" s="240">
        <f>G13*2</f>
        <v>96</v>
      </c>
      <c r="H14" s="205">
        <f>F14*G14</f>
        <v>109824</v>
      </c>
      <c r="I14" s="206">
        <f t="shared" si="0"/>
        <v>84895.394382989427</v>
      </c>
      <c r="J14" s="207">
        <f>References!$C$53*'DF Calc (Mason Co.)'!I14</f>
        <v>115.03538177380989</v>
      </c>
      <c r="K14" s="207">
        <f>J14/References!$G$56</f>
        <v>117.29626732652873</v>
      </c>
      <c r="L14" s="207">
        <f>L13*2</f>
        <v>0.44430404290351788</v>
      </c>
      <c r="M14" s="239">
        <f>M13*2</f>
        <v>41.98</v>
      </c>
      <c r="N14" s="207">
        <f>L14+M14</f>
        <v>42.424304042903515</v>
      </c>
      <c r="O14" s="239">
        <f>O13*2</f>
        <v>42.42</v>
      </c>
      <c r="P14" s="207">
        <f>D14*M14*12</f>
        <v>11082.72</v>
      </c>
      <c r="Q14" s="207">
        <f>D14*O14*12</f>
        <v>11198.880000000001</v>
      </c>
      <c r="R14" s="207">
        <f>Q14-P14</f>
        <v>116.16000000000167</v>
      </c>
      <c r="S14" s="208">
        <f t="shared" si="1"/>
        <v>42.424304042903515</v>
      </c>
      <c r="U14" s="158"/>
    </row>
    <row r="15" spans="1:21" s="69" customFormat="1">
      <c r="A15" s="253"/>
      <c r="B15" s="82"/>
      <c r="C15" s="204"/>
      <c r="D15" s="205"/>
      <c r="E15" s="81"/>
      <c r="F15" s="205"/>
      <c r="G15" s="240"/>
      <c r="H15" s="205"/>
      <c r="I15" s="206"/>
      <c r="J15" s="207"/>
      <c r="K15" s="207"/>
      <c r="L15" s="207"/>
      <c r="M15" s="239"/>
      <c r="N15" s="207"/>
      <c r="O15" s="239"/>
      <c r="P15" s="207"/>
      <c r="Q15" s="207"/>
      <c r="R15" s="207"/>
      <c r="S15" s="208"/>
      <c r="U15" s="158"/>
    </row>
    <row r="16" spans="1:21" s="69" customFormat="1">
      <c r="A16" s="253"/>
      <c r="B16" s="82">
        <v>21</v>
      </c>
      <c r="C16" s="204" t="s">
        <v>10</v>
      </c>
      <c r="D16" s="205">
        <v>774</v>
      </c>
      <c r="E16" s="81">
        <f>References!$B$10</f>
        <v>4.333333333333333</v>
      </c>
      <c r="F16" s="205">
        <f t="shared" si="2"/>
        <v>40247.999999999993</v>
      </c>
      <c r="G16" s="240">
        <f>References!B23</f>
        <v>37</v>
      </c>
      <c r="H16" s="205">
        <f t="shared" si="3"/>
        <v>1489175.9999999998</v>
      </c>
      <c r="I16" s="206">
        <f>$C$93*H16</f>
        <v>1151152.6062216151</v>
      </c>
      <c r="J16" s="207">
        <f>References!$C$53*'DF Calc (Mason Co.)'!I16</f>
        <v>1559.8405602454393</v>
      </c>
      <c r="K16" s="207">
        <f>J16/References!$G$56</f>
        <v>1590.4973975838684</v>
      </c>
      <c r="L16" s="207">
        <f t="shared" si="4"/>
        <v>0.17124218320239756</v>
      </c>
      <c r="M16" s="239">
        <f>'Prop. Rates'!B24</f>
        <v>17.920000000000002</v>
      </c>
      <c r="N16" s="207">
        <f t="shared" si="5"/>
        <v>18.0912421832024</v>
      </c>
      <c r="O16" s="239">
        <f>'Prop. Rates'!D24</f>
        <v>18.09</v>
      </c>
      <c r="P16" s="207">
        <f t="shared" si="6"/>
        <v>166440.96000000002</v>
      </c>
      <c r="Q16" s="207">
        <f t="shared" si="7"/>
        <v>168019.91999999998</v>
      </c>
      <c r="R16" s="207">
        <f t="shared" si="8"/>
        <v>1578.9599999999627</v>
      </c>
      <c r="S16" s="208">
        <f>N16</f>
        <v>18.0912421832024</v>
      </c>
      <c r="U16" s="158"/>
    </row>
    <row r="17" spans="1:21" s="69" customFormat="1">
      <c r="A17" s="253"/>
      <c r="B17" s="82">
        <v>21</v>
      </c>
      <c r="C17" s="204" t="s">
        <v>13</v>
      </c>
      <c r="D17" s="205">
        <v>299</v>
      </c>
      <c r="E17" s="81">
        <f>References!$B$10</f>
        <v>4.333333333333333</v>
      </c>
      <c r="F17" s="205">
        <f t="shared" si="2"/>
        <v>15547.999999999998</v>
      </c>
      <c r="G17" s="240">
        <f>References!B24</f>
        <v>48</v>
      </c>
      <c r="H17" s="205">
        <f t="shared" si="3"/>
        <v>746303.99999999988</v>
      </c>
      <c r="I17" s="206">
        <f>$C$93*H17</f>
        <v>576902.79364804167</v>
      </c>
      <c r="J17" s="207">
        <f>References!$C$53*'DF Calc (Mason Co.)'!I17</f>
        <v>781.71770796293526</v>
      </c>
      <c r="K17" s="207">
        <f>J17/References!$G$56</f>
        <v>797.08145296891109</v>
      </c>
      <c r="L17" s="207">
        <f t="shared" si="4"/>
        <v>0.22215202145175897</v>
      </c>
      <c r="M17" s="239">
        <f>'Prop. Rates'!B25</f>
        <v>22.75</v>
      </c>
      <c r="N17" s="207">
        <f t="shared" si="5"/>
        <v>22.972152021451759</v>
      </c>
      <c r="O17" s="239">
        <f>'Prop. Rates'!D25</f>
        <v>22.97</v>
      </c>
      <c r="P17" s="207">
        <f t="shared" si="6"/>
        <v>81627</v>
      </c>
      <c r="Q17" s="207">
        <f t="shared" si="7"/>
        <v>82416.36</v>
      </c>
      <c r="R17" s="207">
        <f t="shared" si="8"/>
        <v>789.36000000000058</v>
      </c>
      <c r="S17" s="208">
        <f>N17</f>
        <v>22.972152021451759</v>
      </c>
      <c r="U17" s="158"/>
    </row>
    <row r="18" spans="1:21" s="69" customFormat="1">
      <c r="A18" s="253"/>
      <c r="B18" s="82">
        <v>21</v>
      </c>
      <c r="C18" s="204" t="s">
        <v>14</v>
      </c>
      <c r="D18" s="205">
        <v>261</v>
      </c>
      <c r="E18" s="81">
        <f>References!$B$10</f>
        <v>4.333333333333333</v>
      </c>
      <c r="F18" s="205">
        <f t="shared" si="2"/>
        <v>13572</v>
      </c>
      <c r="G18" s="240">
        <f>References!B25</f>
        <v>51</v>
      </c>
      <c r="H18" s="205">
        <f t="shared" si="3"/>
        <v>692172</v>
      </c>
      <c r="I18" s="206">
        <f>$C$93*H18</f>
        <v>535058.04670074442</v>
      </c>
      <c r="J18" s="207">
        <f>References!$C$53*'DF Calc (Mason Co.)'!I18</f>
        <v>725.01702973067393</v>
      </c>
      <c r="K18" s="207">
        <f>J18/References!$G$56</f>
        <v>739.26638938609085</v>
      </c>
      <c r="L18" s="207">
        <f t="shared" si="4"/>
        <v>0.23603652279249387</v>
      </c>
      <c r="M18" s="239">
        <f>'Prop. Rates'!B26</f>
        <v>27.85</v>
      </c>
      <c r="N18" s="209">
        <f t="shared" si="5"/>
        <v>28.086036522792494</v>
      </c>
      <c r="O18" s="239">
        <f>'Prop. Rates'!D26</f>
        <v>28.09</v>
      </c>
      <c r="P18" s="207">
        <f t="shared" si="6"/>
        <v>87226.200000000012</v>
      </c>
      <c r="Q18" s="207">
        <f t="shared" si="7"/>
        <v>87977.88</v>
      </c>
      <c r="R18" s="207">
        <f t="shared" si="8"/>
        <v>751.67999999999302</v>
      </c>
      <c r="S18" s="208">
        <f>N18</f>
        <v>28.086036522792494</v>
      </c>
      <c r="U18" s="158"/>
    </row>
    <row r="19" spans="1:21" s="69" customFormat="1">
      <c r="A19" s="253"/>
      <c r="B19" s="82">
        <v>21</v>
      </c>
      <c r="C19" s="204" t="s">
        <v>15</v>
      </c>
      <c r="D19" s="205">
        <v>77</v>
      </c>
      <c r="E19" s="81">
        <f>References!$B$10</f>
        <v>4.333333333333333</v>
      </c>
      <c r="F19" s="205">
        <f t="shared" si="2"/>
        <v>4003.9999999999995</v>
      </c>
      <c r="G19" s="240">
        <f>References!B26</f>
        <v>77</v>
      </c>
      <c r="H19" s="205">
        <f t="shared" si="3"/>
        <v>308307.99999999994</v>
      </c>
      <c r="I19" s="206">
        <f>$C$93*H19</f>
        <v>238326.13318974632</v>
      </c>
      <c r="J19" s="207">
        <f>References!$C$53*'DF Calc (Mason Co.)'!I19</f>
        <v>322.93786862543504</v>
      </c>
      <c r="K19" s="207">
        <f>J19/References!$G$56</f>
        <v>329.28483379686975</v>
      </c>
      <c r="L19" s="207">
        <f t="shared" si="4"/>
        <v>0.35636886774553</v>
      </c>
      <c r="M19" s="239">
        <f>'Prop. Rates'!B27</f>
        <v>34.619999999999997</v>
      </c>
      <c r="N19" s="207">
        <f t="shared" si="5"/>
        <v>34.976368867745528</v>
      </c>
      <c r="O19" s="239">
        <f>'Prop. Rates'!D27</f>
        <v>34.979999999999997</v>
      </c>
      <c r="P19" s="207">
        <f t="shared" si="6"/>
        <v>31988.879999999997</v>
      </c>
      <c r="Q19" s="207">
        <f t="shared" si="7"/>
        <v>32321.519999999997</v>
      </c>
      <c r="R19" s="207">
        <f t="shared" si="8"/>
        <v>332.63999999999942</v>
      </c>
      <c r="S19" s="208">
        <f>N19</f>
        <v>34.976368867745528</v>
      </c>
      <c r="U19" s="158"/>
    </row>
    <row r="20" spans="1:21" s="69" customFormat="1">
      <c r="A20" s="253"/>
      <c r="B20" s="82"/>
      <c r="C20" s="204"/>
      <c r="D20" s="205"/>
      <c r="E20" s="81"/>
      <c r="F20" s="205"/>
      <c r="G20" s="240"/>
      <c r="H20" s="205"/>
      <c r="I20" s="206"/>
      <c r="J20" s="207"/>
      <c r="K20" s="207"/>
      <c r="L20" s="207"/>
      <c r="M20" s="239"/>
      <c r="N20" s="207"/>
      <c r="O20" s="239"/>
      <c r="P20" s="207"/>
      <c r="Q20" s="207"/>
      <c r="R20" s="207"/>
      <c r="S20" s="208"/>
      <c r="U20" s="158"/>
    </row>
    <row r="21" spans="1:21" s="69" customFormat="1">
      <c r="A21" s="253"/>
      <c r="B21" s="82">
        <v>21</v>
      </c>
      <c r="C21" s="204" t="s">
        <v>16</v>
      </c>
      <c r="D21" s="205">
        <v>1451</v>
      </c>
      <c r="E21" s="81">
        <f>References!$B$11</f>
        <v>2.1666666666666665</v>
      </c>
      <c r="F21" s="205">
        <f t="shared" si="2"/>
        <v>37726</v>
      </c>
      <c r="G21" s="240">
        <f>References!B17</f>
        <v>34</v>
      </c>
      <c r="H21" s="205">
        <f t="shared" si="3"/>
        <v>1282684</v>
      </c>
      <c r="I21" s="206">
        <f t="shared" ref="I21:I26" si="9">$C$93*H21</f>
        <v>991531.57824109856</v>
      </c>
      <c r="J21" s="207">
        <f>References!$C$53*'DF Calc (Mason Co.)'!I21</f>
        <v>1343.5500768061404</v>
      </c>
      <c r="K21" s="207">
        <f>J21/References!$G$56</f>
        <v>1369.9559782876347</v>
      </c>
      <c r="L21" s="207">
        <f>K21/F21*E21</f>
        <v>7.8678840930831301E-2</v>
      </c>
      <c r="M21" s="239">
        <f>'Prop. Rates'!B18</f>
        <v>8.94</v>
      </c>
      <c r="N21" s="207">
        <f>L21+M21</f>
        <v>9.0186788409308303</v>
      </c>
      <c r="O21" s="239">
        <f>'Prop. Rates'!D18</f>
        <v>9.02</v>
      </c>
      <c r="P21" s="207">
        <f>D21*M21*12</f>
        <v>155663.27999999997</v>
      </c>
      <c r="Q21" s="207">
        <f>D21*N21*12</f>
        <v>157033.23597828762</v>
      </c>
      <c r="R21" s="207">
        <f>Q21-P21</f>
        <v>1369.9559782876458</v>
      </c>
      <c r="S21" s="208">
        <f t="shared" ref="S21:S26" si="10">N21</f>
        <v>9.0186788409308303</v>
      </c>
      <c r="U21" s="158"/>
    </row>
    <row r="22" spans="1:21" s="69" customFormat="1">
      <c r="A22" s="253"/>
      <c r="B22" s="82">
        <v>21</v>
      </c>
      <c r="C22" s="204" t="s">
        <v>17</v>
      </c>
      <c r="D22" s="205">
        <v>139</v>
      </c>
      <c r="E22" s="81">
        <f>References!$B$11</f>
        <v>2.1666666666666665</v>
      </c>
      <c r="F22" s="205">
        <f t="shared" si="2"/>
        <v>3613.9999999999995</v>
      </c>
      <c r="G22" s="240">
        <f>G8</f>
        <v>51</v>
      </c>
      <c r="H22" s="205">
        <f t="shared" si="3"/>
        <v>184313.99999999997</v>
      </c>
      <c r="I22" s="206">
        <f t="shared" si="9"/>
        <v>142477.14270383806</v>
      </c>
      <c r="J22" s="207">
        <f>References!$C$53*'DF Calc (Mason Co.)'!I22</f>
        <v>193.06009029226757</v>
      </c>
      <c r="K22" s="207">
        <f>J22/References!$G$56</f>
        <v>196.8544600089399</v>
      </c>
      <c r="L22" s="207">
        <f t="shared" si="4"/>
        <v>0.11801826139624695</v>
      </c>
      <c r="M22" s="239">
        <f>'Prop. Rates'!B19</f>
        <v>14.36</v>
      </c>
      <c r="N22" s="207">
        <f t="shared" si="5"/>
        <v>14.478018261396246</v>
      </c>
      <c r="O22" s="239">
        <f>'Prop. Rates'!D19</f>
        <v>14.48</v>
      </c>
      <c r="P22" s="207">
        <f t="shared" si="6"/>
        <v>23952.48</v>
      </c>
      <c r="Q22" s="207">
        <f t="shared" si="7"/>
        <v>24152.639999999999</v>
      </c>
      <c r="R22" s="207">
        <f t="shared" si="8"/>
        <v>200.15999999999985</v>
      </c>
      <c r="S22" s="208">
        <f t="shared" si="10"/>
        <v>14.478018261396246</v>
      </c>
      <c r="U22" s="158"/>
    </row>
    <row r="23" spans="1:21" s="69" customFormat="1">
      <c r="A23" s="253"/>
      <c r="B23" s="82">
        <v>21</v>
      </c>
      <c r="C23" s="204" t="s">
        <v>18</v>
      </c>
      <c r="D23" s="205">
        <v>469</v>
      </c>
      <c r="E23" s="81">
        <f>References!$B$11</f>
        <v>2.1666666666666665</v>
      </c>
      <c r="F23" s="205">
        <f t="shared" si="2"/>
        <v>12194</v>
      </c>
      <c r="G23" s="240">
        <f>References!B23</f>
        <v>37</v>
      </c>
      <c r="H23" s="205">
        <f t="shared" si="3"/>
        <v>451178</v>
      </c>
      <c r="I23" s="206">
        <f t="shared" si="9"/>
        <v>348766.51958523097</v>
      </c>
      <c r="J23" s="207">
        <f>References!$C$53*'DF Calc (Mason Co.)'!I23</f>
        <v>472.58735320097611</v>
      </c>
      <c r="K23" s="207">
        <f>J23/References!$G$56</f>
        <v>481.87550353154671</v>
      </c>
      <c r="L23" s="207">
        <f t="shared" si="4"/>
        <v>8.5621091601198768E-2</v>
      </c>
      <c r="M23" s="239">
        <f>'Prop. Rates'!B28</f>
        <v>10.67</v>
      </c>
      <c r="N23" s="207">
        <f t="shared" si="5"/>
        <v>10.755621091601199</v>
      </c>
      <c r="O23" s="239">
        <f>'Prop. Rates'!D28</f>
        <v>10.76</v>
      </c>
      <c r="P23" s="207">
        <f t="shared" si="6"/>
        <v>60050.759999999995</v>
      </c>
      <c r="Q23" s="207">
        <f>D23*N23*12</f>
        <v>60532.63550353155</v>
      </c>
      <c r="R23" s="207">
        <f t="shared" si="8"/>
        <v>481.8755035315553</v>
      </c>
      <c r="S23" s="208">
        <f t="shared" si="10"/>
        <v>10.755621091601199</v>
      </c>
      <c r="U23" s="158"/>
    </row>
    <row r="24" spans="1:21" s="69" customFormat="1">
      <c r="A24" s="253"/>
      <c r="B24" s="82">
        <v>21</v>
      </c>
      <c r="C24" s="204" t="s">
        <v>19</v>
      </c>
      <c r="D24" s="205">
        <v>104</v>
      </c>
      <c r="E24" s="81">
        <f>References!$B$11</f>
        <v>2.1666666666666665</v>
      </c>
      <c r="F24" s="205">
        <f t="shared" si="2"/>
        <v>2704</v>
      </c>
      <c r="G24" s="240">
        <f>References!B24</f>
        <v>48</v>
      </c>
      <c r="H24" s="205">
        <f t="shared" si="3"/>
        <v>129792</v>
      </c>
      <c r="I24" s="206">
        <f t="shared" si="9"/>
        <v>100330.92063444205</v>
      </c>
      <c r="J24" s="207">
        <f>References!$C$53*'DF Calc (Mason Co.)'!I24</f>
        <v>135.95090573268442</v>
      </c>
      <c r="K24" s="207">
        <f>J24/References!$G$56</f>
        <v>138.62286138589761</v>
      </c>
      <c r="L24" s="207">
        <f t="shared" si="4"/>
        <v>0.11107601072587948</v>
      </c>
      <c r="M24" s="239">
        <f>'Prop. Rates'!B29</f>
        <v>14.12</v>
      </c>
      <c r="N24" s="207">
        <f t="shared" si="5"/>
        <v>14.231076010725879</v>
      </c>
      <c r="O24" s="239">
        <f>'Prop. Rates'!D29</f>
        <v>14.23</v>
      </c>
      <c r="P24" s="207">
        <f t="shared" si="6"/>
        <v>17621.760000000002</v>
      </c>
      <c r="Q24" s="207">
        <f t="shared" si="7"/>
        <v>17759.04</v>
      </c>
      <c r="R24" s="207">
        <f t="shared" si="8"/>
        <v>137.27999999999884</v>
      </c>
      <c r="S24" s="208">
        <f t="shared" si="10"/>
        <v>14.231076010725879</v>
      </c>
      <c r="U24" s="158"/>
    </row>
    <row r="25" spans="1:21" s="69" customFormat="1">
      <c r="A25" s="253"/>
      <c r="B25" s="82">
        <v>21</v>
      </c>
      <c r="C25" s="204" t="s">
        <v>20</v>
      </c>
      <c r="D25" s="205">
        <v>92</v>
      </c>
      <c r="E25" s="81">
        <f>References!$B$11</f>
        <v>2.1666666666666665</v>
      </c>
      <c r="F25" s="205">
        <f t="shared" si="2"/>
        <v>2392</v>
      </c>
      <c r="G25" s="240">
        <f>References!B25</f>
        <v>51</v>
      </c>
      <c r="H25" s="205">
        <f t="shared" si="3"/>
        <v>121992</v>
      </c>
      <c r="I25" s="206">
        <f t="shared" si="9"/>
        <v>94301.418192468365</v>
      </c>
      <c r="J25" s="207">
        <f>References!$C$53*'DF Calc (Mason Co.)'!I25</f>
        <v>127.78077918624905</v>
      </c>
      <c r="K25" s="207">
        <f>J25/References!$G$56</f>
        <v>130.29216058145664</v>
      </c>
      <c r="L25" s="207">
        <f t="shared" si="4"/>
        <v>0.11801826139624695</v>
      </c>
      <c r="M25" s="239">
        <f>'Prop. Rates'!B30</f>
        <v>16.87</v>
      </c>
      <c r="N25" s="207">
        <f t="shared" si="5"/>
        <v>16.988018261396249</v>
      </c>
      <c r="O25" s="239">
        <f>'Prop. Rates'!D30</f>
        <v>16.989999999999998</v>
      </c>
      <c r="P25" s="207">
        <f t="shared" si="6"/>
        <v>18624.480000000003</v>
      </c>
      <c r="Q25" s="207">
        <f t="shared" si="7"/>
        <v>18756.96</v>
      </c>
      <c r="R25" s="207">
        <f t="shared" si="8"/>
        <v>132.47999999999593</v>
      </c>
      <c r="S25" s="208">
        <f t="shared" si="10"/>
        <v>16.988018261396249</v>
      </c>
      <c r="U25" s="158"/>
    </row>
    <row r="26" spans="1:21" s="69" customFormat="1">
      <c r="A26" s="253"/>
      <c r="B26" s="82">
        <v>21</v>
      </c>
      <c r="C26" s="204" t="s">
        <v>21</v>
      </c>
      <c r="D26" s="205">
        <v>32</v>
      </c>
      <c r="E26" s="81">
        <f>References!$B$11</f>
        <v>2.1666666666666665</v>
      </c>
      <c r="F26" s="205">
        <f t="shared" si="2"/>
        <v>832</v>
      </c>
      <c r="G26" s="240">
        <f>References!B26</f>
        <v>77</v>
      </c>
      <c r="H26" s="205">
        <f t="shared" si="3"/>
        <v>64064</v>
      </c>
      <c r="I26" s="206">
        <f t="shared" si="9"/>
        <v>49522.313390077165</v>
      </c>
      <c r="J26" s="207">
        <f>References!$C$53*'DF Calc (Mason Co.)'!I26</f>
        <v>67.103972701389097</v>
      </c>
      <c r="K26" s="207">
        <f>J26/References!$G$56</f>
        <v>68.422822607141754</v>
      </c>
      <c r="L26" s="207">
        <f t="shared" si="4"/>
        <v>0.17818443387276497</v>
      </c>
      <c r="M26" s="239">
        <f>'Prop. Rates'!B31</f>
        <v>21.08</v>
      </c>
      <c r="N26" s="207">
        <f t="shared" si="5"/>
        <v>21.258184433872763</v>
      </c>
      <c r="O26" s="239">
        <f>'Prop. Rates'!D31</f>
        <v>21.26</v>
      </c>
      <c r="P26" s="207">
        <f t="shared" si="6"/>
        <v>8094.7199999999993</v>
      </c>
      <c r="Q26" s="207">
        <f t="shared" si="7"/>
        <v>8163.84</v>
      </c>
      <c r="R26" s="207">
        <f t="shared" si="8"/>
        <v>69.1200000000008</v>
      </c>
      <c r="S26" s="208">
        <f t="shared" si="10"/>
        <v>21.258184433872763</v>
      </c>
      <c r="U26" s="158"/>
    </row>
    <row r="27" spans="1:21" s="69" customFormat="1">
      <c r="A27" s="253"/>
      <c r="B27" s="82"/>
      <c r="C27" s="204"/>
      <c r="D27" s="205"/>
      <c r="E27" s="81"/>
      <c r="F27" s="205"/>
      <c r="G27" s="240"/>
      <c r="H27" s="205"/>
      <c r="I27" s="206"/>
      <c r="J27" s="207"/>
      <c r="K27" s="207"/>
      <c r="L27" s="207"/>
      <c r="M27" s="239"/>
      <c r="N27" s="207"/>
      <c r="O27" s="239"/>
      <c r="P27" s="207"/>
      <c r="Q27" s="207"/>
      <c r="R27" s="207"/>
      <c r="S27" s="208"/>
      <c r="U27" s="158"/>
    </row>
    <row r="28" spans="1:21" s="69" customFormat="1">
      <c r="A28" s="253"/>
      <c r="B28" s="82">
        <v>21</v>
      </c>
      <c r="C28" s="204" t="s">
        <v>22</v>
      </c>
      <c r="D28" s="205">
        <v>215</v>
      </c>
      <c r="E28" s="81">
        <f>References!$B$12</f>
        <v>1</v>
      </c>
      <c r="F28" s="205">
        <f t="shared" si="2"/>
        <v>2580</v>
      </c>
      <c r="G28" s="240">
        <f>References!B17</f>
        <v>34</v>
      </c>
      <c r="H28" s="205">
        <f t="shared" si="3"/>
        <v>87720</v>
      </c>
      <c r="I28" s="206">
        <f>$C$93*H28</f>
        <v>67808.712078196317</v>
      </c>
      <c r="J28" s="207">
        <f>References!$C$53*'DF Calc (Mason Co.)'!I28</f>
        <v>91.882500083757677</v>
      </c>
      <c r="K28" s="207">
        <f>J28/References!$G$56</f>
        <v>93.688342893020661</v>
      </c>
      <c r="L28" s="207">
        <f t="shared" si="4"/>
        <v>3.6313311198845219E-2</v>
      </c>
      <c r="M28" s="239">
        <f>'Prop. Rates'!B20</f>
        <v>4.9400000000000004</v>
      </c>
      <c r="N28" s="207">
        <f t="shared" si="5"/>
        <v>4.9763133111988456</v>
      </c>
      <c r="O28" s="239">
        <f>'Prop. Rates'!D20</f>
        <v>4.9800000000000004</v>
      </c>
      <c r="P28" s="207">
        <f t="shared" si="6"/>
        <v>12745.2</v>
      </c>
      <c r="Q28" s="207">
        <f t="shared" si="7"/>
        <v>12848.400000000001</v>
      </c>
      <c r="R28" s="207">
        <f t="shared" si="8"/>
        <v>103.20000000000073</v>
      </c>
      <c r="S28" s="208">
        <f>N28</f>
        <v>4.9763133111988456</v>
      </c>
      <c r="U28" s="158"/>
    </row>
    <row r="29" spans="1:21" s="69" customFormat="1">
      <c r="A29" s="253"/>
      <c r="B29" s="82">
        <v>21</v>
      </c>
      <c r="C29" s="204" t="s">
        <v>23</v>
      </c>
      <c r="D29" s="205">
        <v>63</v>
      </c>
      <c r="E29" s="81">
        <f>References!$B$12</f>
        <v>1</v>
      </c>
      <c r="F29" s="205">
        <f t="shared" si="2"/>
        <v>756</v>
      </c>
      <c r="G29" s="240">
        <f>References!B23</f>
        <v>37</v>
      </c>
      <c r="H29" s="205">
        <f t="shared" si="3"/>
        <v>27972</v>
      </c>
      <c r="I29" s="206">
        <f>$C$93*H29</f>
        <v>21622.723372677923</v>
      </c>
      <c r="J29" s="207">
        <f>References!$C$53*'DF Calc (Mason Co.)'!I29</f>
        <v>29.299330738062814</v>
      </c>
      <c r="K29" s="207">
        <f>J29/References!$G$56</f>
        <v>29.875174731002897</v>
      </c>
      <c r="L29" s="207">
        <f t="shared" si="4"/>
        <v>3.9517426892860974E-2</v>
      </c>
      <c r="M29" s="239">
        <f>'Prop. Rates'!B32</f>
        <v>6.36</v>
      </c>
      <c r="N29" s="207">
        <f t="shared" si="5"/>
        <v>6.399517426892861</v>
      </c>
      <c r="O29" s="239">
        <f>'Prop. Rates'!D32</f>
        <v>6.4</v>
      </c>
      <c r="P29" s="207">
        <f t="shared" si="6"/>
        <v>4808.16</v>
      </c>
      <c r="Q29" s="207">
        <f t="shared" si="7"/>
        <v>4838.4000000000005</v>
      </c>
      <c r="R29" s="207">
        <f t="shared" si="8"/>
        <v>30.240000000000691</v>
      </c>
      <c r="S29" s="208">
        <f>N29</f>
        <v>6.399517426892861</v>
      </c>
      <c r="U29" s="158"/>
    </row>
    <row r="30" spans="1:21" s="69" customFormat="1">
      <c r="A30" s="253"/>
      <c r="B30" s="82">
        <v>21</v>
      </c>
      <c r="C30" s="204" t="s">
        <v>24</v>
      </c>
      <c r="D30" s="205">
        <v>4</v>
      </c>
      <c r="E30" s="81">
        <f>References!$B$12</f>
        <v>1</v>
      </c>
      <c r="F30" s="205">
        <f t="shared" si="2"/>
        <v>48</v>
      </c>
      <c r="G30" s="240">
        <f>References!B24</f>
        <v>48</v>
      </c>
      <c r="H30" s="205">
        <f t="shared" si="3"/>
        <v>2304</v>
      </c>
      <c r="I30" s="206">
        <f>$C$93*H30</f>
        <v>1781.022259782995</v>
      </c>
      <c r="J30" s="207">
        <f>References!$C$53*'DF Calc (Mason Co.)'!I30</f>
        <v>2.4133296875624453</v>
      </c>
      <c r="K30" s="207">
        <f>J30/References!$G$56</f>
        <v>2.4607608530040994</v>
      </c>
      <c r="L30" s="207">
        <f t="shared" si="4"/>
        <v>5.1265851104252073E-2</v>
      </c>
      <c r="M30" s="239">
        <f>'Prop. Rates'!B33</f>
        <v>7.97</v>
      </c>
      <c r="N30" s="207">
        <f t="shared" si="5"/>
        <v>8.0212658511042516</v>
      </c>
      <c r="O30" s="239">
        <f>'Prop. Rates'!D33</f>
        <v>8.02</v>
      </c>
      <c r="P30" s="207">
        <f t="shared" si="6"/>
        <v>382.56</v>
      </c>
      <c r="Q30" s="207">
        <f t="shared" si="7"/>
        <v>384.96</v>
      </c>
      <c r="R30" s="207">
        <f t="shared" si="8"/>
        <v>2.3999999999999773</v>
      </c>
      <c r="S30" s="208">
        <f>N30</f>
        <v>8.0212658511042516</v>
      </c>
      <c r="U30" s="158"/>
    </row>
    <row r="31" spans="1:21" s="69" customFormat="1">
      <c r="A31" s="253"/>
      <c r="B31" s="82">
        <v>21</v>
      </c>
      <c r="C31" s="204" t="s">
        <v>25</v>
      </c>
      <c r="D31" s="205">
        <v>4</v>
      </c>
      <c r="E31" s="81">
        <f>References!$B$12</f>
        <v>1</v>
      </c>
      <c r="F31" s="205">
        <f t="shared" si="2"/>
        <v>48</v>
      </c>
      <c r="G31" s="240">
        <f>References!B25</f>
        <v>51</v>
      </c>
      <c r="H31" s="205">
        <f t="shared" si="3"/>
        <v>2448</v>
      </c>
      <c r="I31" s="206">
        <f>$C$93*H31</f>
        <v>1892.3361510194322</v>
      </c>
      <c r="J31" s="207">
        <f>References!$C$53*'DF Calc (Mason Co.)'!I31</f>
        <v>2.5641627930350981</v>
      </c>
      <c r="K31" s="207">
        <f>J31/References!$G$56</f>
        <v>2.6145584063168554</v>
      </c>
      <c r="L31" s="207">
        <f t="shared" si="4"/>
        <v>5.4469966798267822E-2</v>
      </c>
      <c r="M31" s="239">
        <f>'Prop. Rates'!B34</f>
        <v>9.42</v>
      </c>
      <c r="N31" s="207">
        <f t="shared" si="5"/>
        <v>9.4744699667982673</v>
      </c>
      <c r="O31" s="239">
        <f>'Prop. Rates'!D34</f>
        <v>9.4700000000000006</v>
      </c>
      <c r="P31" s="207">
        <f t="shared" si="6"/>
        <v>452.15999999999997</v>
      </c>
      <c r="Q31" s="207">
        <f t="shared" si="7"/>
        <v>454.56000000000006</v>
      </c>
      <c r="R31" s="207">
        <f t="shared" si="8"/>
        <v>2.4000000000000909</v>
      </c>
      <c r="S31" s="208">
        <f>N31</f>
        <v>9.4744699667982673</v>
      </c>
      <c r="U31" s="158"/>
    </row>
    <row r="32" spans="1:21" s="69" customFormat="1">
      <c r="A32" s="253"/>
      <c r="B32" s="82">
        <v>21</v>
      </c>
      <c r="C32" s="204" t="s">
        <v>26</v>
      </c>
      <c r="D32" s="205">
        <v>6</v>
      </c>
      <c r="E32" s="81">
        <f>References!$B$12</f>
        <v>1</v>
      </c>
      <c r="F32" s="205">
        <f t="shared" si="2"/>
        <v>72</v>
      </c>
      <c r="G32" s="240">
        <f>References!B26</f>
        <v>77</v>
      </c>
      <c r="H32" s="205">
        <f t="shared" si="3"/>
        <v>5544</v>
      </c>
      <c r="I32" s="206">
        <f>$C$93*H32</f>
        <v>4285.5848126028313</v>
      </c>
      <c r="J32" s="207">
        <f>References!$C$53*'DF Calc (Mason Co.)'!I32</f>
        <v>5.8070745606971332</v>
      </c>
      <c r="K32" s="207">
        <f>J32/References!$G$56</f>
        <v>5.9212058025411132</v>
      </c>
      <c r="L32" s="207">
        <f t="shared" si="4"/>
        <v>8.2238969479737689E-2</v>
      </c>
      <c r="M32" s="239">
        <f>'Prop. Rates'!B35</f>
        <v>11.59</v>
      </c>
      <c r="N32" s="207">
        <f t="shared" si="5"/>
        <v>11.672238969479737</v>
      </c>
      <c r="O32" s="239">
        <f>'Prop. Rates'!D35</f>
        <v>11.67</v>
      </c>
      <c r="P32" s="207">
        <f t="shared" si="6"/>
        <v>834.4799999999999</v>
      </c>
      <c r="Q32" s="207">
        <f t="shared" si="7"/>
        <v>840.24</v>
      </c>
      <c r="R32" s="207">
        <f t="shared" si="8"/>
        <v>5.7600000000001046</v>
      </c>
      <c r="S32" s="208">
        <f>N32</f>
        <v>11.672238969479737</v>
      </c>
      <c r="U32" s="158"/>
    </row>
    <row r="33" spans="1:21" s="69" customFormat="1">
      <c r="A33" s="253"/>
      <c r="B33" s="82"/>
      <c r="C33" s="204"/>
      <c r="D33" s="205"/>
      <c r="E33" s="81"/>
      <c r="F33" s="205"/>
      <c r="G33" s="240"/>
      <c r="H33" s="205"/>
      <c r="I33" s="206"/>
      <c r="J33" s="207"/>
      <c r="K33" s="207"/>
      <c r="L33" s="207"/>
      <c r="M33" s="239"/>
      <c r="N33" s="207"/>
      <c r="O33" s="239"/>
      <c r="P33" s="207"/>
      <c r="Q33" s="207"/>
      <c r="R33" s="207"/>
      <c r="S33" s="208"/>
      <c r="U33" s="158"/>
    </row>
    <row r="34" spans="1:21" s="69" customFormat="1">
      <c r="A34" s="253"/>
      <c r="B34" s="82">
        <v>22</v>
      </c>
      <c r="C34" s="210" t="s">
        <v>27</v>
      </c>
      <c r="D34" s="241">
        <v>267</v>
      </c>
      <c r="E34" s="81">
        <f>References!$B$12</f>
        <v>1</v>
      </c>
      <c r="F34" s="205">
        <f t="shared" si="2"/>
        <v>3204</v>
      </c>
      <c r="G34" s="238">
        <f>References!B17</f>
        <v>34</v>
      </c>
      <c r="H34" s="205">
        <f t="shared" si="3"/>
        <v>108936</v>
      </c>
      <c r="I34" s="206">
        <f t="shared" ref="I34:I40" si="11">$C$93*H34</f>
        <v>84208.958720364739</v>
      </c>
      <c r="J34" s="207">
        <f>References!$C$53*'DF Calc (Mason Co.)'!I34</f>
        <v>114.10524429006188</v>
      </c>
      <c r="K34" s="207">
        <f>J34/References!$G$56</f>
        <v>116.34784908110008</v>
      </c>
      <c r="L34" s="207">
        <f>K34/F34</f>
        <v>3.6313311198845219E-2</v>
      </c>
      <c r="M34" s="239">
        <f>'Prop. Rates'!B39</f>
        <v>4.9400000000000004</v>
      </c>
      <c r="N34" s="207">
        <f t="shared" si="5"/>
        <v>4.9763133111988456</v>
      </c>
      <c r="O34" s="239">
        <f>'Prop. Rates'!D39</f>
        <v>4.9800000000000004</v>
      </c>
      <c r="P34" s="207">
        <f>F34*M34</f>
        <v>15827.760000000002</v>
      </c>
      <c r="Q34" s="207">
        <f>F34*O34</f>
        <v>15955.920000000002</v>
      </c>
      <c r="R34" s="207">
        <f t="shared" si="8"/>
        <v>128.15999999999985</v>
      </c>
      <c r="S34" s="208">
        <f t="shared" ref="S34:S40" si="12">N34</f>
        <v>4.9763133111988456</v>
      </c>
      <c r="U34" s="158"/>
    </row>
    <row r="35" spans="1:21" s="69" customFormat="1">
      <c r="A35" s="253"/>
      <c r="B35" s="82">
        <v>22</v>
      </c>
      <c r="C35" s="210" t="s">
        <v>28</v>
      </c>
      <c r="D35" s="241">
        <v>98</v>
      </c>
      <c r="E35" s="81">
        <f>References!$B$12</f>
        <v>1</v>
      </c>
      <c r="F35" s="205">
        <f t="shared" si="2"/>
        <v>1176</v>
      </c>
      <c r="G35" s="240">
        <f>References!B23</f>
        <v>37</v>
      </c>
      <c r="H35" s="205">
        <f t="shared" si="3"/>
        <v>43512</v>
      </c>
      <c r="I35" s="206">
        <f t="shared" si="11"/>
        <v>33635.347468610104</v>
      </c>
      <c r="J35" s="207">
        <f>References!$C$53*'DF Calc (Mason Co.)'!I35</f>
        <v>45.576736703653268</v>
      </c>
      <c r="K35" s="207">
        <f>J35/References!$G$56</f>
        <v>46.472494026004505</v>
      </c>
      <c r="L35" s="207">
        <f t="shared" ref="L35:L40" si="13">K35/F35</f>
        <v>3.9517426892860974E-2</v>
      </c>
      <c r="M35" s="239">
        <f>'Prop. Rates'!B41</f>
        <v>6.36</v>
      </c>
      <c r="N35" s="207">
        <f t="shared" si="5"/>
        <v>6.399517426892861</v>
      </c>
      <c r="O35" s="239">
        <f>'Prop. Rates'!D41</f>
        <v>6.4</v>
      </c>
      <c r="P35" s="207">
        <f t="shared" ref="P35:P40" si="14">F35*M35</f>
        <v>7479.3600000000006</v>
      </c>
      <c r="Q35" s="207">
        <f t="shared" ref="Q35:Q40" si="15">F35*O35</f>
        <v>7526.4000000000005</v>
      </c>
      <c r="R35" s="207">
        <f t="shared" si="8"/>
        <v>47.039999999999964</v>
      </c>
      <c r="S35" s="208">
        <f t="shared" si="12"/>
        <v>6.399517426892861</v>
      </c>
      <c r="U35" s="158"/>
    </row>
    <row r="36" spans="1:21" s="69" customFormat="1">
      <c r="A36" s="253"/>
      <c r="B36" s="82">
        <v>22</v>
      </c>
      <c r="C36" s="210" t="s">
        <v>29</v>
      </c>
      <c r="D36" s="241">
        <v>12</v>
      </c>
      <c r="E36" s="81">
        <f>References!$B$12</f>
        <v>1</v>
      </c>
      <c r="F36" s="205">
        <f t="shared" si="2"/>
        <v>144</v>
      </c>
      <c r="G36" s="240">
        <f>References!B24</f>
        <v>48</v>
      </c>
      <c r="H36" s="205">
        <f t="shared" si="3"/>
        <v>6912</v>
      </c>
      <c r="I36" s="206">
        <f t="shared" si="11"/>
        <v>5343.0667793489847</v>
      </c>
      <c r="J36" s="207">
        <f>References!$C$53*'DF Calc (Mason Co.)'!I36</f>
        <v>7.2399890626873358</v>
      </c>
      <c r="K36" s="207">
        <f>J36/References!$G$56</f>
        <v>7.3822825590122978</v>
      </c>
      <c r="L36" s="207">
        <f t="shared" si="13"/>
        <v>5.1265851104252066E-2</v>
      </c>
      <c r="M36" s="239">
        <f>'Prop. Rates'!B42</f>
        <v>7.97</v>
      </c>
      <c r="N36" s="207">
        <f t="shared" si="5"/>
        <v>8.0212658511042516</v>
      </c>
      <c r="O36" s="239">
        <f>'Prop. Rates'!D42</f>
        <v>8.02</v>
      </c>
      <c r="P36" s="207">
        <f t="shared" si="14"/>
        <v>1147.68</v>
      </c>
      <c r="Q36" s="207">
        <f t="shared" si="15"/>
        <v>1154.8799999999999</v>
      </c>
      <c r="R36" s="207">
        <f t="shared" si="8"/>
        <v>7.1999999999998181</v>
      </c>
      <c r="S36" s="208">
        <f t="shared" si="12"/>
        <v>8.0212658511042516</v>
      </c>
      <c r="U36" s="158"/>
    </row>
    <row r="37" spans="1:21" s="69" customFormat="1">
      <c r="A37" s="253"/>
      <c r="B37" s="82">
        <v>22</v>
      </c>
      <c r="C37" s="210" t="s">
        <v>30</v>
      </c>
      <c r="D37" s="241">
        <v>15</v>
      </c>
      <c r="E37" s="81">
        <f>References!$B$12</f>
        <v>1</v>
      </c>
      <c r="F37" s="205">
        <f t="shared" si="2"/>
        <v>180</v>
      </c>
      <c r="G37" s="238">
        <f>References!B25</f>
        <v>51</v>
      </c>
      <c r="H37" s="205">
        <f t="shared" si="3"/>
        <v>9180</v>
      </c>
      <c r="I37" s="206">
        <f t="shared" si="11"/>
        <v>7096.2605663228705</v>
      </c>
      <c r="J37" s="207">
        <f>References!$C$53*'DF Calc (Mason Co.)'!I37</f>
        <v>9.6156104738816186</v>
      </c>
      <c r="K37" s="207">
        <f>J37/References!$G$56</f>
        <v>9.8045940236882085</v>
      </c>
      <c r="L37" s="207">
        <f t="shared" si="13"/>
        <v>5.4469966798267828E-2</v>
      </c>
      <c r="M37" s="239">
        <f>'Prop. Rates'!B43</f>
        <v>9.42</v>
      </c>
      <c r="N37" s="207">
        <f t="shared" si="5"/>
        <v>9.4744699667982673</v>
      </c>
      <c r="O37" s="239">
        <f>'Prop. Rates'!D43</f>
        <v>9.4700000000000006</v>
      </c>
      <c r="P37" s="207">
        <f t="shared" si="14"/>
        <v>1695.6</v>
      </c>
      <c r="Q37" s="207">
        <f t="shared" si="15"/>
        <v>1704.6000000000001</v>
      </c>
      <c r="R37" s="207">
        <f t="shared" si="8"/>
        <v>9.0000000000002274</v>
      </c>
      <c r="S37" s="208">
        <f t="shared" si="12"/>
        <v>9.4744699667982673</v>
      </c>
      <c r="U37" s="158"/>
    </row>
    <row r="38" spans="1:21" s="69" customFormat="1">
      <c r="A38" s="253"/>
      <c r="B38" s="82">
        <v>22</v>
      </c>
      <c r="C38" s="210" t="s">
        <v>31</v>
      </c>
      <c r="D38" s="241">
        <v>6</v>
      </c>
      <c r="E38" s="81">
        <f>References!$B$12</f>
        <v>1</v>
      </c>
      <c r="F38" s="205">
        <f t="shared" si="2"/>
        <v>72</v>
      </c>
      <c r="G38" s="238">
        <f>References!B26</f>
        <v>77</v>
      </c>
      <c r="H38" s="205">
        <f t="shared" si="3"/>
        <v>5544</v>
      </c>
      <c r="I38" s="206">
        <f t="shared" si="11"/>
        <v>4285.5848126028313</v>
      </c>
      <c r="J38" s="207">
        <f>References!$C$53*'DF Calc (Mason Co.)'!I38</f>
        <v>5.8070745606971332</v>
      </c>
      <c r="K38" s="207">
        <f>J38/References!$G$56</f>
        <v>5.9212058025411132</v>
      </c>
      <c r="L38" s="207">
        <f t="shared" si="13"/>
        <v>8.2238969479737689E-2</v>
      </c>
      <c r="M38" s="239">
        <f>'Prop. Rates'!B44</f>
        <v>11.59</v>
      </c>
      <c r="N38" s="207">
        <f t="shared" si="5"/>
        <v>11.672238969479737</v>
      </c>
      <c r="O38" s="239">
        <f>'Prop. Rates'!D44</f>
        <v>11.67</v>
      </c>
      <c r="P38" s="207">
        <f t="shared" si="14"/>
        <v>834.48</v>
      </c>
      <c r="Q38" s="207">
        <f t="shared" si="15"/>
        <v>840.24</v>
      </c>
      <c r="R38" s="207">
        <f t="shared" si="8"/>
        <v>5.7599999999999909</v>
      </c>
      <c r="S38" s="208">
        <f t="shared" si="12"/>
        <v>11.672238969479737</v>
      </c>
      <c r="U38" s="158"/>
    </row>
    <row r="39" spans="1:21" s="69" customFormat="1">
      <c r="A39" s="253"/>
      <c r="B39" s="82">
        <v>22</v>
      </c>
      <c r="C39" s="210" t="s">
        <v>33</v>
      </c>
      <c r="D39" s="241">
        <v>1019</v>
      </c>
      <c r="E39" s="81">
        <f>References!$B$12</f>
        <v>1</v>
      </c>
      <c r="F39" s="205">
        <f t="shared" si="2"/>
        <v>12228</v>
      </c>
      <c r="G39" s="238">
        <f>References!B28</f>
        <v>34</v>
      </c>
      <c r="H39" s="205">
        <f t="shared" si="3"/>
        <v>415752</v>
      </c>
      <c r="I39" s="206">
        <f t="shared" si="11"/>
        <v>321381.75631480024</v>
      </c>
      <c r="J39" s="207">
        <f>References!$C$53*'DF Calc (Mason Co.)'!I39</f>
        <v>435.48031435046084</v>
      </c>
      <c r="K39" s="207">
        <f>J39/References!$G$56</f>
        <v>444.03916933947932</v>
      </c>
      <c r="L39" s="207">
        <f t="shared" si="13"/>
        <v>3.6313311198845219E-2</v>
      </c>
      <c r="M39" s="239">
        <f>'Prop. Rates'!B38</f>
        <v>4.42</v>
      </c>
      <c r="N39" s="207">
        <f t="shared" si="5"/>
        <v>4.4563133111988451</v>
      </c>
      <c r="O39" s="239">
        <f>'Prop. Rates'!D38</f>
        <v>4.46</v>
      </c>
      <c r="P39" s="207">
        <f t="shared" si="14"/>
        <v>54047.76</v>
      </c>
      <c r="Q39" s="207">
        <f t="shared" si="15"/>
        <v>54536.88</v>
      </c>
      <c r="R39" s="207">
        <f t="shared" si="8"/>
        <v>489.11999999999534</v>
      </c>
      <c r="S39" s="208">
        <f t="shared" si="12"/>
        <v>4.4563133111988451</v>
      </c>
      <c r="U39" s="158"/>
    </row>
    <row r="40" spans="1:21" s="69" customFormat="1">
      <c r="A40" s="253"/>
      <c r="B40" s="82">
        <v>22</v>
      </c>
      <c r="C40" s="210" t="s">
        <v>34</v>
      </c>
      <c r="D40" s="241">
        <v>96</v>
      </c>
      <c r="E40" s="81">
        <f>References!$B$12</f>
        <v>1</v>
      </c>
      <c r="F40" s="205">
        <f t="shared" si="2"/>
        <v>1152</v>
      </c>
      <c r="G40" s="238">
        <f>References!B28</f>
        <v>34</v>
      </c>
      <c r="H40" s="205">
        <f t="shared" si="3"/>
        <v>39168</v>
      </c>
      <c r="I40" s="206">
        <f t="shared" si="11"/>
        <v>30277.378416310916</v>
      </c>
      <c r="J40" s="207">
        <f>References!$C$53*'DF Calc (Mason Co.)'!I40</f>
        <v>41.026604688561569</v>
      </c>
      <c r="K40" s="207">
        <f>J40/References!$G$56</f>
        <v>41.832934501069687</v>
      </c>
      <c r="L40" s="207">
        <f t="shared" si="13"/>
        <v>3.6313311198845212E-2</v>
      </c>
      <c r="M40" s="239">
        <f>'Prop. Rates'!B38</f>
        <v>4.42</v>
      </c>
      <c r="N40" s="207">
        <f t="shared" si="5"/>
        <v>4.4563133111988451</v>
      </c>
      <c r="O40" s="239">
        <f>'Prop. Rates'!D38</f>
        <v>4.46</v>
      </c>
      <c r="P40" s="207">
        <f t="shared" si="14"/>
        <v>5091.84</v>
      </c>
      <c r="Q40" s="207">
        <f t="shared" si="15"/>
        <v>5137.92</v>
      </c>
      <c r="R40" s="207">
        <f t="shared" si="8"/>
        <v>46.079999999999927</v>
      </c>
      <c r="S40" s="208">
        <f t="shared" si="12"/>
        <v>4.4563133111988451</v>
      </c>
      <c r="U40" s="158"/>
    </row>
    <row r="41" spans="1:21" s="69" customFormat="1">
      <c r="A41" s="253"/>
      <c r="B41" s="82"/>
      <c r="C41" s="80"/>
      <c r="D41" s="241"/>
      <c r="E41" s="81"/>
      <c r="F41" s="205"/>
      <c r="G41" s="240"/>
      <c r="H41" s="205"/>
      <c r="I41" s="206"/>
      <c r="J41" s="207"/>
      <c r="K41" s="207"/>
      <c r="L41" s="207"/>
      <c r="M41" s="242"/>
      <c r="N41" s="207"/>
      <c r="O41" s="207"/>
      <c r="P41" s="207"/>
      <c r="Q41" s="207"/>
      <c r="R41" s="207"/>
      <c r="S41" s="208"/>
    </row>
    <row r="42" spans="1:21" s="69" customFormat="1">
      <c r="A42" s="134"/>
      <c r="B42" s="135"/>
      <c r="C42" s="136" t="s">
        <v>36</v>
      </c>
      <c r="D42" s="137">
        <f>SUM(D6:D41)</f>
        <v>8873</v>
      </c>
      <c r="E42" s="211"/>
      <c r="F42" s="138">
        <f>SUM(F6:F41)</f>
        <v>329734</v>
      </c>
      <c r="G42" s="139"/>
      <c r="H42" s="140">
        <f>SUM(H6:H41)</f>
        <v>13113624</v>
      </c>
      <c r="I42" s="141">
        <f>SUM(I6:I41)</f>
        <v>10137003.580913421</v>
      </c>
      <c r="J42" s="212"/>
      <c r="K42" s="212"/>
      <c r="L42" s="212"/>
      <c r="M42" s="212"/>
      <c r="N42" s="212"/>
      <c r="O42" s="212"/>
      <c r="P42" s="142">
        <f>SUM(P6:P41)</f>
        <v>1477713.8399999999</v>
      </c>
      <c r="Q42" s="142">
        <f>SUM(Q6:Q41)</f>
        <v>1491873.9514818185</v>
      </c>
      <c r="R42" s="142">
        <f>SUM(R6:R41)</f>
        <v>14160.111481819116</v>
      </c>
      <c r="S42" s="142"/>
    </row>
    <row r="43" spans="1:21" s="69" customFormat="1" ht="15" customHeight="1">
      <c r="A43" s="254" t="s">
        <v>184</v>
      </c>
      <c r="B43" s="82"/>
      <c r="C43" s="243" t="s">
        <v>38</v>
      </c>
      <c r="D43" s="205">
        <v>141</v>
      </c>
      <c r="E43" s="81">
        <f>References!$B$12</f>
        <v>1</v>
      </c>
      <c r="F43" s="205">
        <f t="shared" ref="F43:F49" si="16">D43*E43*12</f>
        <v>1692</v>
      </c>
      <c r="G43" s="240">
        <f>References!B30</f>
        <v>29</v>
      </c>
      <c r="H43" s="83">
        <f>F43*G43</f>
        <v>49068</v>
      </c>
      <c r="I43" s="206">
        <f t="shared" ref="I43:I49" si="17">$C$93*H43</f>
        <v>37930.208438815971</v>
      </c>
      <c r="J43" s="207">
        <f>References!$C$53*'DF Calc (Mason Co.)'!I43</f>
        <v>51.396380689806449</v>
      </c>
      <c r="K43" s="207">
        <f>J43/References!$G$56</f>
        <v>52.40651629132168</v>
      </c>
      <c r="L43" s="207">
        <f>K43/F43</f>
        <v>3.0973118375485626E-2</v>
      </c>
      <c r="M43" s="207">
        <f>'Prop. Rates'!B96</f>
        <v>4.6500000000000004</v>
      </c>
      <c r="N43" s="207">
        <f>L43+M43</f>
        <v>4.6809731183754861</v>
      </c>
      <c r="O43" s="213">
        <f>'Prop. Rates'!D96</f>
        <v>4.68</v>
      </c>
      <c r="P43" s="207">
        <f t="shared" ref="P43:P49" si="18">F43*M43</f>
        <v>7867.8</v>
      </c>
      <c r="Q43" s="207">
        <f t="shared" ref="Q43:Q49" si="19">F43*O43</f>
        <v>7918.5599999999995</v>
      </c>
      <c r="R43" s="207">
        <f>Q43-P43</f>
        <v>50.759999999999309</v>
      </c>
      <c r="S43" s="208">
        <f t="shared" ref="S43:S49" si="20">N43</f>
        <v>4.6809731183754861</v>
      </c>
      <c r="U43" s="158"/>
    </row>
    <row r="44" spans="1:21" s="69" customFormat="1" ht="15" customHeight="1">
      <c r="A44" s="253"/>
      <c r="B44" s="82"/>
      <c r="C44" s="243" t="s">
        <v>39</v>
      </c>
      <c r="D44" s="241">
        <v>1</v>
      </c>
      <c r="E44" s="81">
        <f>References!$B$10</f>
        <v>4.333333333333333</v>
      </c>
      <c r="F44" s="205">
        <f t="shared" si="16"/>
        <v>52</v>
      </c>
      <c r="G44" s="240">
        <f>References!B31</f>
        <v>175</v>
      </c>
      <c r="H44" s="83">
        <f t="shared" ref="H44:H49" si="21">F44*G44</f>
        <v>9100</v>
      </c>
      <c r="I44" s="206">
        <f t="shared" si="17"/>
        <v>7034.419515635961</v>
      </c>
      <c r="J44" s="207">
        <f>References!$C$53*'DF Calc (Mason Co.)'!I44</f>
        <v>9.5318143041745884</v>
      </c>
      <c r="K44" s="207">
        <f>J44/References!$G$56</f>
        <v>9.7191509385144546</v>
      </c>
      <c r="L44" s="207">
        <f t="shared" ref="L44:L49" si="22">K44/F44</f>
        <v>0.18690674881758568</v>
      </c>
      <c r="M44" s="207">
        <f>'Prop. Rates'!B77</f>
        <v>16.87</v>
      </c>
      <c r="N44" s="207">
        <f t="shared" ref="N44:N49" si="23">L44+M44</f>
        <v>17.056906748817585</v>
      </c>
      <c r="O44" s="213">
        <f>'Prop. Rates'!D77</f>
        <v>17.059999999999999</v>
      </c>
      <c r="P44" s="207">
        <f t="shared" si="18"/>
        <v>877.24</v>
      </c>
      <c r="Q44" s="207">
        <f t="shared" si="19"/>
        <v>887.11999999999989</v>
      </c>
      <c r="R44" s="207">
        <f t="shared" ref="R44:R49" si="24">Q44-P44</f>
        <v>9.8799999999998818</v>
      </c>
      <c r="S44" s="208">
        <f t="shared" si="20"/>
        <v>17.056906748817585</v>
      </c>
      <c r="U44" s="158"/>
    </row>
    <row r="45" spans="1:21" s="69" customFormat="1" ht="15" customHeight="1">
      <c r="A45" s="253"/>
      <c r="B45" s="82"/>
      <c r="C45" s="243" t="s">
        <v>40</v>
      </c>
      <c r="D45" s="241">
        <v>75</v>
      </c>
      <c r="E45" s="81">
        <f>References!$B$10</f>
        <v>4.333333333333333</v>
      </c>
      <c r="F45" s="205">
        <f t="shared" si="16"/>
        <v>3900</v>
      </c>
      <c r="G45" s="240">
        <f>References!B32</f>
        <v>250</v>
      </c>
      <c r="H45" s="83">
        <f t="shared" si="21"/>
        <v>975000</v>
      </c>
      <c r="I45" s="206">
        <f t="shared" si="17"/>
        <v>753687.80524671008</v>
      </c>
      <c r="J45" s="207">
        <f>References!$C$53*'DF Calc (Mason Co.)'!I45</f>
        <v>1021.2658183044201</v>
      </c>
      <c r="K45" s="207">
        <f>J45/References!$G$56</f>
        <v>1041.3376005551202</v>
      </c>
      <c r="L45" s="207">
        <f t="shared" si="22"/>
        <v>0.26700964116797954</v>
      </c>
      <c r="M45" s="207">
        <f>'Prop. Rates'!B78</f>
        <v>18.57</v>
      </c>
      <c r="N45" s="207">
        <f t="shared" si="23"/>
        <v>18.837009641167981</v>
      </c>
      <c r="O45" s="213">
        <f>'Prop. Rates'!D78</f>
        <v>18.84</v>
      </c>
      <c r="P45" s="207">
        <f t="shared" si="18"/>
        <v>72423</v>
      </c>
      <c r="Q45" s="207">
        <f t="shared" si="19"/>
        <v>73476</v>
      </c>
      <c r="R45" s="207">
        <f t="shared" si="24"/>
        <v>1053</v>
      </c>
      <c r="S45" s="208">
        <f t="shared" si="20"/>
        <v>18.837009641167981</v>
      </c>
      <c r="U45" s="158"/>
    </row>
    <row r="46" spans="1:21" s="69" customFormat="1" ht="15" customHeight="1">
      <c r="A46" s="253"/>
      <c r="B46" s="82"/>
      <c r="C46" s="243" t="s">
        <v>41</v>
      </c>
      <c r="D46" s="241">
        <f>223+8</f>
        <v>231</v>
      </c>
      <c r="E46" s="81">
        <f>References!$B$10</f>
        <v>4.333333333333333</v>
      </c>
      <c r="F46" s="205">
        <f t="shared" si="16"/>
        <v>12011.999999999998</v>
      </c>
      <c r="G46" s="240">
        <f>References!B33</f>
        <v>324</v>
      </c>
      <c r="H46" s="83">
        <f t="shared" si="21"/>
        <v>3891887.9999999995</v>
      </c>
      <c r="I46" s="206">
        <f t="shared" si="17"/>
        <v>3008480.5384471877</v>
      </c>
      <c r="J46" s="207">
        <f>References!$C$53*'DF Calc (Mason Co.)'!I46</f>
        <v>4076.566341609388</v>
      </c>
      <c r="K46" s="207">
        <f>J46/References!$G$56</f>
        <v>4156.686473383862</v>
      </c>
      <c r="L46" s="207">
        <f t="shared" si="22"/>
        <v>0.34604449495370154</v>
      </c>
      <c r="M46" s="207">
        <f>'Prop. Rates'!B79</f>
        <v>24.55</v>
      </c>
      <c r="N46" s="207">
        <f t="shared" si="23"/>
        <v>24.896044494953703</v>
      </c>
      <c r="O46" s="213">
        <f>'Prop. Rates'!D79</f>
        <v>24.9</v>
      </c>
      <c r="P46" s="207">
        <f t="shared" si="18"/>
        <v>294894.59999999998</v>
      </c>
      <c r="Q46" s="207">
        <f t="shared" si="19"/>
        <v>299098.79999999993</v>
      </c>
      <c r="R46" s="207">
        <f t="shared" si="24"/>
        <v>4204.1999999999534</v>
      </c>
      <c r="S46" s="208">
        <f t="shared" si="20"/>
        <v>24.896044494953703</v>
      </c>
      <c r="U46" s="158"/>
    </row>
    <row r="47" spans="1:21" s="69" customFormat="1" ht="15" customHeight="1">
      <c r="A47" s="253"/>
      <c r="B47" s="82"/>
      <c r="C47" s="243" t="s">
        <v>42</v>
      </c>
      <c r="D47" s="241">
        <v>7</v>
      </c>
      <c r="E47" s="81">
        <f>References!$B$11</f>
        <v>2.1666666666666665</v>
      </c>
      <c r="F47" s="205">
        <f t="shared" si="16"/>
        <v>182</v>
      </c>
      <c r="G47" s="240">
        <f>References!B31</f>
        <v>175</v>
      </c>
      <c r="H47" s="83">
        <f t="shared" si="21"/>
        <v>31850</v>
      </c>
      <c r="I47" s="206">
        <f t="shared" si="17"/>
        <v>24620.468304725866</v>
      </c>
      <c r="J47" s="207">
        <f>References!$C$53*'DF Calc (Mason Co.)'!I47</f>
        <v>33.361350064611067</v>
      </c>
      <c r="K47" s="207">
        <f>J47/References!$G$56</f>
        <v>34.017028284800602</v>
      </c>
      <c r="L47" s="207">
        <f t="shared" si="22"/>
        <v>0.18690674881758573</v>
      </c>
      <c r="M47" s="207">
        <f>'Prop. Rates'!B77</f>
        <v>16.87</v>
      </c>
      <c r="N47" s="207">
        <f t="shared" si="23"/>
        <v>17.056906748817585</v>
      </c>
      <c r="O47" s="213">
        <f>'Prop. Rates'!D77</f>
        <v>17.059999999999999</v>
      </c>
      <c r="P47" s="207">
        <f t="shared" si="18"/>
        <v>3070.34</v>
      </c>
      <c r="Q47" s="207">
        <f t="shared" si="19"/>
        <v>3104.9199999999996</v>
      </c>
      <c r="R47" s="207">
        <f t="shared" si="24"/>
        <v>34.579999999999472</v>
      </c>
      <c r="S47" s="208">
        <f t="shared" si="20"/>
        <v>17.056906748817585</v>
      </c>
      <c r="U47" s="158"/>
    </row>
    <row r="48" spans="1:21" s="69" customFormat="1" ht="15" customHeight="1">
      <c r="A48" s="253"/>
      <c r="B48" s="82"/>
      <c r="C48" s="243" t="s">
        <v>43</v>
      </c>
      <c r="D48" s="241">
        <v>181</v>
      </c>
      <c r="E48" s="81">
        <f>References!$B$11</f>
        <v>2.1666666666666665</v>
      </c>
      <c r="F48" s="205">
        <f t="shared" si="16"/>
        <v>4706</v>
      </c>
      <c r="G48" s="240">
        <f>References!B32</f>
        <v>250</v>
      </c>
      <c r="H48" s="83">
        <f t="shared" si="21"/>
        <v>1176500</v>
      </c>
      <c r="I48" s="206">
        <f t="shared" si="17"/>
        <v>909449.9516643635</v>
      </c>
      <c r="J48" s="207">
        <f>References!$C$53*'DF Calc (Mason Co.)'!I48</f>
        <v>1232.3274207540003</v>
      </c>
      <c r="K48" s="207">
        <f>J48/References!$G$56</f>
        <v>1256.5473713365116</v>
      </c>
      <c r="L48" s="207">
        <f t="shared" si="22"/>
        <v>0.26700964116797948</v>
      </c>
      <c r="M48" s="207">
        <f>'Prop. Rates'!B78</f>
        <v>18.57</v>
      </c>
      <c r="N48" s="207">
        <f t="shared" si="23"/>
        <v>18.837009641167981</v>
      </c>
      <c r="O48" s="213">
        <f>'Prop. Rates'!D78</f>
        <v>18.84</v>
      </c>
      <c r="P48" s="207">
        <f t="shared" si="18"/>
        <v>87390.42</v>
      </c>
      <c r="Q48" s="207">
        <f t="shared" si="19"/>
        <v>88661.04</v>
      </c>
      <c r="R48" s="207">
        <f t="shared" si="24"/>
        <v>1270.6199999999953</v>
      </c>
      <c r="S48" s="208">
        <f t="shared" si="20"/>
        <v>18.837009641167981</v>
      </c>
      <c r="U48" s="158"/>
    </row>
    <row r="49" spans="1:21" s="69" customFormat="1" ht="15" customHeight="1">
      <c r="A49" s="253"/>
      <c r="B49" s="82"/>
      <c r="C49" s="243" t="s">
        <v>44</v>
      </c>
      <c r="D49" s="241">
        <v>109</v>
      </c>
      <c r="E49" s="81">
        <f>References!$B$11</f>
        <v>2.1666666666666665</v>
      </c>
      <c r="F49" s="205">
        <f t="shared" si="16"/>
        <v>2834</v>
      </c>
      <c r="G49" s="240">
        <f>References!B33</f>
        <v>324</v>
      </c>
      <c r="H49" s="83">
        <f t="shared" si="21"/>
        <v>918216</v>
      </c>
      <c r="I49" s="206">
        <f t="shared" si="17"/>
        <v>709793.02746914176</v>
      </c>
      <c r="J49" s="207">
        <f>References!$C$53*'DF Calc (Mason Co.)'!I49</f>
        <v>961.7872970463709</v>
      </c>
      <c r="K49" s="207">
        <f>J49/References!$G$56</f>
        <v>980.69009869879017</v>
      </c>
      <c r="L49" s="207">
        <f t="shared" si="22"/>
        <v>0.34604449495370154</v>
      </c>
      <c r="M49" s="207">
        <f>'Prop. Rates'!B79</f>
        <v>24.55</v>
      </c>
      <c r="N49" s="207">
        <f t="shared" si="23"/>
        <v>24.896044494953703</v>
      </c>
      <c r="O49" s="213">
        <f>'Prop. Rates'!D79</f>
        <v>24.9</v>
      </c>
      <c r="P49" s="207">
        <f t="shared" si="18"/>
        <v>69574.7</v>
      </c>
      <c r="Q49" s="207">
        <f t="shared" si="19"/>
        <v>70566.599999999991</v>
      </c>
      <c r="R49" s="207">
        <f t="shared" si="24"/>
        <v>991.89999999999418</v>
      </c>
      <c r="S49" s="208">
        <f t="shared" si="20"/>
        <v>24.896044494953703</v>
      </c>
      <c r="U49" s="158"/>
    </row>
    <row r="50" spans="1:21" s="69" customFormat="1">
      <c r="A50" s="253"/>
      <c r="B50" s="82"/>
      <c r="C50" s="214"/>
      <c r="D50" s="215"/>
      <c r="E50" s="215"/>
      <c r="F50" s="244"/>
      <c r="G50" s="240"/>
      <c r="H50" s="83"/>
      <c r="I50" s="206"/>
      <c r="J50" s="207"/>
      <c r="K50" s="207"/>
      <c r="L50" s="207"/>
      <c r="M50" s="213"/>
      <c r="N50" s="207"/>
      <c r="O50" s="213"/>
      <c r="P50" s="207"/>
      <c r="Q50" s="207"/>
      <c r="R50" s="207"/>
      <c r="S50" s="208"/>
    </row>
    <row r="51" spans="1:21" s="69" customFormat="1">
      <c r="A51" s="134"/>
      <c r="B51" s="116"/>
      <c r="C51" s="136" t="s">
        <v>36</v>
      </c>
      <c r="D51" s="137">
        <f>SUM(D43:D50)</f>
        <v>745</v>
      </c>
      <c r="E51" s="137"/>
      <c r="F51" s="137">
        <f>SUM(F43:F50)</f>
        <v>25378</v>
      </c>
      <c r="G51" s="137"/>
      <c r="H51" s="137">
        <f>SUM(H43:H50)</f>
        <v>7051622</v>
      </c>
      <c r="I51" s="141">
        <f>SUM(I43:I50)</f>
        <v>5450996.4190865811</v>
      </c>
      <c r="J51" s="142"/>
      <c r="K51" s="142"/>
      <c r="L51" s="142"/>
      <c r="M51" s="142"/>
      <c r="N51" s="142"/>
      <c r="O51" s="142"/>
      <c r="P51" s="142">
        <f>SUM(P43:P50)</f>
        <v>536098.1</v>
      </c>
      <c r="Q51" s="142">
        <f>SUM(Q43:Q50)</f>
        <v>543713.03999999992</v>
      </c>
      <c r="R51" s="142">
        <f>SUM(R43:R50)</f>
        <v>7614.9399999999423</v>
      </c>
      <c r="S51" s="142"/>
    </row>
    <row r="52" spans="1:21">
      <c r="C52" s="85" t="s">
        <v>205</v>
      </c>
      <c r="D52" s="86">
        <f>D42+D51</f>
        <v>9618</v>
      </c>
      <c r="E52" s="86"/>
      <c r="F52" s="86">
        <f>F42+F51</f>
        <v>355112</v>
      </c>
      <c r="G52" s="86"/>
      <c r="H52" s="86">
        <f>H42+H51</f>
        <v>20165246</v>
      </c>
      <c r="I52" s="86">
        <f>I42+I51</f>
        <v>15588000.000000002</v>
      </c>
      <c r="J52" s="207"/>
      <c r="K52" s="87"/>
      <c r="L52" s="87"/>
      <c r="M52" s="87"/>
      <c r="N52" s="87"/>
      <c r="O52" s="87"/>
      <c r="P52" s="87">
        <f>P42+P51</f>
        <v>2013811.94</v>
      </c>
      <c r="Q52" s="87">
        <f>Q42+Q51</f>
        <v>2035586.9914818183</v>
      </c>
      <c r="R52" s="87">
        <f>R42+R51</f>
        <v>21775.051481819057</v>
      </c>
      <c r="S52" s="87"/>
    </row>
    <row r="53" spans="1:21">
      <c r="J53" s="216"/>
    </row>
    <row r="54" spans="1:21">
      <c r="J54" s="216"/>
    </row>
    <row r="55" spans="1:21">
      <c r="A55" s="143"/>
      <c r="B55" s="144"/>
      <c r="C55" s="145" t="s">
        <v>206</v>
      </c>
      <c r="D55" s="146"/>
      <c r="E55" s="143"/>
      <c r="F55" s="143"/>
      <c r="G55" s="143"/>
      <c r="H55" s="143"/>
      <c r="I55" s="217"/>
      <c r="J55" s="218"/>
      <c r="K55" s="143"/>
      <c r="L55" s="143"/>
      <c r="M55" s="143"/>
      <c r="N55" s="143"/>
      <c r="O55" s="143"/>
      <c r="Q55" s="80" t="s">
        <v>183</v>
      </c>
      <c r="R55" s="92">
        <f>R42</f>
        <v>14160.111481819116</v>
      </c>
      <c r="S55" s="197">
        <f>R42/P42</f>
        <v>9.5824449216900601E-3</v>
      </c>
    </row>
    <row r="56" spans="1:21" ht="15" customHeight="1">
      <c r="A56" s="253" t="s">
        <v>183</v>
      </c>
      <c r="C56" s="111" t="s">
        <v>171</v>
      </c>
      <c r="D56" s="89"/>
      <c r="E56" s="81">
        <f>References!$B$12</f>
        <v>1</v>
      </c>
      <c r="F56" s="205">
        <f>E56*12</f>
        <v>12</v>
      </c>
      <c r="G56" s="205">
        <f>References!B28</f>
        <v>34</v>
      </c>
      <c r="H56" s="203">
        <f t="shared" ref="H56:H64" si="25">F56*G56</f>
        <v>408</v>
      </c>
      <c r="I56" s="203">
        <f t="shared" ref="I56:I64" si="26">$C$93*H56</f>
        <v>315.38935850323873</v>
      </c>
      <c r="J56" s="207">
        <f>References!$C$53*'DF Calc (Mason Co.)'!I56</f>
        <v>0.42736046550584972</v>
      </c>
      <c r="K56" s="207">
        <f>J56/References!$G$56</f>
        <v>0.43575973438614263</v>
      </c>
      <c r="L56" s="207">
        <f>K56/F56</f>
        <v>3.6313311198845219E-2</v>
      </c>
      <c r="M56" s="207">
        <f>'Prop. Rates'!B8</f>
        <v>4.42</v>
      </c>
      <c r="N56" s="207">
        <f t="shared" ref="N56:N64" si="27">L56+M56</f>
        <v>4.4563133111988451</v>
      </c>
      <c r="O56" s="207">
        <f>'Prop. Rates'!D8</f>
        <v>4.46</v>
      </c>
      <c r="P56" s="148"/>
      <c r="Q56" s="80" t="s">
        <v>184</v>
      </c>
      <c r="R56" s="92">
        <f>R51</f>
        <v>7614.9399999999423</v>
      </c>
      <c r="S56" s="197">
        <f>R51/P51</f>
        <v>1.4204377892777353E-2</v>
      </c>
    </row>
    <row r="57" spans="1:21">
      <c r="A57" s="253"/>
      <c r="C57" s="111" t="s">
        <v>147</v>
      </c>
      <c r="D57" s="107"/>
      <c r="E57" s="81">
        <f>References!$B$12</f>
        <v>1</v>
      </c>
      <c r="F57" s="205">
        <f t="shared" ref="F57:F84" si="28">E57*12</f>
        <v>12</v>
      </c>
      <c r="G57" s="205">
        <f>References!$B$25</f>
        <v>51</v>
      </c>
      <c r="H57" s="203">
        <f t="shared" si="25"/>
        <v>612</v>
      </c>
      <c r="I57" s="203">
        <f t="shared" si="26"/>
        <v>473.08403775485806</v>
      </c>
      <c r="J57" s="207">
        <f>References!$C$53*'DF Calc (Mason Co.)'!I57</f>
        <v>0.64104069825877452</v>
      </c>
      <c r="K57" s="207">
        <f>J57/References!$G$56</f>
        <v>0.65363960157921386</v>
      </c>
      <c r="L57" s="207">
        <f>K57/F57</f>
        <v>5.4469966798267822E-2</v>
      </c>
      <c r="M57" s="207">
        <f>'Prop. Rates'!B47</f>
        <v>14.54</v>
      </c>
      <c r="N57" s="207">
        <f t="shared" si="27"/>
        <v>14.594469966798266</v>
      </c>
      <c r="O57" s="207">
        <f>'Prop. Rates'!D47</f>
        <v>14.59</v>
      </c>
      <c r="P57" s="148"/>
      <c r="R57" s="92">
        <f>SUM(R55:R56)</f>
        <v>21775.051481819057</v>
      </c>
    </row>
    <row r="58" spans="1:21">
      <c r="A58" s="253"/>
      <c r="C58" s="111" t="s">
        <v>172</v>
      </c>
      <c r="D58" s="107"/>
      <c r="E58" s="81">
        <f>References!$B$12</f>
        <v>1</v>
      </c>
      <c r="F58" s="205">
        <f t="shared" si="28"/>
        <v>12</v>
      </c>
      <c r="G58" s="205">
        <f>References!$B$25</f>
        <v>51</v>
      </c>
      <c r="H58" s="203">
        <f t="shared" si="25"/>
        <v>612</v>
      </c>
      <c r="I58" s="203">
        <f t="shared" si="26"/>
        <v>473.08403775485806</v>
      </c>
      <c r="J58" s="207">
        <f>References!$C$53*'DF Calc (Mason Co.)'!I58</f>
        <v>0.64104069825877452</v>
      </c>
      <c r="K58" s="207">
        <f>J58/References!$G$56</f>
        <v>0.65363960157921386</v>
      </c>
      <c r="L58" s="207">
        <f>K58/F58</f>
        <v>5.4469966798267822E-2</v>
      </c>
      <c r="M58" s="207">
        <f>'Prop. Rates'!B48</f>
        <v>19.7</v>
      </c>
      <c r="N58" s="207">
        <f t="shared" si="27"/>
        <v>19.754469966798268</v>
      </c>
      <c r="O58" s="207">
        <f>'Prop. Rates'!D48</f>
        <v>19.75</v>
      </c>
      <c r="P58" s="148"/>
    </row>
    <row r="59" spans="1:21">
      <c r="A59" s="253"/>
      <c r="C59" s="245" t="s">
        <v>150</v>
      </c>
      <c r="D59" s="107"/>
      <c r="E59" s="81">
        <f>References!$B$12</f>
        <v>1</v>
      </c>
      <c r="F59" s="205">
        <f t="shared" si="28"/>
        <v>12</v>
      </c>
      <c r="G59" s="205">
        <f>References!$B$25</f>
        <v>51</v>
      </c>
      <c r="H59" s="203">
        <f t="shared" si="25"/>
        <v>612</v>
      </c>
      <c r="I59" s="203">
        <f t="shared" si="26"/>
        <v>473.08403775485806</v>
      </c>
      <c r="J59" s="207">
        <f>References!$C$53*'DF Calc (Mason Co.)'!I59</f>
        <v>0.64104069825877452</v>
      </c>
      <c r="K59" s="207">
        <f>J59/References!$G$56</f>
        <v>0.65363960157921386</v>
      </c>
      <c r="L59" s="207">
        <f>K59/F59</f>
        <v>5.4469966798267822E-2</v>
      </c>
      <c r="M59" s="207">
        <f>'Prop. Rates'!B51</f>
        <v>4.83</v>
      </c>
      <c r="N59" s="207">
        <f t="shared" si="27"/>
        <v>4.8844699667982683</v>
      </c>
      <c r="O59" s="207">
        <f>'Prop. Rates'!D51</f>
        <v>4.88</v>
      </c>
      <c r="P59" s="148"/>
      <c r="Q59" s="80" t="s">
        <v>250</v>
      </c>
      <c r="R59" s="149">
        <v>4663</v>
      </c>
    </row>
    <row r="60" spans="1:21">
      <c r="A60" s="253"/>
      <c r="C60" s="111" t="s">
        <v>232</v>
      </c>
      <c r="D60" s="107">
        <v>0</v>
      </c>
      <c r="E60" s="126">
        <f>References!B10</f>
        <v>4.333333333333333</v>
      </c>
      <c r="F60" s="205">
        <f t="shared" si="28"/>
        <v>52</v>
      </c>
      <c r="G60" s="205">
        <f>References!$B$25</f>
        <v>51</v>
      </c>
      <c r="H60" s="203">
        <f t="shared" si="25"/>
        <v>2652</v>
      </c>
      <c r="I60" s="203">
        <f t="shared" si="26"/>
        <v>2050.0308302710514</v>
      </c>
      <c r="J60" s="207">
        <f>References!$C$53*'DF Calc (Mason Co.)'!I60</f>
        <v>2.7778430257880227</v>
      </c>
      <c r="K60" s="207">
        <f>J60/References!$G$56</f>
        <v>2.8324382735099265</v>
      </c>
      <c r="L60" s="207">
        <f>K60/F60*E60</f>
        <v>0.23603652279249385</v>
      </c>
      <c r="M60" s="207">
        <f>'Prop. Rates'!B52</f>
        <v>20.61</v>
      </c>
      <c r="N60" s="207">
        <f t="shared" si="27"/>
        <v>20.846036522792492</v>
      </c>
      <c r="O60" s="207">
        <f>'Prop. Rates'!D52</f>
        <v>20.85</v>
      </c>
      <c r="P60" s="148"/>
      <c r="Q60" s="125"/>
    </row>
    <row r="61" spans="1:21">
      <c r="A61" s="253"/>
      <c r="C61" s="80" t="s">
        <v>153</v>
      </c>
      <c r="E61" s="81">
        <f>References!$B$12</f>
        <v>1</v>
      </c>
      <c r="F61" s="205">
        <f t="shared" si="28"/>
        <v>12</v>
      </c>
      <c r="G61" s="80">
        <f>References!$B$46</f>
        <v>125</v>
      </c>
      <c r="H61" s="203">
        <f t="shared" si="25"/>
        <v>1500</v>
      </c>
      <c r="I61" s="203">
        <f t="shared" si="26"/>
        <v>1159.519700379554</v>
      </c>
      <c r="J61" s="207">
        <f>References!$C$53*'DF Calc (Mason Co.)'!I61</f>
        <v>1.5711781820068003</v>
      </c>
      <c r="K61" s="207">
        <f>J61/References!$G$56</f>
        <v>1.6020578470078772</v>
      </c>
      <c r="L61" s="207">
        <f>K61/F61</f>
        <v>0.13350482058398977</v>
      </c>
      <c r="M61" s="207">
        <f>'Prop. Rates'!B55</f>
        <v>27.48</v>
      </c>
      <c r="N61" s="207">
        <f t="shared" si="27"/>
        <v>27.613504820583991</v>
      </c>
      <c r="O61" s="207">
        <f>'Prop. Rates'!D55</f>
        <v>27.61</v>
      </c>
      <c r="P61" s="148"/>
      <c r="Q61" s="80" t="s">
        <v>251</v>
      </c>
      <c r="R61" s="198">
        <f>R59*References!B53</f>
        <v>12636.963149999978</v>
      </c>
      <c r="S61" s="197">
        <f>References!D53</f>
        <v>2.8999999999999949E-2</v>
      </c>
    </row>
    <row r="62" spans="1:21">
      <c r="A62" s="253"/>
      <c r="C62" s="80" t="s">
        <v>154</v>
      </c>
      <c r="E62" s="81">
        <f>References!$B$12</f>
        <v>1</v>
      </c>
      <c r="F62" s="205">
        <f t="shared" si="28"/>
        <v>12</v>
      </c>
      <c r="G62" s="80">
        <f>References!$B$46</f>
        <v>125</v>
      </c>
      <c r="H62" s="203">
        <f t="shared" si="25"/>
        <v>1500</v>
      </c>
      <c r="I62" s="203">
        <f t="shared" si="26"/>
        <v>1159.519700379554</v>
      </c>
      <c r="J62" s="207">
        <f>References!$C$53*'DF Calc (Mason Co.)'!I62</f>
        <v>1.5711781820068003</v>
      </c>
      <c r="K62" s="207">
        <f>J62/References!$G$56</f>
        <v>1.6020578470078772</v>
      </c>
      <c r="L62" s="207">
        <f>K62/F62</f>
        <v>0.13350482058398977</v>
      </c>
      <c r="M62" s="207">
        <f>'Prop. Rates'!B56</f>
        <v>27.48</v>
      </c>
      <c r="N62" s="207">
        <f t="shared" si="27"/>
        <v>27.613504820583991</v>
      </c>
      <c r="O62" s="207">
        <f>'Prop. Rates'!D56</f>
        <v>27.61</v>
      </c>
      <c r="P62" s="148"/>
    </row>
    <row r="63" spans="1:21">
      <c r="A63" s="253"/>
      <c r="C63" s="80" t="s">
        <v>155</v>
      </c>
      <c r="E63" s="81">
        <f>References!$B$12</f>
        <v>1</v>
      </c>
      <c r="F63" s="205">
        <f t="shared" si="28"/>
        <v>12</v>
      </c>
      <c r="G63" s="80">
        <f>References!$B$46</f>
        <v>125</v>
      </c>
      <c r="H63" s="203">
        <f t="shared" si="25"/>
        <v>1500</v>
      </c>
      <c r="I63" s="203">
        <f t="shared" si="26"/>
        <v>1159.519700379554</v>
      </c>
      <c r="J63" s="207">
        <f>References!$C$53*'DF Calc (Mason Co.)'!I63</f>
        <v>1.5711781820068003</v>
      </c>
      <c r="K63" s="207">
        <f>J63/References!$G$56</f>
        <v>1.6020578470078772</v>
      </c>
      <c r="L63" s="207">
        <f>K63/F63</f>
        <v>0.13350482058398977</v>
      </c>
      <c r="M63" s="207">
        <f>'Prop. Rates'!B57</f>
        <v>27.48</v>
      </c>
      <c r="N63" s="207">
        <f t="shared" si="27"/>
        <v>27.613504820583991</v>
      </c>
      <c r="O63" s="207">
        <f>'Prop. Rates'!D57</f>
        <v>27.61</v>
      </c>
      <c r="P63" s="148"/>
    </row>
    <row r="64" spans="1:21">
      <c r="A64" s="253"/>
      <c r="C64" s="80" t="s">
        <v>156</v>
      </c>
      <c r="E64" s="81">
        <f>References!$B$12</f>
        <v>1</v>
      </c>
      <c r="F64" s="205">
        <f t="shared" si="28"/>
        <v>12</v>
      </c>
      <c r="G64" s="80">
        <f>References!$B$46</f>
        <v>125</v>
      </c>
      <c r="H64" s="203">
        <f t="shared" si="25"/>
        <v>1500</v>
      </c>
      <c r="I64" s="203">
        <f t="shared" si="26"/>
        <v>1159.519700379554</v>
      </c>
      <c r="J64" s="207">
        <f>References!$C$53*'DF Calc (Mason Co.)'!I64</f>
        <v>1.5711781820068003</v>
      </c>
      <c r="K64" s="207">
        <f>J64/References!$G$56</f>
        <v>1.6020578470078772</v>
      </c>
      <c r="L64" s="207">
        <f>K64/F64</f>
        <v>0.13350482058398977</v>
      </c>
      <c r="M64" s="207">
        <f>'Prop. Rates'!B58</f>
        <v>31.22</v>
      </c>
      <c r="N64" s="207">
        <f t="shared" si="27"/>
        <v>31.353504820583989</v>
      </c>
      <c r="O64" s="207">
        <f>'Prop. Rates'!D58</f>
        <v>31.35</v>
      </c>
      <c r="P64" s="148"/>
    </row>
    <row r="65" spans="1:16">
      <c r="A65" s="255"/>
      <c r="B65" s="24"/>
      <c r="C65" s="90"/>
      <c r="D65" s="219"/>
      <c r="E65" s="220"/>
      <c r="F65" s="221"/>
      <c r="G65" s="221"/>
      <c r="H65" s="222"/>
      <c r="I65" s="222"/>
      <c r="J65" s="223"/>
      <c r="K65" s="223"/>
      <c r="L65" s="223"/>
      <c r="M65" s="224"/>
      <c r="N65" s="223"/>
      <c r="O65" s="224"/>
      <c r="P65" s="148"/>
    </row>
    <row r="66" spans="1:16">
      <c r="A66" s="253" t="s">
        <v>184</v>
      </c>
      <c r="C66" s="225" t="s">
        <v>115</v>
      </c>
      <c r="D66" s="89"/>
      <c r="E66" s="81">
        <f>References!$B$12</f>
        <v>1</v>
      </c>
      <c r="F66" s="205">
        <f t="shared" si="28"/>
        <v>12</v>
      </c>
      <c r="G66" s="205">
        <f>References!B30</f>
        <v>29</v>
      </c>
      <c r="H66" s="203">
        <f>F66*G66</f>
        <v>348</v>
      </c>
      <c r="I66" s="203">
        <f t="shared" ref="I66:I75" si="29">$C$93*H66</f>
        <v>269.00857048805653</v>
      </c>
      <c r="J66" s="207">
        <f>References!$C$53*'DF Calc (Mason Co.)'!I66</f>
        <v>0.36451333822557769</v>
      </c>
      <c r="K66" s="207">
        <f>J66/References!$G$56</f>
        <v>0.37167742050582753</v>
      </c>
      <c r="L66" s="207">
        <f>K66/F66</f>
        <v>3.0973118375485626E-2</v>
      </c>
      <c r="M66" s="226">
        <f>'Prop. Rates'!B83</f>
        <v>4.29</v>
      </c>
      <c r="N66" s="207">
        <f>L66+M66</f>
        <v>4.3209731183754858</v>
      </c>
      <c r="O66" s="226">
        <f>'Prop. Rates'!D83</f>
        <v>4.32</v>
      </c>
      <c r="P66" s="160"/>
    </row>
    <row r="67" spans="1:16">
      <c r="A67" s="253"/>
      <c r="C67" s="225" t="s">
        <v>162</v>
      </c>
      <c r="D67" s="89"/>
      <c r="E67" s="81">
        <f>References!$B$12</f>
        <v>1</v>
      </c>
      <c r="F67" s="205">
        <f t="shared" si="28"/>
        <v>12</v>
      </c>
      <c r="G67" s="205">
        <f>References!B23</f>
        <v>37</v>
      </c>
      <c r="H67" s="203">
        <f t="shared" ref="H67:H76" si="30">F67*G67</f>
        <v>444</v>
      </c>
      <c r="I67" s="203">
        <f t="shared" si="29"/>
        <v>343.21783131234798</v>
      </c>
      <c r="J67" s="207">
        <f>References!$C$53*'DF Calc (Mason Co.)'!I67</f>
        <v>0.46506874187401287</v>
      </c>
      <c r="K67" s="207">
        <f>J67/References!$G$56</f>
        <v>0.47420912271433163</v>
      </c>
      <c r="L67" s="207">
        <f t="shared" ref="L67:L75" si="31">K67/F67</f>
        <v>3.9517426892860967E-2</v>
      </c>
      <c r="M67" s="226">
        <f>'Prop. Rates'!B84</f>
        <v>4.6399999999999997</v>
      </c>
      <c r="N67" s="207">
        <f t="shared" ref="N67:N84" si="32">L67+M67</f>
        <v>4.6795174268928603</v>
      </c>
      <c r="O67" s="226">
        <f>'Prop. Rates'!D84</f>
        <v>4.68</v>
      </c>
      <c r="P67" s="160"/>
    </row>
    <row r="68" spans="1:16">
      <c r="A68" s="253"/>
      <c r="C68" s="225" t="s">
        <v>163</v>
      </c>
      <c r="D68" s="89"/>
      <c r="E68" s="81">
        <f>References!$B$12</f>
        <v>1</v>
      </c>
      <c r="F68" s="205">
        <f t="shared" si="28"/>
        <v>12</v>
      </c>
      <c r="G68" s="205">
        <f>References!B24</f>
        <v>48</v>
      </c>
      <c r="H68" s="203">
        <f t="shared" si="30"/>
        <v>576</v>
      </c>
      <c r="I68" s="203">
        <f t="shared" si="29"/>
        <v>445.25556494574874</v>
      </c>
      <c r="J68" s="207">
        <f>References!$C$53*'DF Calc (Mason Co.)'!I68</f>
        <v>0.60333242189061131</v>
      </c>
      <c r="K68" s="207">
        <f>J68/References!$G$56</f>
        <v>0.61519021325102485</v>
      </c>
      <c r="L68" s="207">
        <f t="shared" si="31"/>
        <v>5.1265851104252073E-2</v>
      </c>
      <c r="M68" s="226">
        <f>'Prop. Rates'!B85</f>
        <v>5.47</v>
      </c>
      <c r="N68" s="207">
        <f t="shared" si="32"/>
        <v>5.5212658511042516</v>
      </c>
      <c r="O68" s="226">
        <f>'Prop. Rates'!D85</f>
        <v>5.52</v>
      </c>
      <c r="P68" s="160"/>
    </row>
    <row r="69" spans="1:16">
      <c r="A69" s="253"/>
      <c r="C69" s="225" t="s">
        <v>164</v>
      </c>
      <c r="D69" s="89"/>
      <c r="E69" s="81">
        <f>References!$B$12</f>
        <v>1</v>
      </c>
      <c r="F69" s="205">
        <f t="shared" si="28"/>
        <v>12</v>
      </c>
      <c r="G69" s="205">
        <f>References!B25</f>
        <v>51</v>
      </c>
      <c r="H69" s="203">
        <f t="shared" si="30"/>
        <v>612</v>
      </c>
      <c r="I69" s="203">
        <f t="shared" si="29"/>
        <v>473.08403775485806</v>
      </c>
      <c r="J69" s="207">
        <f>References!$C$53*'DF Calc (Mason Co.)'!I69</f>
        <v>0.64104069825877452</v>
      </c>
      <c r="K69" s="207">
        <f>J69/References!$G$56</f>
        <v>0.65363960157921386</v>
      </c>
      <c r="L69" s="207">
        <f t="shared" si="31"/>
        <v>5.4469966798267822E-2</v>
      </c>
      <c r="M69" s="226">
        <f>'Prop. Rates'!B86</f>
        <v>6.48</v>
      </c>
      <c r="N69" s="207">
        <f t="shared" si="32"/>
        <v>6.5344699667982686</v>
      </c>
      <c r="O69" s="226">
        <f>'Prop. Rates'!D86</f>
        <v>6.53</v>
      </c>
      <c r="P69" s="160"/>
    </row>
    <row r="70" spans="1:16">
      <c r="A70" s="253"/>
      <c r="C70" s="225" t="s">
        <v>165</v>
      </c>
      <c r="D70" s="89"/>
      <c r="E70" s="81">
        <f>References!$B$12</f>
        <v>1</v>
      </c>
      <c r="F70" s="205">
        <f t="shared" si="28"/>
        <v>12</v>
      </c>
      <c r="G70" s="205">
        <f>References!B26</f>
        <v>77</v>
      </c>
      <c r="H70" s="203">
        <f t="shared" si="30"/>
        <v>924</v>
      </c>
      <c r="I70" s="203">
        <f t="shared" si="29"/>
        <v>714.26413543380534</v>
      </c>
      <c r="J70" s="207">
        <f>References!$C$53*'DF Calc (Mason Co.)'!I70</f>
        <v>0.96784576011618906</v>
      </c>
      <c r="K70" s="207">
        <f>J70/References!$G$56</f>
        <v>0.98686763375685238</v>
      </c>
      <c r="L70" s="207">
        <f t="shared" si="31"/>
        <v>8.2238969479737703E-2</v>
      </c>
      <c r="M70" s="226">
        <f>'Prop. Rates'!B87</f>
        <v>8.09</v>
      </c>
      <c r="N70" s="207">
        <f t="shared" si="32"/>
        <v>8.1722389694797375</v>
      </c>
      <c r="O70" s="226">
        <f>'Prop. Rates'!D87</f>
        <v>8.17</v>
      </c>
      <c r="P70" s="160"/>
    </row>
    <row r="71" spans="1:16">
      <c r="A71" s="253"/>
      <c r="C71" s="227" t="s">
        <v>226</v>
      </c>
      <c r="D71" s="89"/>
      <c r="E71" s="81">
        <f>References!$B$12</f>
        <v>1</v>
      </c>
      <c r="F71" s="205">
        <f t="shared" si="28"/>
        <v>12</v>
      </c>
      <c r="G71" s="205">
        <v>29</v>
      </c>
      <c r="H71" s="203">
        <f t="shared" si="30"/>
        <v>348</v>
      </c>
      <c r="I71" s="203">
        <f t="shared" si="29"/>
        <v>269.00857048805653</v>
      </c>
      <c r="J71" s="207">
        <f>References!$C$53*'DF Calc (Mason Co.)'!I71</f>
        <v>0.36451333822557769</v>
      </c>
      <c r="K71" s="207">
        <f>J71/References!$G$56</f>
        <v>0.37167742050582753</v>
      </c>
      <c r="L71" s="207">
        <f t="shared" si="31"/>
        <v>3.0973118375485626E-2</v>
      </c>
      <c r="M71" s="226">
        <f>'Prop. Rates'!B90</f>
        <v>13.22</v>
      </c>
      <c r="N71" s="207">
        <f t="shared" si="32"/>
        <v>13.250973118375486</v>
      </c>
      <c r="O71" s="226">
        <f>'Prop. Rates'!D90</f>
        <v>13.25</v>
      </c>
      <c r="P71" s="160"/>
    </row>
    <row r="72" spans="1:16">
      <c r="A72" s="253"/>
      <c r="C72" s="227" t="s">
        <v>227</v>
      </c>
      <c r="D72" s="89"/>
      <c r="E72" s="81">
        <f>References!$B$12</f>
        <v>1</v>
      </c>
      <c r="F72" s="205">
        <f t="shared" si="28"/>
        <v>12</v>
      </c>
      <c r="G72" s="205">
        <f>References!B23</f>
        <v>37</v>
      </c>
      <c r="H72" s="203">
        <f t="shared" si="30"/>
        <v>444</v>
      </c>
      <c r="I72" s="203">
        <f t="shared" si="29"/>
        <v>343.21783131234798</v>
      </c>
      <c r="J72" s="207">
        <f>References!$C$53*'DF Calc (Mason Co.)'!I72</f>
        <v>0.46506874187401287</v>
      </c>
      <c r="K72" s="207">
        <f>J72/References!$G$56</f>
        <v>0.47420912271433163</v>
      </c>
      <c r="L72" s="207">
        <f t="shared" si="31"/>
        <v>3.9517426892860967E-2</v>
      </c>
      <c r="M72" s="226">
        <f>'Prop. Rates'!B91</f>
        <v>14.75</v>
      </c>
      <c r="N72" s="207">
        <f t="shared" si="32"/>
        <v>14.789517426892861</v>
      </c>
      <c r="O72" s="226">
        <f>'Prop. Rates'!D91</f>
        <v>14.79</v>
      </c>
      <c r="P72" s="160"/>
    </row>
    <row r="73" spans="1:16">
      <c r="A73" s="253"/>
      <c r="C73" s="227" t="s">
        <v>228</v>
      </c>
      <c r="D73" s="89"/>
      <c r="E73" s="81">
        <f>References!$B$12</f>
        <v>1</v>
      </c>
      <c r="F73" s="205">
        <f t="shared" si="28"/>
        <v>12</v>
      </c>
      <c r="G73" s="205">
        <f>References!B24</f>
        <v>48</v>
      </c>
      <c r="H73" s="203">
        <f t="shared" si="30"/>
        <v>576</v>
      </c>
      <c r="I73" s="203">
        <f t="shared" si="29"/>
        <v>445.25556494574874</v>
      </c>
      <c r="J73" s="207">
        <f>References!$C$53*'DF Calc (Mason Co.)'!I73</f>
        <v>0.60333242189061131</v>
      </c>
      <c r="K73" s="207">
        <f>J73/References!$G$56</f>
        <v>0.61519021325102485</v>
      </c>
      <c r="L73" s="207">
        <f t="shared" si="31"/>
        <v>5.1265851104252073E-2</v>
      </c>
      <c r="M73" s="226">
        <f>'Prop. Rates'!B92</f>
        <v>15.58</v>
      </c>
      <c r="N73" s="207">
        <f t="shared" si="32"/>
        <v>15.631265851104253</v>
      </c>
      <c r="O73" s="226">
        <f>'Prop. Rates'!D92</f>
        <v>15.63</v>
      </c>
      <c r="P73" s="160"/>
    </row>
    <row r="74" spans="1:16">
      <c r="A74" s="253"/>
      <c r="C74" s="227" t="s">
        <v>229</v>
      </c>
      <c r="D74" s="89"/>
      <c r="E74" s="81">
        <f>References!$B$12</f>
        <v>1</v>
      </c>
      <c r="F74" s="205">
        <f t="shared" si="28"/>
        <v>12</v>
      </c>
      <c r="G74" s="205">
        <f>References!B25</f>
        <v>51</v>
      </c>
      <c r="H74" s="203">
        <f t="shared" si="30"/>
        <v>612</v>
      </c>
      <c r="I74" s="203">
        <f t="shared" si="29"/>
        <v>473.08403775485806</v>
      </c>
      <c r="J74" s="207">
        <f>References!$C$53*'DF Calc (Mason Co.)'!I74</f>
        <v>0.64104069825877452</v>
      </c>
      <c r="K74" s="207">
        <f>J74/References!$G$56</f>
        <v>0.65363960157921386</v>
      </c>
      <c r="L74" s="207">
        <f t="shared" si="31"/>
        <v>5.4469966798267822E-2</v>
      </c>
      <c r="M74" s="226">
        <f>'Prop. Rates'!B93</f>
        <v>16.59</v>
      </c>
      <c r="N74" s="207">
        <f t="shared" si="32"/>
        <v>16.644469966798269</v>
      </c>
      <c r="O74" s="226">
        <f>'Prop. Rates'!D93</f>
        <v>16.64</v>
      </c>
      <c r="P74" s="160"/>
    </row>
    <row r="75" spans="1:16">
      <c r="A75" s="253"/>
      <c r="C75" s="227" t="s">
        <v>230</v>
      </c>
      <c r="D75" s="89"/>
      <c r="E75" s="81">
        <f>References!$B$12</f>
        <v>1</v>
      </c>
      <c r="F75" s="205">
        <f t="shared" si="28"/>
        <v>12</v>
      </c>
      <c r="G75" s="205">
        <f>References!B26</f>
        <v>77</v>
      </c>
      <c r="H75" s="203">
        <f t="shared" si="30"/>
        <v>924</v>
      </c>
      <c r="I75" s="203">
        <f t="shared" si="29"/>
        <v>714.26413543380534</v>
      </c>
      <c r="J75" s="207">
        <f>References!$C$53*'DF Calc (Mason Co.)'!I75</f>
        <v>0.96784576011618906</v>
      </c>
      <c r="K75" s="207">
        <f>J75/References!$G$56</f>
        <v>0.98686763375685238</v>
      </c>
      <c r="L75" s="207">
        <f t="shared" si="31"/>
        <v>8.2238969479737703E-2</v>
      </c>
      <c r="M75" s="226">
        <f>'Prop. Rates'!B94</f>
        <v>18.2</v>
      </c>
      <c r="N75" s="207">
        <f t="shared" si="32"/>
        <v>18.282238969479739</v>
      </c>
      <c r="O75" s="226">
        <f>'Prop. Rates'!D94</f>
        <v>18.28</v>
      </c>
      <c r="P75" s="160"/>
    </row>
    <row r="76" spans="1:16">
      <c r="A76" s="253"/>
      <c r="C76" s="111" t="s">
        <v>45</v>
      </c>
      <c r="D76" s="107"/>
      <c r="E76" s="81">
        <f>References!$B$12</f>
        <v>1</v>
      </c>
      <c r="F76" s="205">
        <f t="shared" si="28"/>
        <v>12</v>
      </c>
      <c r="G76" s="205">
        <f>References!B46</f>
        <v>125</v>
      </c>
      <c r="H76" s="203">
        <f t="shared" si="30"/>
        <v>1500</v>
      </c>
      <c r="I76" s="203">
        <f t="shared" ref="I76:I84" si="33">$C$93*H76</f>
        <v>1159.519700379554</v>
      </c>
      <c r="J76" s="207">
        <f>References!$C$53*'DF Calc (Mason Co.)'!I76</f>
        <v>1.5711781820068003</v>
      </c>
      <c r="K76" s="207">
        <f>J76/References!$G$56</f>
        <v>1.6020578470078772</v>
      </c>
      <c r="L76" s="207">
        <f>K76/F76</f>
        <v>0.13350482058398977</v>
      </c>
      <c r="M76" s="226">
        <f>'Prop. Rates'!B80</f>
        <v>15.68</v>
      </c>
      <c r="N76" s="207">
        <f t="shared" si="32"/>
        <v>15.81350482058399</v>
      </c>
      <c r="O76" s="226">
        <f>'Prop. Rates'!D80</f>
        <v>15.81</v>
      </c>
      <c r="P76" s="160"/>
    </row>
    <row r="77" spans="1:16">
      <c r="A77" s="253"/>
      <c r="C77" s="225" t="s">
        <v>175</v>
      </c>
      <c r="D77" s="89"/>
      <c r="E77" s="81">
        <f>References!$B$12</f>
        <v>1</v>
      </c>
      <c r="F77" s="205">
        <f t="shared" si="28"/>
        <v>12</v>
      </c>
      <c r="G77" s="205">
        <f>References!$B$30</f>
        <v>29</v>
      </c>
      <c r="H77" s="203">
        <f>F77*G77</f>
        <v>348</v>
      </c>
      <c r="I77" s="203">
        <f t="shared" si="33"/>
        <v>269.00857048805653</v>
      </c>
      <c r="J77" s="207">
        <f>References!$C$53*'DF Calc (Mason Co.)'!I77</f>
        <v>0.36451333822557769</v>
      </c>
      <c r="K77" s="207">
        <f>J77/References!$G$56</f>
        <v>0.37167742050582753</v>
      </c>
      <c r="L77" s="207">
        <f>K77/F77</f>
        <v>3.0973118375485626E-2</v>
      </c>
      <c r="M77" s="226">
        <f>'Prop. Rates'!B96</f>
        <v>4.6500000000000004</v>
      </c>
      <c r="N77" s="207">
        <f t="shared" si="32"/>
        <v>4.6809731183754861</v>
      </c>
      <c r="O77" s="226">
        <f>'Prop. Rates'!D96</f>
        <v>4.68</v>
      </c>
      <c r="P77" s="160"/>
    </row>
    <row r="78" spans="1:16">
      <c r="A78" s="253"/>
      <c r="C78" s="225" t="s">
        <v>182</v>
      </c>
      <c r="D78" s="89">
        <v>0</v>
      </c>
      <c r="E78" s="89">
        <f>References!B10</f>
        <v>4.333333333333333</v>
      </c>
      <c r="F78" s="121">
        <f>E78*12</f>
        <v>52</v>
      </c>
      <c r="G78" s="205">
        <f>References!$B$30</f>
        <v>29</v>
      </c>
      <c r="H78" s="203">
        <f t="shared" ref="H78:H84" si="34">F78*G78</f>
        <v>1508</v>
      </c>
      <c r="I78" s="203">
        <f t="shared" si="33"/>
        <v>1165.703805448245</v>
      </c>
      <c r="J78" s="207">
        <f>References!$C$53*'DF Calc (Mason Co.)'!I78</f>
        <v>1.5795577989775034</v>
      </c>
      <c r="K78" s="207">
        <f>J78/References!$G$56</f>
        <v>1.6106021555252528</v>
      </c>
      <c r="L78" s="207">
        <f>K78/F78*E78</f>
        <v>0.13421684629377106</v>
      </c>
      <c r="M78" s="226">
        <f>'Prop. Rates'!B97</f>
        <v>18.600000000000001</v>
      </c>
      <c r="N78" s="207">
        <f t="shared" si="32"/>
        <v>18.734216846293773</v>
      </c>
      <c r="O78" s="226">
        <f>'Prop. Rates'!D97</f>
        <v>18.73</v>
      </c>
      <c r="P78" s="160"/>
    </row>
    <row r="79" spans="1:16">
      <c r="A79" s="253"/>
      <c r="C79" s="225" t="s">
        <v>176</v>
      </c>
      <c r="D79" s="89"/>
      <c r="E79" s="81">
        <f>References!$B$12</f>
        <v>1</v>
      </c>
      <c r="F79" s="205">
        <f t="shared" si="28"/>
        <v>12</v>
      </c>
      <c r="G79" s="205">
        <f>References!$B$30</f>
        <v>29</v>
      </c>
      <c r="H79" s="203">
        <f t="shared" si="34"/>
        <v>348</v>
      </c>
      <c r="I79" s="203">
        <f t="shared" si="33"/>
        <v>269.00857048805653</v>
      </c>
      <c r="J79" s="207">
        <f>References!$C$53*'DF Calc (Mason Co.)'!I79</f>
        <v>0.36451333822557769</v>
      </c>
      <c r="K79" s="207">
        <f>J79/References!$G$56</f>
        <v>0.37167742050582753</v>
      </c>
      <c r="L79" s="207">
        <f t="shared" ref="L79:L80" si="35">K79/F79</f>
        <v>3.0973118375485626E-2</v>
      </c>
      <c r="M79" s="226">
        <f>'Prop. Rates'!B98</f>
        <v>3.96</v>
      </c>
      <c r="N79" s="207">
        <f t="shared" si="32"/>
        <v>3.9909731183754857</v>
      </c>
      <c r="O79" s="152">
        <f>'Prop. Rates'!D98</f>
        <v>3.99</v>
      </c>
      <c r="P79" s="160"/>
    </row>
    <row r="80" spans="1:16">
      <c r="A80" s="253"/>
      <c r="C80" s="225" t="s">
        <v>177</v>
      </c>
      <c r="D80" s="89"/>
      <c r="E80" s="81">
        <f>References!$B$12</f>
        <v>1</v>
      </c>
      <c r="F80" s="205">
        <f t="shared" si="28"/>
        <v>12</v>
      </c>
      <c r="G80" s="205">
        <f>References!$B$30</f>
        <v>29</v>
      </c>
      <c r="H80" s="203">
        <f t="shared" si="34"/>
        <v>348</v>
      </c>
      <c r="I80" s="203">
        <f t="shared" si="33"/>
        <v>269.00857048805653</v>
      </c>
      <c r="J80" s="207">
        <f>References!$C$53*'DF Calc (Mason Co.)'!I80</f>
        <v>0.36451333822557769</v>
      </c>
      <c r="K80" s="207">
        <f>J80/References!$G$56</f>
        <v>0.37167742050582753</v>
      </c>
      <c r="L80" s="207">
        <f t="shared" si="35"/>
        <v>3.0973118375485626E-2</v>
      </c>
      <c r="M80" s="226">
        <f>'Prop. Rates'!B99</f>
        <v>4.29</v>
      </c>
      <c r="N80" s="207">
        <f t="shared" si="32"/>
        <v>4.3209731183754858</v>
      </c>
      <c r="O80" s="152">
        <f>'Prop. Rates'!D99</f>
        <v>4.32</v>
      </c>
      <c r="P80" s="160"/>
    </row>
    <row r="81" spans="1:18">
      <c r="A81" s="253"/>
      <c r="C81" s="225" t="s">
        <v>178</v>
      </c>
      <c r="D81" s="89">
        <v>0</v>
      </c>
      <c r="E81" s="89">
        <f>References!$B$10</f>
        <v>4.333333333333333</v>
      </c>
      <c r="F81" s="121">
        <f t="shared" si="28"/>
        <v>52</v>
      </c>
      <c r="G81" s="205">
        <f>References!B23</f>
        <v>37</v>
      </c>
      <c r="H81" s="203">
        <f>F81*G81</f>
        <v>1924</v>
      </c>
      <c r="I81" s="203">
        <f t="shared" si="33"/>
        <v>1487.2772690201746</v>
      </c>
      <c r="J81" s="207">
        <f>References!$C$53*'DF Calc (Mason Co.)'!I81</f>
        <v>2.0152978814540559</v>
      </c>
      <c r="K81" s="207">
        <f>J81/References!$G$56</f>
        <v>2.0549061984287706</v>
      </c>
      <c r="L81" s="207">
        <f>K81/F81*E81</f>
        <v>0.17124218320239754</v>
      </c>
      <c r="M81" s="226">
        <f>'Prop. Rates'!B101</f>
        <v>19.91</v>
      </c>
      <c r="N81" s="207">
        <f t="shared" si="32"/>
        <v>20.081242183202399</v>
      </c>
      <c r="O81" s="152">
        <f>'Prop. Rates'!D101</f>
        <v>20.079999999999998</v>
      </c>
      <c r="P81" s="160"/>
    </row>
    <row r="82" spans="1:18">
      <c r="A82" s="253"/>
      <c r="C82" s="225" t="s">
        <v>179</v>
      </c>
      <c r="D82" s="89">
        <v>0</v>
      </c>
      <c r="E82" s="89">
        <f>References!$B$10</f>
        <v>4.333333333333333</v>
      </c>
      <c r="F82" s="121">
        <f t="shared" si="28"/>
        <v>52</v>
      </c>
      <c r="G82" s="205">
        <f>References!B24</f>
        <v>48</v>
      </c>
      <c r="H82" s="203">
        <f t="shared" si="34"/>
        <v>2496</v>
      </c>
      <c r="I82" s="203">
        <f t="shared" si="33"/>
        <v>1929.440781431578</v>
      </c>
      <c r="J82" s="207">
        <f>References!$C$53*'DF Calc (Mason Co.)'!I82</f>
        <v>2.6144404948593158</v>
      </c>
      <c r="K82" s="207">
        <f>J82/References!$G$56</f>
        <v>2.6658242574211077</v>
      </c>
      <c r="L82" s="207">
        <f t="shared" ref="L82:L84" si="36">K82/F82*E82</f>
        <v>0.22215202145175897</v>
      </c>
      <c r="M82" s="226">
        <f>'Prop. Rates'!B102</f>
        <v>23.44</v>
      </c>
      <c r="N82" s="207">
        <f t="shared" si="32"/>
        <v>23.66215202145176</v>
      </c>
      <c r="O82" s="159">
        <f>'Prop. Rates'!D102</f>
        <v>23.66</v>
      </c>
      <c r="P82" s="160"/>
    </row>
    <row r="83" spans="1:18">
      <c r="A83" s="253"/>
      <c r="C83" s="225" t="s">
        <v>180</v>
      </c>
      <c r="D83" s="89">
        <v>0</v>
      </c>
      <c r="E83" s="89">
        <f>References!$B$10</f>
        <v>4.333333333333333</v>
      </c>
      <c r="F83" s="121">
        <f t="shared" si="28"/>
        <v>52</v>
      </c>
      <c r="G83" s="205">
        <f>References!B25</f>
        <v>51</v>
      </c>
      <c r="H83" s="203">
        <f t="shared" si="34"/>
        <v>2652</v>
      </c>
      <c r="I83" s="203">
        <f t="shared" si="33"/>
        <v>2050.0308302710514</v>
      </c>
      <c r="J83" s="207">
        <f>References!$C$53*'DF Calc (Mason Co.)'!I83</f>
        <v>2.7778430257880227</v>
      </c>
      <c r="K83" s="207">
        <f>J83/References!$G$56</f>
        <v>2.8324382735099265</v>
      </c>
      <c r="L83" s="207">
        <f t="shared" si="36"/>
        <v>0.23603652279249385</v>
      </c>
      <c r="M83" s="226">
        <f>'Prop. Rates'!B103</f>
        <v>27.75</v>
      </c>
      <c r="N83" s="207">
        <f t="shared" si="32"/>
        <v>27.986036522792492</v>
      </c>
      <c r="O83" s="159">
        <f>'Prop. Rates'!D103</f>
        <v>27.99</v>
      </c>
      <c r="P83" s="160"/>
    </row>
    <row r="84" spans="1:18">
      <c r="A84" s="253"/>
      <c r="C84" s="225" t="s">
        <v>181</v>
      </c>
      <c r="D84" s="89">
        <v>0</v>
      </c>
      <c r="E84" s="89">
        <f>References!$B$10</f>
        <v>4.333333333333333</v>
      </c>
      <c r="F84" s="121">
        <f t="shared" si="28"/>
        <v>52</v>
      </c>
      <c r="G84" s="205">
        <f>References!B26</f>
        <v>77</v>
      </c>
      <c r="H84" s="203">
        <f t="shared" si="34"/>
        <v>4004</v>
      </c>
      <c r="I84" s="203">
        <f t="shared" si="33"/>
        <v>3095.1445868798228</v>
      </c>
      <c r="J84" s="207">
        <f>References!$C$53*'DF Calc (Mason Co.)'!I84</f>
        <v>4.1939982938368185</v>
      </c>
      <c r="K84" s="207">
        <f>J84/References!$G$56</f>
        <v>4.2764264129463596</v>
      </c>
      <c r="L84" s="207">
        <f t="shared" si="36"/>
        <v>0.35636886774552995</v>
      </c>
      <c r="M84" s="226">
        <f>'Prop. Rates'!B104</f>
        <v>34.619999999999997</v>
      </c>
      <c r="N84" s="207">
        <f t="shared" si="32"/>
        <v>34.976368867745528</v>
      </c>
      <c r="O84" s="159">
        <f>'Prop. Rates'!D104</f>
        <v>34.979999999999997</v>
      </c>
      <c r="P84" s="160"/>
    </row>
    <row r="85" spans="1:18">
      <c r="A85" s="253"/>
      <c r="B85" s="23"/>
      <c r="C85" s="91"/>
      <c r="D85" s="219"/>
      <c r="E85" s="228"/>
      <c r="F85" s="222"/>
      <c r="G85" s="221"/>
      <c r="H85" s="222"/>
      <c r="I85" s="222"/>
      <c r="J85" s="223"/>
      <c r="K85" s="223"/>
      <c r="L85" s="223"/>
      <c r="M85" s="229"/>
      <c r="N85" s="223"/>
      <c r="O85" s="224"/>
      <c r="R85" s="92"/>
    </row>
    <row r="86" spans="1:18">
      <c r="A86" s="69"/>
      <c r="B86" s="202"/>
      <c r="C86" s="69"/>
      <c r="D86" s="93"/>
      <c r="E86" s="215"/>
      <c r="F86" s="205"/>
      <c r="G86" s="205"/>
      <c r="H86" s="205"/>
      <c r="I86" s="206"/>
      <c r="J86" s="207"/>
      <c r="K86" s="207"/>
      <c r="L86" s="207"/>
      <c r="M86" s="213"/>
      <c r="N86" s="207"/>
      <c r="O86" s="213"/>
    </row>
    <row r="87" spans="1:18" ht="15.75" thickBot="1">
      <c r="A87" s="94"/>
      <c r="C87" s="95"/>
    </row>
    <row r="88" spans="1:18">
      <c r="A88" s="94"/>
      <c r="B88" s="256" t="s">
        <v>207</v>
      </c>
      <c r="C88" s="256"/>
      <c r="D88" s="80"/>
      <c r="E88" s="69"/>
      <c r="F88" s="69"/>
      <c r="H88" s="97" t="s">
        <v>208</v>
      </c>
    </row>
    <row r="89" spans="1:18">
      <c r="A89" s="94"/>
      <c r="B89" s="80"/>
      <c r="C89" s="98" t="s">
        <v>36</v>
      </c>
      <c r="D89" s="80"/>
      <c r="E89" s="99"/>
      <c r="F89" s="99"/>
      <c r="H89" s="100" t="s">
        <v>209</v>
      </c>
      <c r="J89" s="101"/>
      <c r="P89" s="88"/>
      <c r="Q89" s="101"/>
    </row>
    <row r="90" spans="1:18" ht="15.75" thickBot="1">
      <c r="A90" s="94"/>
      <c r="B90" s="80" t="s">
        <v>210</v>
      </c>
      <c r="C90" s="230">
        <f>References!B59</f>
        <v>7794</v>
      </c>
      <c r="D90" s="80"/>
      <c r="E90" s="203"/>
      <c r="F90" s="203"/>
      <c r="G90" s="102"/>
      <c r="H90" s="231" t="s">
        <v>211</v>
      </c>
      <c r="I90" s="205"/>
      <c r="J90" s="101"/>
      <c r="P90" s="88"/>
      <c r="Q90" s="226"/>
    </row>
    <row r="91" spans="1:18">
      <c r="A91" s="94"/>
      <c r="B91" s="80" t="s">
        <v>212</v>
      </c>
      <c r="C91" s="232">
        <f>C90*2000</f>
        <v>15588000</v>
      </c>
      <c r="D91" s="80"/>
      <c r="E91" s="232"/>
      <c r="F91" s="232"/>
      <c r="G91" s="232"/>
      <c r="H91" s="103"/>
      <c r="J91" s="101"/>
      <c r="Q91" s="226"/>
    </row>
    <row r="92" spans="1:18">
      <c r="A92" s="94"/>
      <c r="B92" s="80" t="s">
        <v>213</v>
      </c>
      <c r="C92" s="232">
        <f>F52</f>
        <v>355112</v>
      </c>
      <c r="D92" s="80"/>
      <c r="E92" s="203"/>
      <c r="F92" s="203"/>
      <c r="G92" s="203"/>
      <c r="I92" s="205"/>
      <c r="J92" s="101"/>
      <c r="P92" s="88"/>
      <c r="Q92" s="226"/>
    </row>
    <row r="93" spans="1:18">
      <c r="B93" s="45" t="s">
        <v>214</v>
      </c>
      <c r="C93" s="233">
        <f>C91/$H$52</f>
        <v>0.77301313358636936</v>
      </c>
      <c r="D93" s="80"/>
      <c r="E93" s="233"/>
      <c r="F93" s="233"/>
      <c r="G93" s="233"/>
      <c r="H93" s="148"/>
      <c r="J93" s="101"/>
      <c r="M93" s="104"/>
      <c r="N93" s="104"/>
      <c r="O93" s="104"/>
      <c r="P93" s="105"/>
      <c r="Q93" s="105"/>
    </row>
    <row r="94" spans="1:18">
      <c r="E94" s="101"/>
      <c r="G94" s="106"/>
      <c r="H94" s="234"/>
      <c r="J94" s="101"/>
      <c r="M94" s="92"/>
      <c r="N94" s="235"/>
      <c r="O94" s="235"/>
      <c r="P94" s="96"/>
      <c r="Q94" s="148"/>
    </row>
    <row r="95" spans="1:18">
      <c r="D95" s="236"/>
      <c r="E95" s="237"/>
      <c r="G95" s="106"/>
      <c r="H95" s="234"/>
      <c r="J95" s="101"/>
      <c r="M95" s="92"/>
      <c r="N95" s="235"/>
      <c r="O95" s="235"/>
      <c r="P95" s="96"/>
      <c r="Q95" s="148"/>
    </row>
    <row r="96" spans="1:18">
      <c r="B96" s="252"/>
      <c r="C96" s="252"/>
      <c r="D96" s="252"/>
      <c r="E96" s="237"/>
      <c r="G96" s="106"/>
      <c r="H96" s="234"/>
      <c r="J96" s="101"/>
      <c r="M96" s="92"/>
      <c r="N96" s="235"/>
      <c r="O96" s="235"/>
      <c r="P96" s="96"/>
      <c r="Q96" s="148"/>
    </row>
    <row r="97" spans="2:9">
      <c r="B97" s="69"/>
      <c r="C97" s="109"/>
      <c r="D97" s="69"/>
      <c r="I97" s="80"/>
    </row>
    <row r="98" spans="2:9">
      <c r="B98" s="69"/>
      <c r="C98" s="107"/>
      <c r="D98" s="108"/>
      <c r="E98" s="101"/>
      <c r="I98" s="80"/>
    </row>
    <row r="99" spans="2:9">
      <c r="B99" s="110"/>
      <c r="C99" s="107"/>
      <c r="D99" s="108"/>
      <c r="I99" s="80"/>
    </row>
    <row r="100" spans="2:9">
      <c r="B100" s="110"/>
      <c r="C100" s="107"/>
      <c r="D100" s="108"/>
      <c r="I100" s="80"/>
    </row>
    <row r="101" spans="2:9">
      <c r="D101" s="80"/>
    </row>
  </sheetData>
  <mergeCells count="6">
    <mergeCell ref="B96:D96"/>
    <mergeCell ref="A6:A41"/>
    <mergeCell ref="A43:A50"/>
    <mergeCell ref="A56:A65"/>
    <mergeCell ref="A66:A85"/>
    <mergeCell ref="B88:C88"/>
  </mergeCells>
  <pageMargins left="0.7" right="0.7" top="0.75" bottom="0.75" header="0.3" footer="0.3"/>
  <pageSetup scale="45" fitToHeight="0" orientation="landscape" r:id="rId1"/>
  <headerFooter>
    <oddFooter xml:space="preserve">&amp;L&amp;F - &amp;A
&amp;R&amp;P of &amp;N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105"/>
  <sheetViews>
    <sheetView tabSelected="1" view="pageBreakPreview" zoomScale="60" zoomScaleNormal="90" workbookViewId="0">
      <selection activeCell="C74" sqref="C74"/>
    </sheetView>
  </sheetViews>
  <sheetFormatPr defaultRowHeight="15"/>
  <cols>
    <col min="1" max="1" width="29.140625" customWidth="1"/>
    <col min="2" max="2" width="11.140625" customWidth="1"/>
    <col min="3" max="3" width="10.7109375" customWidth="1"/>
    <col min="4" max="4" width="10.28515625" bestFit="1" customWidth="1"/>
  </cols>
  <sheetData>
    <row r="1" spans="1:8" ht="20.25" customHeight="1">
      <c r="A1" s="193" t="s">
        <v>263</v>
      </c>
      <c r="B1" s="194"/>
      <c r="C1" s="195"/>
      <c r="D1" s="195"/>
    </row>
    <row r="2" spans="1:8" ht="18" customHeight="1">
      <c r="A2" s="27"/>
      <c r="B2" s="194"/>
      <c r="C2" s="195"/>
      <c r="D2" s="195" t="s">
        <v>244</v>
      </c>
    </row>
    <row r="3" spans="1:8" ht="15" customHeight="1">
      <c r="B3" s="194" t="s">
        <v>243</v>
      </c>
      <c r="C3" s="195"/>
      <c r="D3" s="196" t="s">
        <v>246</v>
      </c>
    </row>
    <row r="4" spans="1:8" ht="21">
      <c r="A4" s="119" t="s">
        <v>225</v>
      </c>
      <c r="B4" s="196" t="s">
        <v>247</v>
      </c>
      <c r="C4" s="195" t="s">
        <v>244</v>
      </c>
      <c r="D4" s="196" t="s">
        <v>249</v>
      </c>
    </row>
    <row r="5" spans="1:8" ht="15.75">
      <c r="A5" s="27"/>
      <c r="B5" s="196" t="s">
        <v>248</v>
      </c>
      <c r="C5" s="195" t="s">
        <v>245</v>
      </c>
      <c r="D5" s="196" t="s">
        <v>262</v>
      </c>
      <c r="E5" s="112"/>
    </row>
    <row r="6" spans="1:8">
      <c r="A6" s="27" t="s">
        <v>112</v>
      </c>
      <c r="B6" t="s">
        <v>1</v>
      </c>
      <c r="D6" t="s">
        <v>1</v>
      </c>
    </row>
    <row r="7" spans="1:8">
      <c r="A7" s="127" t="s">
        <v>173</v>
      </c>
      <c r="B7" s="128"/>
      <c r="C7" s="128"/>
      <c r="D7" s="128"/>
      <c r="E7" s="127" t="s">
        <v>166</v>
      </c>
    </row>
    <row r="8" spans="1:8">
      <c r="A8" t="s">
        <v>113</v>
      </c>
      <c r="B8" s="113">
        <v>4.42</v>
      </c>
      <c r="C8" s="25">
        <f>+ROUND('DF Calc (Mason Co.)'!L56,2)</f>
        <v>0.04</v>
      </c>
      <c r="D8" s="113">
        <f>+ROUND(B8+C8,2)</f>
        <v>4.46</v>
      </c>
      <c r="F8" s="113"/>
      <c r="G8" s="113"/>
      <c r="H8" s="112"/>
    </row>
    <row r="9" spans="1:8">
      <c r="B9" s="113"/>
      <c r="C9" s="25"/>
      <c r="D9" s="113"/>
      <c r="F9" s="113"/>
      <c r="G9" s="113"/>
      <c r="H9" s="112"/>
    </row>
    <row r="10" spans="1:8">
      <c r="A10" s="127" t="s">
        <v>114</v>
      </c>
      <c r="B10" s="129"/>
      <c r="C10" s="130"/>
      <c r="D10" s="129"/>
      <c r="E10" s="127" t="s">
        <v>166</v>
      </c>
      <c r="F10" s="113"/>
      <c r="G10" s="113"/>
    </row>
    <row r="11" spans="1:8">
      <c r="A11" t="s">
        <v>115</v>
      </c>
      <c r="B11" s="113">
        <v>15.61</v>
      </c>
      <c r="C11" s="25">
        <f>+ROUND('DF Calc (Mason Co.)'!L7,2)</f>
        <v>0.16</v>
      </c>
      <c r="D11" s="113">
        <f t="shared" ref="D11:D21" si="0">+ROUND(B11+C11,2)</f>
        <v>15.77</v>
      </c>
      <c r="F11" s="113"/>
      <c r="G11" s="113"/>
    </row>
    <row r="12" spans="1:8">
      <c r="A12" t="s">
        <v>116</v>
      </c>
      <c r="B12" s="113">
        <v>23.33</v>
      </c>
      <c r="C12" s="25">
        <f>+ROUND('DF Calc (Mason Co.)'!L8,2)</f>
        <v>0.24</v>
      </c>
      <c r="D12" s="113">
        <f t="shared" si="0"/>
        <v>23.57</v>
      </c>
      <c r="E12" s="27"/>
      <c r="F12" s="113"/>
      <c r="G12" s="113"/>
    </row>
    <row r="13" spans="1:8">
      <c r="A13" t="s">
        <v>117</v>
      </c>
      <c r="B13" s="113">
        <v>31.47</v>
      </c>
      <c r="C13" s="25">
        <f>+ROUND('DF Calc (Mason Co.)'!L9,2)</f>
        <v>0.36</v>
      </c>
      <c r="D13" s="113">
        <f t="shared" si="0"/>
        <v>31.83</v>
      </c>
      <c r="E13" s="27"/>
      <c r="F13" s="113"/>
      <c r="G13" s="113"/>
    </row>
    <row r="14" spans="1:8">
      <c r="A14" t="s">
        <v>118</v>
      </c>
      <c r="B14" s="120">
        <v>40.36</v>
      </c>
      <c r="C14" s="25">
        <f>+ROUND('DF Calc (Mason Co.)'!L10,2)</f>
        <v>0.45</v>
      </c>
      <c r="D14" s="113">
        <f t="shared" si="0"/>
        <v>40.81</v>
      </c>
      <c r="E14" s="27"/>
      <c r="F14" s="113"/>
      <c r="G14" s="113"/>
    </row>
    <row r="15" spans="1:8">
      <c r="A15" t="s">
        <v>119</v>
      </c>
      <c r="B15" s="120">
        <v>48.28</v>
      </c>
      <c r="C15" s="25">
        <f>+ROUND('DF Calc (Mason Co.)'!L11,2)</f>
        <v>0.54</v>
      </c>
      <c r="D15" s="113">
        <f t="shared" si="0"/>
        <v>48.82</v>
      </c>
      <c r="E15" s="27"/>
      <c r="F15" s="113"/>
      <c r="G15" s="113"/>
    </row>
    <row r="16" spans="1:8">
      <c r="A16" t="s">
        <v>120</v>
      </c>
      <c r="B16" s="120">
        <v>56.07</v>
      </c>
      <c r="C16" s="25">
        <f>+ROUND('DF Calc (Mason Co.)'!L12,2)</f>
        <v>0.73</v>
      </c>
      <c r="D16" s="113">
        <f t="shared" si="0"/>
        <v>56.8</v>
      </c>
      <c r="E16" s="27"/>
      <c r="F16" s="113"/>
      <c r="G16" s="113"/>
    </row>
    <row r="17" spans="1:7">
      <c r="A17" t="s">
        <v>121</v>
      </c>
      <c r="B17" s="113">
        <v>20.99</v>
      </c>
      <c r="C17" s="25">
        <f>+ROUND('DF Calc (Mason Co.)'!L13,2)</f>
        <v>0.22</v>
      </c>
      <c r="D17" s="113">
        <f t="shared" si="0"/>
        <v>21.21</v>
      </c>
      <c r="E17" s="27"/>
      <c r="F17" s="113"/>
      <c r="G17" s="113"/>
    </row>
    <row r="18" spans="1:7">
      <c r="A18" t="s">
        <v>122</v>
      </c>
      <c r="B18" s="113">
        <v>8.94</v>
      </c>
      <c r="C18" s="25">
        <f>+ROUND('DF Calc (Mason Co.)'!L21,2)</f>
        <v>0.08</v>
      </c>
      <c r="D18" s="113">
        <f t="shared" si="0"/>
        <v>9.02</v>
      </c>
      <c r="E18" s="27"/>
      <c r="F18" s="113"/>
      <c r="G18" s="113"/>
    </row>
    <row r="19" spans="1:7">
      <c r="A19" t="s">
        <v>123</v>
      </c>
      <c r="B19" s="113">
        <v>14.36</v>
      </c>
      <c r="C19" s="25">
        <f>+ROUND('DF Calc (Mason Co.)'!L22,2)</f>
        <v>0.12</v>
      </c>
      <c r="D19" s="113">
        <f t="shared" si="0"/>
        <v>14.48</v>
      </c>
      <c r="E19" s="27"/>
      <c r="F19" s="113"/>
      <c r="G19" s="113"/>
    </row>
    <row r="20" spans="1:7">
      <c r="A20" t="s">
        <v>124</v>
      </c>
      <c r="B20" s="113">
        <v>4.9400000000000004</v>
      </c>
      <c r="C20" s="25">
        <f>+ROUND('DF Calc (Mason Co.)'!L28,2)</f>
        <v>0.04</v>
      </c>
      <c r="D20" s="113">
        <f t="shared" si="0"/>
        <v>4.9800000000000004</v>
      </c>
      <c r="E20" s="27"/>
      <c r="F20" s="113"/>
      <c r="G20" s="113"/>
    </row>
    <row r="21" spans="1:7">
      <c r="A21" t="s">
        <v>125</v>
      </c>
      <c r="B21" s="113">
        <v>13.16</v>
      </c>
      <c r="C21" s="25">
        <f>+ROUND('DF Calc (Mason Co.)'!L6,2)</f>
        <v>0.09</v>
      </c>
      <c r="D21" s="113">
        <f t="shared" si="0"/>
        <v>13.25</v>
      </c>
      <c r="E21" s="27"/>
      <c r="F21" s="113"/>
      <c r="G21" s="113"/>
    </row>
    <row r="22" spans="1:7">
      <c r="A22" t="s">
        <v>1</v>
      </c>
      <c r="B22" s="113"/>
      <c r="C22" s="25"/>
      <c r="D22" s="113"/>
      <c r="E22" s="27"/>
      <c r="F22" s="113"/>
      <c r="G22" s="113"/>
    </row>
    <row r="23" spans="1:7">
      <c r="A23" s="27" t="s">
        <v>126</v>
      </c>
      <c r="B23" s="113"/>
      <c r="C23" s="25"/>
      <c r="D23" s="113"/>
      <c r="E23" s="27"/>
      <c r="F23" s="113"/>
      <c r="G23" s="113"/>
    </row>
    <row r="24" spans="1:7">
      <c r="A24" t="s">
        <v>127</v>
      </c>
      <c r="B24" s="113">
        <v>17.920000000000002</v>
      </c>
      <c r="C24" s="201">
        <f>+ROUND('DF Calc (Mason Co.)'!L16,2)</f>
        <v>0.17</v>
      </c>
      <c r="D24" s="113">
        <f t="shared" ref="D24:D35" si="1">+ROUND(B24+C24,2)</f>
        <v>18.09</v>
      </c>
      <c r="E24" s="27"/>
      <c r="F24" s="113"/>
      <c r="G24" s="113"/>
    </row>
    <row r="25" spans="1:7">
      <c r="A25" t="s">
        <v>128</v>
      </c>
      <c r="B25" s="113">
        <v>22.75</v>
      </c>
      <c r="C25" s="25">
        <f>+ROUND('DF Calc (Mason Co.)'!L17,2)</f>
        <v>0.22</v>
      </c>
      <c r="D25" s="113">
        <f t="shared" si="1"/>
        <v>22.97</v>
      </c>
      <c r="E25" s="27"/>
      <c r="F25" s="113"/>
      <c r="G25" s="113"/>
    </row>
    <row r="26" spans="1:7">
      <c r="A26" t="s">
        <v>129</v>
      </c>
      <c r="B26" s="113">
        <v>27.85</v>
      </c>
      <c r="C26" s="25">
        <f>+ROUND('DF Calc (Mason Co.)'!L18,2)</f>
        <v>0.24</v>
      </c>
      <c r="D26" s="113">
        <f t="shared" si="1"/>
        <v>28.09</v>
      </c>
      <c r="E26" s="27"/>
      <c r="F26" s="113"/>
      <c r="G26" s="113"/>
    </row>
    <row r="27" spans="1:7">
      <c r="A27" t="s">
        <v>130</v>
      </c>
      <c r="B27" s="113">
        <v>34.619999999999997</v>
      </c>
      <c r="C27" s="25">
        <f>+ROUND('DF Calc (Mason Co.)'!L19,2)</f>
        <v>0.36</v>
      </c>
      <c r="D27" s="113">
        <f t="shared" si="1"/>
        <v>34.979999999999997</v>
      </c>
      <c r="E27" s="27"/>
      <c r="F27" s="113"/>
      <c r="G27" s="113"/>
    </row>
    <row r="28" spans="1:7">
      <c r="A28" t="s">
        <v>131</v>
      </c>
      <c r="B28" s="113">
        <v>10.67</v>
      </c>
      <c r="C28" s="25">
        <f>+ROUND('DF Calc (Mason Co.)'!L23,2)</f>
        <v>0.09</v>
      </c>
      <c r="D28" s="113">
        <f t="shared" si="1"/>
        <v>10.76</v>
      </c>
      <c r="E28" s="27"/>
      <c r="F28" s="113"/>
      <c r="G28" s="113"/>
    </row>
    <row r="29" spans="1:7">
      <c r="A29" t="s">
        <v>132</v>
      </c>
      <c r="B29" s="113">
        <v>14.12</v>
      </c>
      <c r="C29" s="25">
        <f>+ROUND('DF Calc (Mason Co.)'!L24,2)</f>
        <v>0.11</v>
      </c>
      <c r="D29" s="113">
        <f t="shared" si="1"/>
        <v>14.23</v>
      </c>
      <c r="E29" s="27"/>
      <c r="F29" s="113"/>
      <c r="G29" s="113"/>
    </row>
    <row r="30" spans="1:7">
      <c r="A30" t="s">
        <v>133</v>
      </c>
      <c r="B30" s="113">
        <v>16.87</v>
      </c>
      <c r="C30" s="25">
        <f>+ROUND('DF Calc (Mason Co.)'!L25,2)</f>
        <v>0.12</v>
      </c>
      <c r="D30" s="113">
        <f t="shared" si="1"/>
        <v>16.989999999999998</v>
      </c>
      <c r="E30" s="27"/>
      <c r="F30" s="113"/>
      <c r="G30" s="113"/>
    </row>
    <row r="31" spans="1:7">
      <c r="A31" t="s">
        <v>134</v>
      </c>
      <c r="B31" s="113">
        <v>21.08</v>
      </c>
      <c r="C31" s="25">
        <f>+ROUND('DF Calc (Mason Co.)'!L26,2)</f>
        <v>0.18</v>
      </c>
      <c r="D31" s="113">
        <f t="shared" si="1"/>
        <v>21.26</v>
      </c>
      <c r="E31" s="27"/>
      <c r="F31" s="113"/>
      <c r="G31" s="113"/>
    </row>
    <row r="32" spans="1:7">
      <c r="A32" t="s">
        <v>135</v>
      </c>
      <c r="B32" s="113">
        <v>6.36</v>
      </c>
      <c r="C32" s="25">
        <f>+ROUND('DF Calc (Mason Co.)'!L35,2)</f>
        <v>0.04</v>
      </c>
      <c r="D32" s="113">
        <f t="shared" si="1"/>
        <v>6.4</v>
      </c>
      <c r="E32" s="27"/>
      <c r="F32" s="113"/>
      <c r="G32" s="113"/>
    </row>
    <row r="33" spans="1:7">
      <c r="A33" t="s">
        <v>136</v>
      </c>
      <c r="B33" s="113">
        <v>7.97</v>
      </c>
      <c r="C33" s="25">
        <f>+ROUND('DF Calc (Mason Co.)'!L36,2)</f>
        <v>0.05</v>
      </c>
      <c r="D33" s="113">
        <f t="shared" si="1"/>
        <v>8.02</v>
      </c>
      <c r="E33" s="27"/>
      <c r="F33" s="113"/>
      <c r="G33" s="113"/>
    </row>
    <row r="34" spans="1:7">
      <c r="A34" t="s">
        <v>137</v>
      </c>
      <c r="B34" s="113">
        <v>9.42</v>
      </c>
      <c r="C34" s="25">
        <f>+ROUND('DF Calc (Mason Co.)'!L37,2)</f>
        <v>0.05</v>
      </c>
      <c r="D34" s="113">
        <f t="shared" si="1"/>
        <v>9.4700000000000006</v>
      </c>
      <c r="E34" s="27"/>
      <c r="F34" s="113"/>
      <c r="G34" s="113"/>
    </row>
    <row r="35" spans="1:7">
      <c r="A35" t="s">
        <v>138</v>
      </c>
      <c r="B35" s="113">
        <v>11.59</v>
      </c>
      <c r="C35" s="25">
        <f>+ROUND('DF Calc (Mason Co.)'!L38,2)</f>
        <v>0.08</v>
      </c>
      <c r="D35" s="113">
        <f t="shared" si="1"/>
        <v>11.67</v>
      </c>
      <c r="E35" s="27"/>
      <c r="F35" s="113"/>
      <c r="G35" s="113"/>
    </row>
    <row r="36" spans="1:7">
      <c r="B36" s="113"/>
      <c r="C36" s="25"/>
      <c r="D36" s="113"/>
      <c r="E36" s="27"/>
      <c r="F36" s="113"/>
      <c r="G36" s="113"/>
    </row>
    <row r="37" spans="1:7">
      <c r="A37" s="127" t="s">
        <v>139</v>
      </c>
      <c r="B37" s="129"/>
      <c r="C37" s="130"/>
      <c r="D37" s="129"/>
      <c r="E37" s="127" t="s">
        <v>166</v>
      </c>
      <c r="F37" s="113"/>
      <c r="G37" s="113"/>
    </row>
    <row r="38" spans="1:7">
      <c r="A38" t="s">
        <v>140</v>
      </c>
      <c r="B38" s="113">
        <v>4.42</v>
      </c>
      <c r="C38" s="25">
        <f>+ROUND('DF Calc (Mason Co.)'!L39,2)</f>
        <v>0.04</v>
      </c>
      <c r="D38" s="113">
        <f>+ROUND(B38+C38,2)</f>
        <v>4.46</v>
      </c>
      <c r="E38" s="27"/>
      <c r="F38" s="113"/>
      <c r="G38" s="113"/>
    </row>
    <row r="39" spans="1:7">
      <c r="A39" t="s">
        <v>141</v>
      </c>
      <c r="B39" s="113">
        <v>4.9400000000000004</v>
      </c>
      <c r="C39" s="25">
        <f>+ROUND('DF Calc (Mason Co.)'!L28,2)</f>
        <v>0.04</v>
      </c>
      <c r="D39" s="113">
        <f>+ROUND(B39+C39,2)</f>
        <v>4.9800000000000004</v>
      </c>
      <c r="E39" s="27"/>
      <c r="F39" s="113"/>
      <c r="G39" s="113"/>
    </row>
    <row r="40" spans="1:7">
      <c r="B40" s="113"/>
      <c r="C40" s="25"/>
      <c r="D40" s="113"/>
      <c r="E40" s="27"/>
      <c r="F40" s="113"/>
      <c r="G40" s="113"/>
    </row>
    <row r="41" spans="1:7">
      <c r="A41" t="s">
        <v>142</v>
      </c>
      <c r="B41" s="120">
        <v>6.36</v>
      </c>
      <c r="C41" s="25">
        <f>+ROUND('DF Calc (Mason Co.)'!L35,2)</f>
        <v>0.04</v>
      </c>
      <c r="D41" s="113">
        <f>+ROUND(B41+C41,2)</f>
        <v>6.4</v>
      </c>
      <c r="E41" s="27"/>
      <c r="F41" s="113"/>
      <c r="G41" s="113"/>
    </row>
    <row r="42" spans="1:7">
      <c r="A42" t="s">
        <v>143</v>
      </c>
      <c r="B42" s="113">
        <v>7.97</v>
      </c>
      <c r="C42" s="25">
        <f>+ROUND('DF Calc (Mason Co.)'!L36,2)</f>
        <v>0.05</v>
      </c>
      <c r="D42" s="113">
        <f>+ROUND(B42+C42,2)</f>
        <v>8.02</v>
      </c>
      <c r="E42" s="27"/>
      <c r="F42" s="113"/>
      <c r="G42" s="113"/>
    </row>
    <row r="43" spans="1:7">
      <c r="A43" t="s">
        <v>144</v>
      </c>
      <c r="B43" s="113">
        <v>9.42</v>
      </c>
      <c r="C43" s="25">
        <f>+ROUND('DF Calc (Mason Co.)'!L37,2)</f>
        <v>0.05</v>
      </c>
      <c r="D43" s="113">
        <f>+ROUND(B43+C43,2)</f>
        <v>9.4700000000000006</v>
      </c>
      <c r="E43" s="27"/>
      <c r="F43" s="113"/>
      <c r="G43" s="113"/>
    </row>
    <row r="44" spans="1:7">
      <c r="A44" t="s">
        <v>145</v>
      </c>
      <c r="B44" s="113">
        <v>11.59</v>
      </c>
      <c r="C44" s="25">
        <f>+ROUND('DF Calc (Mason Co.)'!L38,2)</f>
        <v>0.08</v>
      </c>
      <c r="D44" s="113">
        <f>+ROUND(B44+C44,2)</f>
        <v>11.67</v>
      </c>
      <c r="E44" s="27"/>
      <c r="F44" s="113"/>
      <c r="G44" s="113"/>
    </row>
    <row r="45" spans="1:7">
      <c r="B45" s="113"/>
      <c r="C45" s="25"/>
      <c r="D45" s="113"/>
      <c r="E45" s="27"/>
      <c r="F45" s="113"/>
      <c r="G45" s="113"/>
    </row>
    <row r="46" spans="1:7">
      <c r="A46" s="127" t="s">
        <v>146</v>
      </c>
      <c r="B46" s="129"/>
      <c r="C46" s="130"/>
      <c r="D46" s="129"/>
      <c r="E46" s="127" t="s">
        <v>166</v>
      </c>
      <c r="F46" s="113"/>
      <c r="G46" s="113"/>
    </row>
    <row r="47" spans="1:7">
      <c r="A47" t="s">
        <v>147</v>
      </c>
      <c r="B47" s="113">
        <v>14.54</v>
      </c>
      <c r="C47" s="25">
        <f>+ROUND('DF Calc (Mason Co.)'!L57,2)</f>
        <v>0.05</v>
      </c>
      <c r="D47" s="113">
        <f>+ROUND(B47+C47,2)</f>
        <v>14.59</v>
      </c>
      <c r="E47" s="27"/>
      <c r="F47" s="113"/>
      <c r="G47" s="113"/>
    </row>
    <row r="48" spans="1:7">
      <c r="A48" t="s">
        <v>148</v>
      </c>
      <c r="B48" s="113">
        <v>19.7</v>
      </c>
      <c r="C48" s="25">
        <f>+ROUND(C47,2)</f>
        <v>0.05</v>
      </c>
      <c r="D48" s="113">
        <f>+ROUND(B48+C48,2)</f>
        <v>19.75</v>
      </c>
      <c r="E48" s="27"/>
      <c r="F48" s="113"/>
      <c r="G48" s="113"/>
    </row>
    <row r="49" spans="1:7">
      <c r="B49" s="113"/>
      <c r="C49" s="25"/>
      <c r="D49" s="113"/>
      <c r="E49" s="27"/>
      <c r="F49" s="113"/>
      <c r="G49" s="113"/>
    </row>
    <row r="50" spans="1:7">
      <c r="A50" s="127" t="s">
        <v>149</v>
      </c>
      <c r="B50" s="129"/>
      <c r="C50" s="130"/>
      <c r="D50" s="129"/>
      <c r="E50" s="127" t="s">
        <v>166</v>
      </c>
      <c r="F50" s="113"/>
      <c r="G50" s="113"/>
    </row>
    <row r="51" spans="1:7">
      <c r="A51" t="s">
        <v>150</v>
      </c>
      <c r="B51" s="113">
        <v>4.83</v>
      </c>
      <c r="C51" s="25">
        <f>+ROUND('DF Calc (Mason Co.)'!L59,2)</f>
        <v>0.05</v>
      </c>
      <c r="D51" s="113">
        <f>+ROUND(B51+C51,2)</f>
        <v>4.88</v>
      </c>
      <c r="E51" s="27"/>
      <c r="F51" s="113"/>
      <c r="G51" s="113"/>
    </row>
    <row r="52" spans="1:7">
      <c r="A52" t="s">
        <v>217</v>
      </c>
      <c r="B52" s="113">
        <v>20.61</v>
      </c>
      <c r="C52" s="25">
        <f>+ROUND('DF Calc (Mason Co.)'!L60,2)</f>
        <v>0.24</v>
      </c>
      <c r="D52" s="113">
        <f>+ROUND(B52+C52,2)</f>
        <v>20.85</v>
      </c>
      <c r="E52" s="27"/>
      <c r="F52" s="113"/>
      <c r="G52" s="113"/>
    </row>
    <row r="53" spans="1:7">
      <c r="B53" s="113"/>
      <c r="C53" s="25"/>
      <c r="D53" s="113"/>
      <c r="E53" s="27"/>
      <c r="F53" s="113"/>
      <c r="G53" s="113"/>
    </row>
    <row r="54" spans="1:7">
      <c r="A54" s="127" t="s">
        <v>152</v>
      </c>
      <c r="B54" s="129"/>
      <c r="C54" s="130"/>
      <c r="D54" s="129"/>
      <c r="E54" s="127" t="s">
        <v>166</v>
      </c>
      <c r="F54" s="113"/>
      <c r="G54" s="113"/>
    </row>
    <row r="55" spans="1:7">
      <c r="A55" s="123" t="s">
        <v>153</v>
      </c>
      <c r="B55" s="120">
        <v>27.48</v>
      </c>
      <c r="C55" s="124">
        <f>+ROUND('DF Calc (Mason Co.)'!L61,2)</f>
        <v>0.13</v>
      </c>
      <c r="D55" s="113">
        <f>+ROUND(B55+C55,2)</f>
        <v>27.61</v>
      </c>
      <c r="E55" s="27"/>
      <c r="F55" s="113"/>
      <c r="G55" s="113"/>
    </row>
    <row r="56" spans="1:7">
      <c r="A56" s="123" t="s">
        <v>154</v>
      </c>
      <c r="B56" s="120">
        <v>27.48</v>
      </c>
      <c r="C56" s="124">
        <f>+ROUND('DF Calc (Mason Co.)'!L62,2)</f>
        <v>0.13</v>
      </c>
      <c r="D56" s="113">
        <f>+ROUND(B56+C56,2)</f>
        <v>27.61</v>
      </c>
      <c r="E56" s="27"/>
      <c r="F56" s="113"/>
      <c r="G56" s="113"/>
    </row>
    <row r="57" spans="1:7">
      <c r="A57" s="123" t="s">
        <v>257</v>
      </c>
      <c r="B57" s="120">
        <v>27.48</v>
      </c>
      <c r="C57" s="124">
        <f>+ROUND('DF Calc (Mason Co.)'!L63,2)</f>
        <v>0.13</v>
      </c>
      <c r="D57" s="113">
        <f>+ROUND(B57+C57,2)</f>
        <v>27.61</v>
      </c>
      <c r="E57" s="27"/>
      <c r="F57" s="113"/>
      <c r="G57" s="113"/>
    </row>
    <row r="58" spans="1:7">
      <c r="A58" s="123" t="s">
        <v>258</v>
      </c>
      <c r="B58" s="120">
        <v>31.22</v>
      </c>
      <c r="C58" s="124">
        <f>+ROUND('DF Calc (Mason Co.)'!L64,2)</f>
        <v>0.13</v>
      </c>
      <c r="D58" s="113">
        <f>+ROUND(B58+C58,2)</f>
        <v>31.35</v>
      </c>
      <c r="E58" s="27"/>
      <c r="F58" s="113"/>
      <c r="G58" s="113"/>
    </row>
    <row r="59" spans="1:7">
      <c r="B59" s="113"/>
      <c r="C59" s="25"/>
      <c r="D59" s="113"/>
      <c r="E59" s="27"/>
      <c r="F59" s="113"/>
      <c r="G59" s="113"/>
    </row>
    <row r="60" spans="1:7">
      <c r="A60" s="127" t="s">
        <v>157</v>
      </c>
      <c r="B60" s="129"/>
      <c r="C60" s="130"/>
      <c r="D60" s="129"/>
      <c r="E60" s="127" t="s">
        <v>166</v>
      </c>
      <c r="F60" s="113"/>
      <c r="G60" s="113"/>
    </row>
    <row r="61" spans="1:7">
      <c r="A61" t="s">
        <v>158</v>
      </c>
      <c r="B61" s="113">
        <v>15.68</v>
      </c>
      <c r="C61" s="25">
        <f>+ROUND('DF Calc (Mason Co.)'!L76,2)</f>
        <v>0.13</v>
      </c>
      <c r="D61" s="113">
        <f>+ROUND(B61+C61,2)</f>
        <v>15.81</v>
      </c>
      <c r="E61" s="27"/>
      <c r="F61" s="113"/>
      <c r="G61" s="113"/>
    </row>
    <row r="62" spans="1:7">
      <c r="A62" t="s">
        <v>159</v>
      </c>
      <c r="B62" s="113">
        <v>15.68</v>
      </c>
      <c r="C62" s="25">
        <f>+ROUND(C61,2)</f>
        <v>0.13</v>
      </c>
      <c r="D62" s="113">
        <f>+ROUND(B62+C62,2)</f>
        <v>15.81</v>
      </c>
      <c r="E62" s="27"/>
      <c r="F62" s="113"/>
      <c r="G62" s="113"/>
    </row>
    <row r="63" spans="1:7">
      <c r="B63" s="113"/>
      <c r="C63" s="25"/>
      <c r="D63" s="113"/>
      <c r="E63" s="27"/>
      <c r="F63" s="113"/>
      <c r="G63" s="113"/>
    </row>
    <row r="64" spans="1:7">
      <c r="A64" s="127" t="s">
        <v>272</v>
      </c>
      <c r="B64" s="129"/>
      <c r="C64" s="130"/>
      <c r="D64" s="129"/>
      <c r="E64" s="127" t="s">
        <v>166</v>
      </c>
      <c r="F64" s="113"/>
      <c r="G64" s="113"/>
    </row>
    <row r="65" spans="1:7">
      <c r="A65" t="s">
        <v>264</v>
      </c>
      <c r="B65" s="113">
        <v>93.45</v>
      </c>
      <c r="C65" s="25">
        <f>References!$B$53</f>
        <v>2.7100499999999954</v>
      </c>
      <c r="D65" s="248">
        <f>+B65+C65</f>
        <v>96.160049999999998</v>
      </c>
      <c r="E65" s="27"/>
      <c r="F65" s="113"/>
      <c r="G65" s="113"/>
    </row>
    <row r="66" spans="1:7">
      <c r="A66" t="s">
        <v>265</v>
      </c>
      <c r="B66" s="113">
        <v>15.16</v>
      </c>
      <c r="C66" s="25">
        <f>+B66*References!$B$54</f>
        <v>0.43963999999999925</v>
      </c>
      <c r="D66" s="248">
        <f t="shared" ref="D66:D72" si="2">+B66+C66</f>
        <v>15.599639999999999</v>
      </c>
      <c r="E66" s="27"/>
      <c r="F66" s="113"/>
      <c r="G66" s="113"/>
    </row>
    <row r="67" spans="1:7">
      <c r="A67" t="s">
        <v>266</v>
      </c>
      <c r="B67" s="113">
        <v>93.45</v>
      </c>
      <c r="C67" s="25">
        <f>References!$B$53</f>
        <v>2.7100499999999954</v>
      </c>
      <c r="D67" s="248">
        <f t="shared" si="2"/>
        <v>96.160049999999998</v>
      </c>
      <c r="E67" s="27"/>
      <c r="F67" s="113"/>
      <c r="G67" s="113"/>
    </row>
    <row r="68" spans="1:7" ht="45">
      <c r="A68" s="246" t="s">
        <v>267</v>
      </c>
      <c r="B68" s="113">
        <v>5.07</v>
      </c>
      <c r="C68" s="25">
        <f>+B68*References!$B$54</f>
        <v>0.14702999999999974</v>
      </c>
      <c r="D68" s="248">
        <f t="shared" si="2"/>
        <v>5.2170300000000003</v>
      </c>
      <c r="E68" s="27"/>
      <c r="F68" s="113"/>
      <c r="G68" s="113"/>
    </row>
    <row r="69" spans="1:7">
      <c r="A69" t="s">
        <v>268</v>
      </c>
      <c r="B69" s="113">
        <v>10.09</v>
      </c>
      <c r="C69" s="25">
        <f>+B69*References!$B$54</f>
        <v>0.29260999999999948</v>
      </c>
      <c r="D69" s="248">
        <f t="shared" si="2"/>
        <v>10.38261</v>
      </c>
      <c r="E69" s="27"/>
      <c r="F69" s="113"/>
      <c r="G69" s="113"/>
    </row>
    <row r="70" spans="1:7">
      <c r="A70" t="s">
        <v>269</v>
      </c>
      <c r="B70" s="113">
        <v>3.02</v>
      </c>
      <c r="C70" s="25">
        <f>+B70*References!$B$54</f>
        <v>8.7579999999999852E-2</v>
      </c>
      <c r="D70" s="248">
        <f t="shared" si="2"/>
        <v>3.10758</v>
      </c>
      <c r="E70" s="27"/>
      <c r="F70" s="113"/>
      <c r="G70" s="113"/>
    </row>
    <row r="71" spans="1:7">
      <c r="A71" t="s">
        <v>270</v>
      </c>
      <c r="B71" s="113">
        <v>5.07</v>
      </c>
      <c r="C71" s="25">
        <f>+B71*References!$B$54</f>
        <v>0.14702999999999974</v>
      </c>
      <c r="D71" s="248">
        <f t="shared" si="2"/>
        <v>5.2170300000000003</v>
      </c>
      <c r="E71" s="27"/>
      <c r="F71" s="113"/>
      <c r="G71" s="113"/>
    </row>
    <row r="72" spans="1:7">
      <c r="A72" t="s">
        <v>271</v>
      </c>
      <c r="B72" s="113">
        <v>1.54</v>
      </c>
      <c r="C72" s="25">
        <f>+B72*References!$B$54</f>
        <v>4.4659999999999922E-2</v>
      </c>
      <c r="D72" s="248">
        <f t="shared" si="2"/>
        <v>1.58466</v>
      </c>
      <c r="E72" s="27"/>
      <c r="F72" s="113"/>
      <c r="G72" s="113"/>
    </row>
    <row r="73" spans="1:7">
      <c r="B73" s="113"/>
      <c r="C73" s="25"/>
      <c r="D73" s="113"/>
      <c r="E73" s="27"/>
      <c r="F73" s="113"/>
      <c r="G73" s="113"/>
    </row>
    <row r="74" spans="1:7" ht="21">
      <c r="A74" s="119" t="s">
        <v>218</v>
      </c>
      <c r="C74" s="25"/>
      <c r="E74" s="27"/>
      <c r="G74" s="113"/>
    </row>
    <row r="75" spans="1:7">
      <c r="A75" s="27"/>
      <c r="C75" s="25"/>
      <c r="E75" s="27"/>
      <c r="G75" s="113"/>
    </row>
    <row r="76" spans="1:7">
      <c r="A76" s="127" t="s">
        <v>160</v>
      </c>
      <c r="B76" s="128"/>
      <c r="C76" s="130"/>
      <c r="D76" s="128"/>
      <c r="E76" s="127" t="s">
        <v>166</v>
      </c>
      <c r="G76" s="113"/>
    </row>
    <row r="77" spans="1:7">
      <c r="A77" t="s">
        <v>259</v>
      </c>
      <c r="B77" s="113">
        <v>16.87</v>
      </c>
      <c r="C77" s="25">
        <f>+ROUND('DF Calc (Mason Co.)'!L44,2)</f>
        <v>0.19</v>
      </c>
      <c r="D77" s="113">
        <f>+ROUND(B77+C77,2)</f>
        <v>17.059999999999999</v>
      </c>
      <c r="E77" s="27"/>
      <c r="F77" s="113"/>
      <c r="G77" s="113"/>
    </row>
    <row r="78" spans="1:7">
      <c r="A78" t="s">
        <v>260</v>
      </c>
      <c r="B78" s="113">
        <v>18.57</v>
      </c>
      <c r="C78" s="25">
        <f>+ROUND('DF Calc (Mason Co.)'!L45,2)</f>
        <v>0.27</v>
      </c>
      <c r="D78" s="113">
        <f>+ROUND(B78+C78,2)</f>
        <v>18.84</v>
      </c>
      <c r="E78" s="27"/>
      <c r="F78" s="113"/>
      <c r="G78" s="113"/>
    </row>
    <row r="79" spans="1:7">
      <c r="A79" t="s">
        <v>261</v>
      </c>
      <c r="B79" s="113">
        <v>24.55</v>
      </c>
      <c r="C79" s="25">
        <f>+ROUND('DF Calc (Mason Co.)'!L46,2)</f>
        <v>0.35</v>
      </c>
      <c r="D79" s="113">
        <f>+ROUND(B79+C79,2)</f>
        <v>24.9</v>
      </c>
      <c r="E79" s="27"/>
      <c r="F79" s="113"/>
      <c r="G79" s="113"/>
    </row>
    <row r="80" spans="1:7">
      <c r="A80" t="s">
        <v>219</v>
      </c>
      <c r="B80" s="113">
        <v>15.68</v>
      </c>
      <c r="C80" s="25">
        <f>+ROUND('DF Calc (Mason Co.)'!L76,2)</f>
        <v>0.13</v>
      </c>
      <c r="D80" s="113">
        <f>+ROUND(B80+C80,2)</f>
        <v>15.81</v>
      </c>
      <c r="E80" s="27"/>
      <c r="F80" s="113"/>
      <c r="G80" s="113"/>
    </row>
    <row r="81" spans="1:7">
      <c r="B81" s="113"/>
      <c r="C81" s="25"/>
      <c r="D81" s="113"/>
      <c r="E81" s="27"/>
      <c r="F81" s="113"/>
      <c r="G81" s="113"/>
    </row>
    <row r="82" spans="1:7">
      <c r="A82" s="127" t="s">
        <v>161</v>
      </c>
      <c r="B82" s="129"/>
      <c r="C82" s="130"/>
      <c r="D82" s="129"/>
      <c r="E82" s="127" t="s">
        <v>166</v>
      </c>
      <c r="F82" s="113"/>
      <c r="G82" s="113"/>
    </row>
    <row r="83" spans="1:7">
      <c r="A83" s="123" t="s">
        <v>115</v>
      </c>
      <c r="B83" s="113">
        <v>4.29</v>
      </c>
      <c r="C83" s="25">
        <f>+ROUND('DF Calc (Mason Co.)'!L66,2)</f>
        <v>0.03</v>
      </c>
      <c r="D83" s="113">
        <f>+ROUND(B83+C83,2)</f>
        <v>4.32</v>
      </c>
      <c r="E83" s="27"/>
      <c r="F83" s="113"/>
      <c r="G83" s="113"/>
    </row>
    <row r="84" spans="1:7">
      <c r="A84" t="s">
        <v>162</v>
      </c>
      <c r="B84" s="113">
        <v>4.6399999999999997</v>
      </c>
      <c r="C84" s="25">
        <f>+ROUND('DF Calc (Mason Co.)'!L67,2)</f>
        <v>0.04</v>
      </c>
      <c r="D84" s="113">
        <f>+ROUND(B84+C84,2)</f>
        <v>4.68</v>
      </c>
      <c r="E84" s="27"/>
      <c r="F84" s="113"/>
      <c r="G84" s="113"/>
    </row>
    <row r="85" spans="1:7">
      <c r="A85" t="s">
        <v>163</v>
      </c>
      <c r="B85" s="113">
        <v>5.47</v>
      </c>
      <c r="C85" s="25">
        <f>+ROUND('DF Calc (Mason Co.)'!L68,2)</f>
        <v>0.05</v>
      </c>
      <c r="D85" s="113">
        <f>+ROUND(B85+C85,2)</f>
        <v>5.52</v>
      </c>
      <c r="E85" s="27"/>
      <c r="F85" s="113"/>
      <c r="G85" s="113"/>
    </row>
    <row r="86" spans="1:7">
      <c r="A86" t="s">
        <v>164</v>
      </c>
      <c r="B86" s="113">
        <v>6.48</v>
      </c>
      <c r="C86" s="25">
        <f>+ROUND('DF Calc (Mason Co.)'!L69,2)</f>
        <v>0.05</v>
      </c>
      <c r="D86" s="113">
        <f>+ROUND(B86+C86,2)</f>
        <v>6.53</v>
      </c>
      <c r="E86" s="27"/>
      <c r="F86" s="113"/>
      <c r="G86" s="113"/>
    </row>
    <row r="87" spans="1:7">
      <c r="A87" t="s">
        <v>165</v>
      </c>
      <c r="B87" s="113">
        <v>8.09</v>
      </c>
      <c r="C87" s="25">
        <f>+ROUND('DF Calc (Mason Co.)'!L70,2)</f>
        <v>0.08</v>
      </c>
      <c r="D87" s="113">
        <f>+ROUND(B87+C87,2)</f>
        <v>8.17</v>
      </c>
      <c r="E87" s="27"/>
      <c r="F87" s="113"/>
      <c r="G87" s="113"/>
    </row>
    <row r="88" spans="1:7">
      <c r="B88" s="113"/>
      <c r="C88" s="25"/>
      <c r="D88" s="113"/>
      <c r="E88" s="27"/>
      <c r="F88" s="113"/>
      <c r="G88" s="113"/>
    </row>
    <row r="89" spans="1:7">
      <c r="A89" s="27" t="s">
        <v>148</v>
      </c>
      <c r="B89" s="113"/>
      <c r="C89" s="25"/>
      <c r="D89" s="113"/>
      <c r="E89" s="27"/>
      <c r="F89" s="113"/>
      <c r="G89" s="113"/>
    </row>
    <row r="90" spans="1:7">
      <c r="A90" t="s">
        <v>115</v>
      </c>
      <c r="B90" s="113">
        <v>13.22</v>
      </c>
      <c r="C90" s="25">
        <f>+ROUND('DF Calc (Mason Co.)'!L71,2)</f>
        <v>0.03</v>
      </c>
      <c r="D90" s="113">
        <f>+ROUND(B90+C90,2)</f>
        <v>13.25</v>
      </c>
      <c r="E90" s="27"/>
      <c r="F90" s="113"/>
      <c r="G90" s="113"/>
    </row>
    <row r="91" spans="1:7">
      <c r="A91" t="s">
        <v>162</v>
      </c>
      <c r="B91" s="113">
        <v>14.75</v>
      </c>
      <c r="C91" s="25">
        <f>+ROUND('DF Calc (Mason Co.)'!L72,2)</f>
        <v>0.04</v>
      </c>
      <c r="D91" s="113">
        <f>+ROUND(B91+C91,2)</f>
        <v>14.79</v>
      </c>
      <c r="E91" s="27"/>
      <c r="F91" s="113"/>
      <c r="G91" s="113"/>
    </row>
    <row r="92" spans="1:7">
      <c r="A92" t="s">
        <v>163</v>
      </c>
      <c r="B92" s="113">
        <v>15.58</v>
      </c>
      <c r="C92" s="25">
        <f>+ROUND('DF Calc (Mason Co.)'!L73,2)</f>
        <v>0.05</v>
      </c>
      <c r="D92" s="113">
        <f>+ROUND(B92+C92,2)</f>
        <v>15.63</v>
      </c>
      <c r="E92" s="27"/>
      <c r="F92" s="113"/>
      <c r="G92" s="113"/>
    </row>
    <row r="93" spans="1:7">
      <c r="A93" t="s">
        <v>164</v>
      </c>
      <c r="B93" s="113">
        <v>16.59</v>
      </c>
      <c r="C93" s="25">
        <f>+ROUND('DF Calc (Mason Co.)'!L74,2)</f>
        <v>0.05</v>
      </c>
      <c r="D93" s="113">
        <f>+ROUND(B93+C93,2)</f>
        <v>16.64</v>
      </c>
      <c r="E93" s="27"/>
      <c r="F93" s="113"/>
      <c r="G93" s="113"/>
    </row>
    <row r="94" spans="1:7">
      <c r="A94" t="s">
        <v>165</v>
      </c>
      <c r="B94" s="113">
        <v>18.2</v>
      </c>
      <c r="C94" s="25">
        <f>+ROUND('DF Calc (Mason Co.)'!L75,2)</f>
        <v>0.08</v>
      </c>
      <c r="D94" s="113">
        <f>+ROUND(B94+C94,2)</f>
        <v>18.28</v>
      </c>
      <c r="E94" s="27"/>
      <c r="F94" s="113"/>
      <c r="G94" s="113"/>
    </row>
    <row r="95" spans="1:7">
      <c r="B95" s="113"/>
      <c r="C95" s="25"/>
      <c r="D95" s="113"/>
      <c r="E95" s="27"/>
      <c r="F95" s="113"/>
      <c r="G95" s="113"/>
    </row>
    <row r="96" spans="1:7">
      <c r="A96" t="s">
        <v>220</v>
      </c>
      <c r="B96" s="113">
        <v>4.6500000000000004</v>
      </c>
      <c r="C96" s="25">
        <f>+ROUND('DF Calc (Mason Co.)'!L77,2)</f>
        <v>0.03</v>
      </c>
      <c r="D96" s="113">
        <f>+ROUND(B96+C96,2)</f>
        <v>4.68</v>
      </c>
      <c r="E96" s="27"/>
      <c r="F96" s="113"/>
      <c r="G96" s="113"/>
    </row>
    <row r="97" spans="1:7">
      <c r="A97" t="s">
        <v>221</v>
      </c>
      <c r="B97" s="113">
        <v>18.600000000000001</v>
      </c>
      <c r="C97" s="25">
        <f>+ROUND('DF Calc (Mason Co.)'!L78,2)</f>
        <v>0.13</v>
      </c>
      <c r="D97" s="113">
        <f>+ROUND(B97+C97,2)</f>
        <v>18.73</v>
      </c>
      <c r="E97" s="27"/>
      <c r="F97" s="113"/>
      <c r="G97" s="113"/>
    </row>
    <row r="98" spans="1:7">
      <c r="A98" t="s">
        <v>222</v>
      </c>
      <c r="B98" s="113">
        <v>3.96</v>
      </c>
      <c r="C98" s="192">
        <f>+ROUND('DF Calc (Mason Co.)'!L79,2)</f>
        <v>0.03</v>
      </c>
      <c r="D98" s="113">
        <f>+ROUND(B98+C98,2)</f>
        <v>3.99</v>
      </c>
      <c r="E98" s="27"/>
      <c r="F98" s="113"/>
      <c r="G98" s="113"/>
    </row>
    <row r="99" spans="1:7">
      <c r="A99" t="s">
        <v>223</v>
      </c>
      <c r="B99" s="113">
        <v>4.29</v>
      </c>
      <c r="C99" s="25">
        <f>+ROUND('DF Calc (Mason Co.)'!L80,2)</f>
        <v>0.03</v>
      </c>
      <c r="D99" s="113">
        <f>+ROUND(B99+C99,2)</f>
        <v>4.32</v>
      </c>
      <c r="E99" s="27"/>
      <c r="F99" s="113"/>
      <c r="G99" s="113"/>
    </row>
    <row r="100" spans="1:7">
      <c r="A100" t="s">
        <v>224</v>
      </c>
      <c r="B100" s="113"/>
      <c r="C100" s="25"/>
      <c r="D100" s="120"/>
      <c r="E100" s="27"/>
      <c r="F100" s="113"/>
      <c r="G100" s="113"/>
    </row>
    <row r="101" spans="1:7">
      <c r="A101" s="114" t="s">
        <v>162</v>
      </c>
      <c r="B101" s="113">
        <v>19.91</v>
      </c>
      <c r="C101" s="25">
        <f>+ROUND('DF Calc (Mason Co.)'!L81,2)</f>
        <v>0.17</v>
      </c>
      <c r="D101" s="120">
        <f>+ROUND(B101+C101,2)</f>
        <v>20.079999999999998</v>
      </c>
      <c r="E101" s="27"/>
      <c r="F101" s="113"/>
      <c r="G101" s="113"/>
    </row>
    <row r="102" spans="1:7">
      <c r="A102" s="114" t="s">
        <v>163</v>
      </c>
      <c r="B102" s="113">
        <v>23.44</v>
      </c>
      <c r="C102" s="25">
        <f>+ROUND('DF Calc (Mason Co.)'!L82,2)</f>
        <v>0.22</v>
      </c>
      <c r="D102" s="120">
        <f>+ROUND(B102+C102,2)</f>
        <v>23.66</v>
      </c>
      <c r="E102" s="27"/>
      <c r="F102" s="113"/>
      <c r="G102" s="113"/>
    </row>
    <row r="103" spans="1:7">
      <c r="A103" s="114" t="s">
        <v>164</v>
      </c>
      <c r="B103" s="113">
        <v>27.75</v>
      </c>
      <c r="C103" s="25">
        <f>+ROUND('DF Calc (Mason Co.)'!L83,2)</f>
        <v>0.24</v>
      </c>
      <c r="D103" s="120">
        <f>+ROUND(B103+C103,2)</f>
        <v>27.99</v>
      </c>
      <c r="E103" s="27"/>
      <c r="F103" s="113"/>
      <c r="G103" s="113"/>
    </row>
    <row r="104" spans="1:7">
      <c r="A104" s="114" t="s">
        <v>165</v>
      </c>
      <c r="B104" s="113">
        <v>34.619999999999997</v>
      </c>
      <c r="C104" s="25">
        <f>+ROUND('DF Calc (Mason Co.)'!L84,2)</f>
        <v>0.36</v>
      </c>
      <c r="D104" s="120">
        <f>+ROUND(B104+C104,2)</f>
        <v>34.979999999999997</v>
      </c>
      <c r="E104" s="27"/>
      <c r="F104" s="113"/>
      <c r="G104" s="113"/>
    </row>
    <row r="105" spans="1:7">
      <c r="B105" s="113"/>
      <c r="C105" s="25"/>
      <c r="D105" s="113"/>
      <c r="E105" s="27"/>
      <c r="F105" s="113"/>
      <c r="G105" s="113"/>
    </row>
  </sheetData>
  <pageMargins left="0.7" right="0.7" top="0.98958333333333304" bottom="0.75" header="0.3" footer="0.3"/>
  <pageSetup scale="76" fitToHeight="2" orientation="portrait" r:id="rId1"/>
  <headerFooter>
    <oddFooter xml:space="preserve">&amp;L&amp;F - &amp;A
&amp;R&amp;P of &amp;N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Z102"/>
  <sheetViews>
    <sheetView view="pageBreakPreview" zoomScale="60" zoomScaleNormal="100" workbookViewId="0">
      <selection activeCell="P19" sqref="P19"/>
    </sheetView>
  </sheetViews>
  <sheetFormatPr defaultColWidth="18.5703125" defaultRowHeight="11.25"/>
  <cols>
    <col min="1" max="1" width="29.28515625" style="2" bestFit="1" customWidth="1"/>
    <col min="2" max="2" width="13.42578125" style="2" customWidth="1"/>
    <col min="3" max="3" width="9.28515625" style="2" customWidth="1"/>
    <col min="4" max="4" width="9.5703125" style="2" customWidth="1"/>
    <col min="5" max="5" width="12.7109375" style="2" customWidth="1"/>
    <col min="6" max="6" width="9" style="2" customWidth="1"/>
    <col min="7" max="7" width="12.28515625" style="2" customWidth="1"/>
    <col min="8" max="8" width="11.28515625" style="2" customWidth="1"/>
    <col min="9" max="9" width="9.7109375" style="2" customWidth="1"/>
    <col min="10" max="11" width="11.28515625" style="2" customWidth="1"/>
    <col min="12" max="12" width="7.7109375" style="3" customWidth="1"/>
    <col min="13" max="13" width="9.28515625" style="2" customWidth="1"/>
    <col min="14" max="14" width="13.7109375" style="2" customWidth="1"/>
    <col min="15" max="15" width="10.42578125" style="2" hidden="1" customWidth="1"/>
    <col min="16" max="16" width="9" style="2" hidden="1" customWidth="1"/>
    <col min="17" max="17" width="11.7109375" style="2" hidden="1" customWidth="1"/>
    <col min="18" max="18" width="8.28515625" style="2" hidden="1" customWidth="1"/>
    <col min="19" max="19" width="2.5703125" style="2" hidden="1" customWidth="1"/>
    <col min="20" max="20" width="11.28515625" style="2" hidden="1" customWidth="1"/>
    <col min="21" max="21" width="10" style="2" hidden="1" customWidth="1"/>
    <col min="22" max="22" width="7" style="2" hidden="1" customWidth="1"/>
    <col min="23" max="23" width="3.5703125" style="2" customWidth="1"/>
    <col min="24" max="24" width="12.5703125" style="2" customWidth="1"/>
    <col min="25" max="25" width="15.28515625" style="2" customWidth="1"/>
    <col min="26" max="26" width="11.7109375" style="2" customWidth="1"/>
    <col min="27" max="16384" width="18.5703125" style="2"/>
  </cols>
  <sheetData>
    <row r="1" spans="1:26">
      <c r="A1" s="1" t="s">
        <v>0</v>
      </c>
    </row>
    <row r="2" spans="1:26">
      <c r="A2" s="1" t="s">
        <v>233</v>
      </c>
    </row>
    <row r="3" spans="1:26">
      <c r="A3" s="1" t="s">
        <v>242</v>
      </c>
    </row>
    <row r="4" spans="1:26">
      <c r="A4" s="1"/>
      <c r="F4" s="46"/>
    </row>
    <row r="5" spans="1:26" s="6" customFormat="1" ht="39" customHeight="1">
      <c r="B5" s="161" t="s">
        <v>169</v>
      </c>
      <c r="C5" s="31" t="s">
        <v>167</v>
      </c>
      <c r="D5" s="32" t="s">
        <v>109</v>
      </c>
      <c r="E5" s="32"/>
      <c r="F5" s="32"/>
      <c r="G5" s="32"/>
      <c r="H5" s="32"/>
      <c r="I5" s="32"/>
      <c r="J5" s="32"/>
      <c r="K5" s="32"/>
      <c r="L5" s="33"/>
      <c r="M5" s="31"/>
      <c r="N5" s="31"/>
      <c r="O5" s="7"/>
      <c r="X5" s="31"/>
      <c r="Y5" s="31"/>
      <c r="Z5" s="49"/>
    </row>
    <row r="6" spans="1:26" ht="12" thickBot="1">
      <c r="A6" s="8" t="s">
        <v>2</v>
      </c>
      <c r="T6" s="5"/>
      <c r="U6" s="5"/>
      <c r="V6" s="9"/>
    </row>
    <row r="7" spans="1:26" ht="12" thickTop="1">
      <c r="A7" s="10" t="s">
        <v>3</v>
      </c>
      <c r="B7" s="11">
        <v>14</v>
      </c>
      <c r="C7" s="12">
        <f>[12]References!$B$9</f>
        <v>4.333333333333333</v>
      </c>
      <c r="D7" s="11">
        <f t="shared" ref="D7:D19" si="0">B7*C7*12</f>
        <v>728</v>
      </c>
      <c r="E7" s="162"/>
      <c r="F7" s="19"/>
      <c r="G7" s="19"/>
      <c r="H7" s="163"/>
      <c r="I7" s="162"/>
      <c r="J7" s="162"/>
      <c r="K7" s="162"/>
      <c r="L7" s="164"/>
      <c r="M7" s="162"/>
      <c r="N7" s="162"/>
      <c r="O7" s="4"/>
      <c r="P7" s="5"/>
      <c r="Q7" s="5"/>
      <c r="R7" s="9"/>
      <c r="T7" s="5"/>
      <c r="U7" s="5"/>
      <c r="V7" s="9"/>
      <c r="X7" s="47"/>
      <c r="Y7" s="47"/>
    </row>
    <row r="8" spans="1:26">
      <c r="A8" s="10" t="s">
        <v>4</v>
      </c>
      <c r="B8" s="11">
        <v>2338</v>
      </c>
      <c r="C8" s="12">
        <f>[12]References!$B$9</f>
        <v>4.333333333333333</v>
      </c>
      <c r="D8" s="11">
        <f t="shared" si="0"/>
        <v>121575.99999999999</v>
      </c>
      <c r="E8" s="162"/>
      <c r="F8" s="19"/>
      <c r="G8" s="19"/>
      <c r="H8" s="163"/>
      <c r="I8" s="162"/>
      <c r="J8" s="162"/>
      <c r="K8" s="162"/>
      <c r="L8" s="164"/>
      <c r="M8" s="162"/>
      <c r="N8" s="162"/>
      <c r="O8" s="4"/>
      <c r="P8" s="5"/>
      <c r="Q8" s="5"/>
      <c r="R8" s="9"/>
      <c r="T8" s="5"/>
      <c r="U8" s="5"/>
      <c r="V8" s="9"/>
      <c r="X8" s="47"/>
      <c r="Y8" s="47"/>
    </row>
    <row r="9" spans="1:26">
      <c r="A9" s="10" t="s">
        <v>5</v>
      </c>
      <c r="B9" s="11">
        <v>457</v>
      </c>
      <c r="C9" s="12">
        <f>[12]References!$B$9</f>
        <v>4.333333333333333</v>
      </c>
      <c r="D9" s="11">
        <f t="shared" si="0"/>
        <v>23764</v>
      </c>
      <c r="E9" s="162"/>
      <c r="F9" s="19"/>
      <c r="G9" s="19"/>
      <c r="H9" s="163"/>
      <c r="I9" s="162"/>
      <c r="J9" s="162"/>
      <c r="K9" s="162"/>
      <c r="L9" s="164"/>
      <c r="M9" s="162"/>
      <c r="N9" s="162"/>
      <c r="O9" s="4"/>
      <c r="P9" s="5"/>
      <c r="Q9" s="5"/>
      <c r="R9" s="9"/>
      <c r="T9" s="5"/>
      <c r="U9" s="5"/>
      <c r="V9" s="9"/>
      <c r="X9" s="47"/>
      <c r="Y9" s="47"/>
    </row>
    <row r="10" spans="1:26">
      <c r="A10" s="10" t="s">
        <v>6</v>
      </c>
      <c r="B10" s="11">
        <v>32</v>
      </c>
      <c r="C10" s="12">
        <f>[12]References!$B$9</f>
        <v>4.333333333333333</v>
      </c>
      <c r="D10" s="11">
        <f t="shared" si="0"/>
        <v>1664</v>
      </c>
      <c r="E10" s="162"/>
      <c r="F10" s="19"/>
      <c r="G10" s="19"/>
      <c r="H10" s="163"/>
      <c r="I10" s="162"/>
      <c r="J10" s="162"/>
      <c r="K10" s="162"/>
      <c r="L10" s="164"/>
      <c r="M10" s="162"/>
      <c r="N10" s="162"/>
      <c r="O10" s="4"/>
      <c r="P10" s="5"/>
      <c r="Q10" s="5"/>
      <c r="R10" s="9"/>
      <c r="T10" s="5"/>
      <c r="U10" s="5"/>
      <c r="V10" s="9"/>
      <c r="X10" s="47"/>
      <c r="Y10" s="47"/>
    </row>
    <row r="11" spans="1:26">
      <c r="A11" s="10" t="s">
        <v>7</v>
      </c>
      <c r="B11" s="11">
        <v>4</v>
      </c>
      <c r="C11" s="12">
        <f>[12]References!$B$9</f>
        <v>4.333333333333333</v>
      </c>
      <c r="D11" s="11">
        <f t="shared" si="0"/>
        <v>208</v>
      </c>
      <c r="E11" s="162"/>
      <c r="F11" s="19"/>
      <c r="G11" s="19"/>
      <c r="H11" s="163"/>
      <c r="I11" s="162"/>
      <c r="J11" s="162"/>
      <c r="K11" s="162"/>
      <c r="L11" s="164"/>
      <c r="M11" s="162"/>
      <c r="N11" s="162"/>
      <c r="O11" s="4"/>
      <c r="P11" s="5"/>
      <c r="Q11" s="5"/>
      <c r="R11" s="9"/>
      <c r="T11" s="5"/>
      <c r="U11" s="5"/>
      <c r="V11" s="9"/>
      <c r="X11" s="47"/>
      <c r="Y11" s="47"/>
    </row>
    <row r="12" spans="1:26">
      <c r="A12" s="10" t="s">
        <v>8</v>
      </c>
      <c r="B12" s="11">
        <v>1</v>
      </c>
      <c r="C12" s="12">
        <f>[12]References!$B$9</f>
        <v>4.333333333333333</v>
      </c>
      <c r="D12" s="11">
        <f t="shared" si="0"/>
        <v>52</v>
      </c>
      <c r="E12" s="162"/>
      <c r="F12" s="19"/>
      <c r="G12" s="19"/>
      <c r="H12" s="163"/>
      <c r="I12" s="162"/>
      <c r="J12" s="162"/>
      <c r="K12" s="162"/>
      <c r="L12" s="164"/>
      <c r="M12" s="162"/>
      <c r="N12" s="162"/>
      <c r="O12" s="4"/>
      <c r="P12" s="5"/>
      <c r="Q12" s="5"/>
      <c r="R12" s="9"/>
      <c r="T12" s="5"/>
      <c r="U12" s="5"/>
      <c r="V12" s="9"/>
      <c r="X12" s="47"/>
      <c r="Y12" s="47"/>
    </row>
    <row r="13" spans="1:26">
      <c r="A13" s="10" t="s">
        <v>9</v>
      </c>
      <c r="B13" s="11">
        <v>2</v>
      </c>
      <c r="C13" s="12">
        <f>[12]References!$B$9</f>
        <v>4.333333333333333</v>
      </c>
      <c r="D13" s="11">
        <f t="shared" si="0"/>
        <v>104</v>
      </c>
      <c r="E13" s="162"/>
      <c r="F13" s="19"/>
      <c r="G13" s="19"/>
      <c r="H13" s="163"/>
      <c r="I13" s="162"/>
      <c r="J13" s="162"/>
      <c r="K13" s="162"/>
      <c r="L13" s="164"/>
      <c r="M13" s="162"/>
      <c r="N13" s="162"/>
      <c r="O13" s="4"/>
      <c r="P13" s="5"/>
      <c r="Q13" s="5"/>
      <c r="R13" s="9"/>
      <c r="T13" s="5"/>
      <c r="U13" s="5"/>
      <c r="V13" s="9"/>
      <c r="X13" s="47"/>
      <c r="Y13" s="47"/>
    </row>
    <row r="14" spans="1:26">
      <c r="A14" s="10" t="s">
        <v>10</v>
      </c>
      <c r="B14" s="11">
        <v>774</v>
      </c>
      <c r="C14" s="12">
        <f>[12]References!$B$9</f>
        <v>4.333333333333333</v>
      </c>
      <c r="D14" s="11">
        <f t="shared" si="0"/>
        <v>40247.999999999993</v>
      </c>
      <c r="E14" s="162"/>
      <c r="F14" s="19"/>
      <c r="G14" s="19"/>
      <c r="H14" s="163"/>
      <c r="I14" s="162"/>
      <c r="J14" s="162"/>
      <c r="K14" s="162"/>
      <c r="L14" s="164"/>
      <c r="M14" s="162"/>
      <c r="N14" s="162"/>
      <c r="O14" s="4"/>
      <c r="P14" s="5"/>
      <c r="Q14" s="5"/>
      <c r="R14" s="9"/>
      <c r="T14" s="5"/>
      <c r="U14" s="5"/>
      <c r="V14" s="9"/>
      <c r="X14" s="47"/>
      <c r="Y14" s="47"/>
    </row>
    <row r="15" spans="1:26">
      <c r="A15" s="10" t="s">
        <v>11</v>
      </c>
      <c r="B15" s="11">
        <v>500</v>
      </c>
      <c r="C15" s="12">
        <f>[12]References!$B$9</f>
        <v>4.333333333333333</v>
      </c>
      <c r="D15" s="11">
        <f t="shared" si="0"/>
        <v>26000</v>
      </c>
      <c r="E15" s="162"/>
      <c r="F15" s="19"/>
      <c r="G15" s="19"/>
      <c r="H15" s="163"/>
      <c r="I15" s="162"/>
      <c r="J15" s="162"/>
      <c r="K15" s="162"/>
      <c r="L15" s="164"/>
      <c r="M15" s="162"/>
      <c r="N15" s="162"/>
      <c r="O15" s="4"/>
      <c r="P15" s="5"/>
      <c r="Q15" s="5"/>
      <c r="R15" s="9"/>
      <c r="T15" s="5"/>
      <c r="U15" s="5"/>
      <c r="V15" s="9"/>
      <c r="X15" s="47"/>
      <c r="Y15" s="47"/>
    </row>
    <row r="16" spans="1:26">
      <c r="A16" s="10" t="s">
        <v>12</v>
      </c>
      <c r="B16" s="11">
        <v>22</v>
      </c>
      <c r="C16" s="12">
        <f>[12]References!$B$9</f>
        <v>4.333333333333333</v>
      </c>
      <c r="D16" s="11">
        <f t="shared" si="0"/>
        <v>1144</v>
      </c>
      <c r="E16" s="162"/>
      <c r="F16" s="19"/>
      <c r="G16" s="19"/>
      <c r="H16" s="163"/>
      <c r="I16" s="162"/>
      <c r="J16" s="162"/>
      <c r="K16" s="162"/>
      <c r="L16" s="164"/>
      <c r="M16" s="162"/>
      <c r="N16" s="162"/>
      <c r="O16" s="4"/>
      <c r="P16" s="5"/>
      <c r="Q16" s="5"/>
      <c r="R16" s="9"/>
      <c r="T16" s="5"/>
      <c r="U16" s="5"/>
      <c r="V16" s="9"/>
      <c r="X16" s="47"/>
      <c r="Y16" s="47"/>
    </row>
    <row r="17" spans="1:25">
      <c r="A17" s="10" t="s">
        <v>13</v>
      </c>
      <c r="B17" s="11">
        <v>299</v>
      </c>
      <c r="C17" s="12">
        <f>[12]References!$B$9</f>
        <v>4.333333333333333</v>
      </c>
      <c r="D17" s="11">
        <f t="shared" si="0"/>
        <v>15547.999999999998</v>
      </c>
      <c r="E17" s="162"/>
      <c r="F17" s="19"/>
      <c r="G17" s="19"/>
      <c r="H17" s="163"/>
      <c r="I17" s="162"/>
      <c r="J17" s="162"/>
      <c r="K17" s="162"/>
      <c r="L17" s="164"/>
      <c r="M17" s="162"/>
      <c r="N17" s="162"/>
      <c r="O17" s="4"/>
      <c r="P17" s="5"/>
      <c r="Q17" s="5"/>
      <c r="R17" s="9"/>
      <c r="T17" s="5"/>
      <c r="U17" s="5"/>
      <c r="V17" s="9"/>
      <c r="X17" s="47"/>
      <c r="Y17" s="47"/>
    </row>
    <row r="18" spans="1:25">
      <c r="A18" s="10" t="s">
        <v>14</v>
      </c>
      <c r="B18" s="11">
        <v>261</v>
      </c>
      <c r="C18" s="12">
        <f>[12]References!$B$9</f>
        <v>4.333333333333333</v>
      </c>
      <c r="D18" s="11">
        <f t="shared" si="0"/>
        <v>13572</v>
      </c>
      <c r="E18" s="162"/>
      <c r="F18" s="19"/>
      <c r="G18" s="19"/>
      <c r="H18" s="163"/>
      <c r="I18" s="162"/>
      <c r="J18" s="162"/>
      <c r="K18" s="162"/>
      <c r="L18" s="164"/>
      <c r="M18" s="162"/>
      <c r="N18" s="162"/>
      <c r="O18" s="4"/>
      <c r="P18" s="5"/>
      <c r="Q18" s="5"/>
      <c r="R18" s="9"/>
      <c r="T18" s="5"/>
      <c r="U18" s="5"/>
      <c r="V18" s="9"/>
      <c r="X18" s="47"/>
      <c r="Y18" s="47"/>
    </row>
    <row r="19" spans="1:25">
      <c r="A19" s="10" t="s">
        <v>15</v>
      </c>
      <c r="B19" s="11">
        <v>77</v>
      </c>
      <c r="C19" s="12">
        <f>[12]References!$B$9</f>
        <v>4.333333333333333</v>
      </c>
      <c r="D19" s="11">
        <f t="shared" si="0"/>
        <v>4003.9999999999995</v>
      </c>
      <c r="E19" s="162"/>
      <c r="F19" s="19"/>
      <c r="G19" s="19"/>
      <c r="H19" s="163"/>
      <c r="I19" s="162"/>
      <c r="J19" s="162"/>
      <c r="K19" s="162"/>
      <c r="L19" s="164"/>
      <c r="M19" s="162"/>
      <c r="N19" s="162"/>
      <c r="O19" s="4"/>
      <c r="P19" s="5"/>
      <c r="Q19" s="5"/>
      <c r="R19" s="9"/>
      <c r="T19" s="5"/>
      <c r="U19" s="5"/>
      <c r="V19" s="9"/>
      <c r="X19" s="47"/>
      <c r="Y19" s="47"/>
    </row>
    <row r="20" spans="1:25">
      <c r="A20" s="10"/>
      <c r="B20" s="11"/>
      <c r="C20" s="11"/>
      <c r="D20" s="11"/>
      <c r="E20" s="19"/>
      <c r="F20" s="19"/>
      <c r="G20" s="19"/>
      <c r="H20" s="19"/>
      <c r="I20" s="19"/>
      <c r="J20" s="19"/>
      <c r="K20" s="19"/>
      <c r="L20" s="164"/>
      <c r="M20" s="19"/>
      <c r="N20" s="19"/>
      <c r="O20" s="4"/>
      <c r="P20" s="5"/>
      <c r="Q20" s="5"/>
      <c r="R20" s="9"/>
      <c r="T20" s="5"/>
      <c r="U20" s="5"/>
      <c r="V20" s="9"/>
      <c r="X20" s="47"/>
      <c r="Y20" s="47"/>
    </row>
    <row r="21" spans="1:25">
      <c r="A21" s="10" t="s">
        <v>16</v>
      </c>
      <c r="B21" s="11">
        <v>1451</v>
      </c>
      <c r="C21" s="12">
        <f>[12]References!$B$10</f>
        <v>2.1666666666666665</v>
      </c>
      <c r="D21" s="11">
        <f t="shared" ref="D21:D26" si="1">B21*C21*12</f>
        <v>37726</v>
      </c>
      <c r="E21" s="162"/>
      <c r="F21" s="19"/>
      <c r="G21" s="19"/>
      <c r="H21" s="163"/>
      <c r="I21" s="162"/>
      <c r="J21" s="162"/>
      <c r="K21" s="162"/>
      <c r="L21" s="164"/>
      <c r="M21" s="162"/>
      <c r="N21" s="162"/>
      <c r="O21" s="4"/>
      <c r="P21" s="5"/>
      <c r="Q21" s="5"/>
      <c r="R21" s="9"/>
      <c r="T21" s="5"/>
      <c r="U21" s="5"/>
      <c r="V21" s="9"/>
      <c r="X21" s="47"/>
      <c r="Y21" s="47"/>
    </row>
    <row r="22" spans="1:25">
      <c r="A22" s="10" t="s">
        <v>17</v>
      </c>
      <c r="B22" s="11">
        <v>139</v>
      </c>
      <c r="C22" s="12">
        <f>[12]References!$B$10</f>
        <v>2.1666666666666665</v>
      </c>
      <c r="D22" s="11">
        <f t="shared" si="1"/>
        <v>3613.9999999999995</v>
      </c>
      <c r="E22" s="162"/>
      <c r="F22" s="19"/>
      <c r="G22" s="19"/>
      <c r="H22" s="163"/>
      <c r="I22" s="162"/>
      <c r="J22" s="162"/>
      <c r="K22" s="162"/>
      <c r="L22" s="164"/>
      <c r="M22" s="162"/>
      <c r="N22" s="162"/>
      <c r="O22" s="4"/>
      <c r="P22" s="5"/>
      <c r="Q22" s="5"/>
      <c r="R22" s="9"/>
      <c r="T22" s="5"/>
      <c r="U22" s="5"/>
      <c r="V22" s="9"/>
      <c r="X22" s="47"/>
      <c r="Y22" s="47"/>
    </row>
    <row r="23" spans="1:25">
      <c r="A23" s="10" t="s">
        <v>18</v>
      </c>
      <c r="B23" s="11">
        <v>469</v>
      </c>
      <c r="C23" s="12">
        <f>[12]References!$B$10</f>
        <v>2.1666666666666665</v>
      </c>
      <c r="D23" s="11">
        <f t="shared" si="1"/>
        <v>12194</v>
      </c>
      <c r="E23" s="162"/>
      <c r="F23" s="19"/>
      <c r="G23" s="19"/>
      <c r="H23" s="163"/>
      <c r="I23" s="162"/>
      <c r="J23" s="162"/>
      <c r="K23" s="162"/>
      <c r="L23" s="164"/>
      <c r="M23" s="162"/>
      <c r="N23" s="162"/>
      <c r="O23" s="4"/>
      <c r="P23" s="5"/>
      <c r="Q23" s="5"/>
      <c r="R23" s="9"/>
      <c r="T23" s="5"/>
      <c r="U23" s="5"/>
      <c r="V23" s="9"/>
      <c r="X23" s="47"/>
      <c r="Y23" s="47"/>
    </row>
    <row r="24" spans="1:25">
      <c r="A24" s="10" t="s">
        <v>19</v>
      </c>
      <c r="B24" s="11">
        <v>104</v>
      </c>
      <c r="C24" s="12">
        <f>[12]References!$B$10</f>
        <v>2.1666666666666665</v>
      </c>
      <c r="D24" s="11">
        <f t="shared" si="1"/>
        <v>2704</v>
      </c>
      <c r="E24" s="162"/>
      <c r="F24" s="19"/>
      <c r="G24" s="19"/>
      <c r="H24" s="163"/>
      <c r="I24" s="162"/>
      <c r="J24" s="162"/>
      <c r="K24" s="162"/>
      <c r="L24" s="164"/>
      <c r="M24" s="162"/>
      <c r="N24" s="162"/>
      <c r="O24" s="4"/>
      <c r="P24" s="5"/>
      <c r="Q24" s="5"/>
      <c r="R24" s="9"/>
      <c r="T24" s="5"/>
      <c r="U24" s="5"/>
      <c r="V24" s="9"/>
      <c r="X24" s="47"/>
      <c r="Y24" s="47"/>
    </row>
    <row r="25" spans="1:25">
      <c r="A25" s="10" t="s">
        <v>20</v>
      </c>
      <c r="B25" s="11">
        <v>92</v>
      </c>
      <c r="C25" s="12">
        <f>[12]References!$B$10</f>
        <v>2.1666666666666665</v>
      </c>
      <c r="D25" s="11">
        <f t="shared" si="1"/>
        <v>2392</v>
      </c>
      <c r="E25" s="162"/>
      <c r="F25" s="19"/>
      <c r="G25" s="19"/>
      <c r="H25" s="163"/>
      <c r="I25" s="162"/>
      <c r="J25" s="162"/>
      <c r="K25" s="162"/>
      <c r="L25" s="164"/>
      <c r="M25" s="162"/>
      <c r="N25" s="162"/>
      <c r="O25" s="4"/>
      <c r="P25" s="5"/>
      <c r="Q25" s="5"/>
      <c r="R25" s="9"/>
      <c r="T25" s="5"/>
      <c r="U25" s="5"/>
      <c r="V25" s="9"/>
      <c r="X25" s="47"/>
      <c r="Y25" s="47"/>
    </row>
    <row r="26" spans="1:25">
      <c r="A26" s="10" t="s">
        <v>21</v>
      </c>
      <c r="B26" s="11">
        <v>32</v>
      </c>
      <c r="C26" s="12">
        <f>[12]References!$B$10</f>
        <v>2.1666666666666665</v>
      </c>
      <c r="D26" s="11">
        <f t="shared" si="1"/>
        <v>832</v>
      </c>
      <c r="E26" s="162"/>
      <c r="F26" s="19"/>
      <c r="G26" s="19"/>
      <c r="H26" s="163"/>
      <c r="I26" s="162"/>
      <c r="J26" s="162"/>
      <c r="K26" s="162"/>
      <c r="L26" s="164"/>
      <c r="M26" s="162"/>
      <c r="N26" s="162"/>
      <c r="O26" s="4"/>
      <c r="P26" s="5"/>
      <c r="Q26" s="5"/>
      <c r="R26" s="9"/>
      <c r="T26" s="5"/>
      <c r="U26" s="5"/>
      <c r="V26" s="9"/>
      <c r="X26" s="47"/>
      <c r="Y26" s="47"/>
    </row>
    <row r="27" spans="1:25">
      <c r="A27" s="10"/>
      <c r="B27" s="11"/>
      <c r="C27" s="11"/>
      <c r="D27" s="11"/>
      <c r="E27" s="19"/>
      <c r="F27" s="19"/>
      <c r="G27" s="19"/>
      <c r="H27" s="19"/>
      <c r="I27" s="19"/>
      <c r="J27" s="19"/>
      <c r="K27" s="19"/>
      <c r="L27" s="164"/>
      <c r="M27" s="19"/>
      <c r="N27" s="19"/>
      <c r="O27" s="4"/>
      <c r="P27" s="5"/>
      <c r="Q27" s="5"/>
      <c r="R27" s="9"/>
      <c r="T27" s="5"/>
      <c r="U27" s="5"/>
      <c r="V27" s="9"/>
      <c r="X27" s="47"/>
      <c r="Y27" s="47"/>
    </row>
    <row r="28" spans="1:25">
      <c r="A28" s="10" t="s">
        <v>22</v>
      </c>
      <c r="B28" s="11">
        <v>215</v>
      </c>
      <c r="C28" s="12">
        <f>[12]References!$B$11</f>
        <v>1</v>
      </c>
      <c r="D28" s="11">
        <f>B28*C28*12</f>
        <v>2580</v>
      </c>
      <c r="E28" s="162"/>
      <c r="F28" s="19"/>
      <c r="G28" s="19"/>
      <c r="H28" s="163"/>
      <c r="I28" s="162"/>
      <c r="J28" s="162"/>
      <c r="K28" s="162"/>
      <c r="L28" s="164"/>
      <c r="M28" s="162"/>
      <c r="N28" s="162"/>
      <c r="O28" s="4"/>
      <c r="P28" s="5"/>
      <c r="Q28" s="5"/>
      <c r="R28" s="9"/>
      <c r="T28" s="5"/>
      <c r="U28" s="5"/>
      <c r="V28" s="9"/>
      <c r="X28" s="47"/>
      <c r="Y28" s="47"/>
    </row>
    <row r="29" spans="1:25">
      <c r="A29" s="10" t="s">
        <v>23</v>
      </c>
      <c r="B29" s="11">
        <v>63</v>
      </c>
      <c r="C29" s="12">
        <f>[12]References!$B$11</f>
        <v>1</v>
      </c>
      <c r="D29" s="11">
        <f>B29*C29*12</f>
        <v>756</v>
      </c>
      <c r="E29" s="162"/>
      <c r="F29" s="19"/>
      <c r="G29" s="19"/>
      <c r="H29" s="163"/>
      <c r="I29" s="162"/>
      <c r="J29" s="162"/>
      <c r="K29" s="162"/>
      <c r="L29" s="164"/>
      <c r="M29" s="162"/>
      <c r="N29" s="162"/>
      <c r="O29" s="4"/>
      <c r="P29" s="5"/>
      <c r="Q29" s="5"/>
      <c r="R29" s="9"/>
      <c r="T29" s="5"/>
      <c r="U29" s="5"/>
      <c r="V29" s="9"/>
      <c r="X29" s="47"/>
      <c r="Y29" s="47"/>
    </row>
    <row r="30" spans="1:25">
      <c r="A30" s="10" t="s">
        <v>24</v>
      </c>
      <c r="B30" s="11">
        <v>4</v>
      </c>
      <c r="C30" s="12">
        <f>[12]References!$B$11</f>
        <v>1</v>
      </c>
      <c r="D30" s="11">
        <f>B30*C30*12</f>
        <v>48</v>
      </c>
      <c r="E30" s="162"/>
      <c r="F30" s="19"/>
      <c r="G30" s="19"/>
      <c r="H30" s="163"/>
      <c r="I30" s="162"/>
      <c r="J30" s="162"/>
      <c r="K30" s="162"/>
      <c r="L30" s="164"/>
      <c r="M30" s="162"/>
      <c r="N30" s="162"/>
      <c r="O30" s="4"/>
      <c r="P30" s="5"/>
      <c r="Q30" s="5"/>
      <c r="R30" s="9"/>
      <c r="T30" s="5"/>
      <c r="U30" s="5"/>
      <c r="V30" s="9"/>
      <c r="X30" s="47"/>
      <c r="Y30" s="47"/>
    </row>
    <row r="31" spans="1:25">
      <c r="A31" s="10" t="s">
        <v>25</v>
      </c>
      <c r="B31" s="11">
        <v>4</v>
      </c>
      <c r="C31" s="12">
        <f>[12]References!$B$11</f>
        <v>1</v>
      </c>
      <c r="D31" s="11">
        <f>B31*C31*12</f>
        <v>48</v>
      </c>
      <c r="E31" s="162"/>
      <c r="F31" s="19"/>
      <c r="G31" s="19"/>
      <c r="H31" s="163"/>
      <c r="I31" s="162"/>
      <c r="J31" s="162"/>
      <c r="K31" s="162"/>
      <c r="L31" s="164"/>
      <c r="M31" s="162"/>
      <c r="N31" s="162"/>
      <c r="O31" s="4"/>
      <c r="P31" s="5"/>
      <c r="Q31" s="5"/>
      <c r="R31" s="9"/>
      <c r="T31" s="5"/>
      <c r="U31" s="5"/>
      <c r="V31" s="9"/>
      <c r="X31" s="47"/>
      <c r="Y31" s="47"/>
    </row>
    <row r="32" spans="1:25">
      <c r="A32" s="10" t="s">
        <v>26</v>
      </c>
      <c r="B32" s="11">
        <v>6</v>
      </c>
      <c r="C32" s="12">
        <f>[12]References!$B$11</f>
        <v>1</v>
      </c>
      <c r="D32" s="11">
        <f>B32*C32*12</f>
        <v>72</v>
      </c>
      <c r="E32" s="162"/>
      <c r="F32" s="19"/>
      <c r="G32" s="19"/>
      <c r="H32" s="163"/>
      <c r="I32" s="162"/>
      <c r="J32" s="162"/>
      <c r="K32" s="162"/>
      <c r="L32" s="164"/>
      <c r="M32" s="162"/>
      <c r="N32" s="162"/>
      <c r="O32" s="4"/>
      <c r="P32" s="5"/>
      <c r="Q32" s="5"/>
      <c r="R32" s="9"/>
      <c r="T32" s="5"/>
      <c r="U32" s="5"/>
      <c r="V32" s="9"/>
      <c r="X32" s="47"/>
      <c r="Y32" s="47"/>
    </row>
    <row r="33" spans="1:26">
      <c r="A33" s="10"/>
      <c r="B33" s="11"/>
      <c r="C33" s="11"/>
      <c r="D33" s="11"/>
      <c r="E33" s="162"/>
      <c r="F33" s="19"/>
      <c r="G33" s="19"/>
      <c r="H33" s="19"/>
      <c r="I33" s="19"/>
      <c r="J33" s="19"/>
      <c r="K33" s="19"/>
      <c r="L33" s="164"/>
      <c r="M33" s="19"/>
      <c r="N33" s="19"/>
      <c r="O33" s="4"/>
      <c r="P33" s="5"/>
      <c r="Q33" s="5"/>
      <c r="R33" s="9"/>
      <c r="T33" s="5"/>
      <c r="U33" s="5"/>
      <c r="V33" s="9"/>
      <c r="X33" s="47"/>
      <c r="Y33" s="47"/>
    </row>
    <row r="34" spans="1:26">
      <c r="A34" s="10" t="s">
        <v>27</v>
      </c>
      <c r="B34" s="11">
        <v>267</v>
      </c>
      <c r="C34" s="12">
        <f>[12]References!$B$11</f>
        <v>1</v>
      </c>
      <c r="D34" s="11">
        <f>B34*C34*12</f>
        <v>3204</v>
      </c>
      <c r="E34" s="162"/>
      <c r="F34" s="19"/>
      <c r="G34" s="19"/>
      <c r="H34" s="163"/>
      <c r="I34" s="162"/>
      <c r="J34" s="162"/>
      <c r="K34" s="162"/>
      <c r="L34" s="164"/>
      <c r="M34" s="162"/>
      <c r="N34" s="162"/>
      <c r="O34" s="4"/>
      <c r="P34" s="5"/>
      <c r="Q34" s="5"/>
      <c r="R34" s="9"/>
      <c r="T34" s="5"/>
      <c r="U34" s="5"/>
      <c r="V34" s="9"/>
      <c r="X34" s="47"/>
      <c r="Y34" s="47"/>
    </row>
    <row r="35" spans="1:26">
      <c r="A35" s="10" t="s">
        <v>28</v>
      </c>
      <c r="B35" s="11">
        <v>98</v>
      </c>
      <c r="C35" s="12">
        <f>[12]References!$B$11</f>
        <v>1</v>
      </c>
      <c r="D35" s="11">
        <f>B35*C35*12</f>
        <v>1176</v>
      </c>
      <c r="E35" s="162"/>
      <c r="F35" s="19"/>
      <c r="G35" s="19"/>
      <c r="H35" s="163"/>
      <c r="I35" s="162"/>
      <c r="J35" s="162"/>
      <c r="K35" s="162"/>
      <c r="L35" s="164"/>
      <c r="M35" s="162"/>
      <c r="N35" s="162"/>
      <c r="O35" s="4"/>
      <c r="P35" s="5"/>
      <c r="Q35" s="5"/>
      <c r="R35" s="9"/>
      <c r="T35" s="5"/>
      <c r="U35" s="5"/>
      <c r="V35" s="9"/>
      <c r="X35" s="47"/>
      <c r="Y35" s="47"/>
    </row>
    <row r="36" spans="1:26">
      <c r="A36" s="10" t="s">
        <v>29</v>
      </c>
      <c r="B36" s="11">
        <v>12</v>
      </c>
      <c r="C36" s="12">
        <f>[12]References!$B$11</f>
        <v>1</v>
      </c>
      <c r="D36" s="11">
        <f>B36*C36*12</f>
        <v>144</v>
      </c>
      <c r="E36" s="162"/>
      <c r="F36" s="19"/>
      <c r="G36" s="19"/>
      <c r="H36" s="163"/>
      <c r="I36" s="162"/>
      <c r="J36" s="162"/>
      <c r="K36" s="162"/>
      <c r="L36" s="164"/>
      <c r="M36" s="162"/>
      <c r="N36" s="162"/>
      <c r="O36" s="4"/>
      <c r="P36" s="5"/>
      <c r="Q36" s="5"/>
      <c r="R36" s="9"/>
      <c r="T36" s="5"/>
      <c r="U36" s="5"/>
      <c r="V36" s="9"/>
      <c r="X36" s="47"/>
      <c r="Y36" s="47"/>
    </row>
    <row r="37" spans="1:26">
      <c r="A37" s="10" t="s">
        <v>30</v>
      </c>
      <c r="B37" s="11">
        <v>15</v>
      </c>
      <c r="C37" s="12">
        <f>[12]References!$B$11</f>
        <v>1</v>
      </c>
      <c r="D37" s="11">
        <f>B37*C37*12</f>
        <v>180</v>
      </c>
      <c r="E37" s="162"/>
      <c r="F37" s="19"/>
      <c r="G37" s="19"/>
      <c r="H37" s="163"/>
      <c r="I37" s="162"/>
      <c r="J37" s="162"/>
      <c r="K37" s="162"/>
      <c r="L37" s="164"/>
      <c r="M37" s="162"/>
      <c r="N37" s="162"/>
      <c r="O37" s="4"/>
      <c r="P37" s="5"/>
      <c r="Q37" s="5"/>
      <c r="R37" s="9"/>
      <c r="T37" s="5"/>
      <c r="U37" s="5"/>
      <c r="V37" s="9"/>
      <c r="X37" s="47"/>
      <c r="Y37" s="47"/>
    </row>
    <row r="38" spans="1:26">
      <c r="A38" s="10" t="s">
        <v>31</v>
      </c>
      <c r="B38" s="11">
        <v>6</v>
      </c>
      <c r="C38" s="12">
        <f>[12]References!$B$11</f>
        <v>1</v>
      </c>
      <c r="D38" s="11">
        <f>B38*C38*12</f>
        <v>72</v>
      </c>
      <c r="E38" s="162"/>
      <c r="F38" s="19"/>
      <c r="G38" s="19"/>
      <c r="H38" s="163"/>
      <c r="I38" s="162"/>
      <c r="J38" s="162"/>
      <c r="K38" s="162"/>
      <c r="L38" s="164"/>
      <c r="M38" s="162"/>
      <c r="N38" s="162"/>
      <c r="O38" s="4"/>
      <c r="P38" s="5"/>
      <c r="Q38" s="5"/>
      <c r="R38" s="9"/>
      <c r="T38" s="5"/>
      <c r="U38" s="5"/>
      <c r="V38" s="9"/>
      <c r="X38" s="47"/>
      <c r="Y38" s="47"/>
    </row>
    <row r="39" spans="1:26">
      <c r="A39" s="10"/>
      <c r="B39" s="11"/>
      <c r="C39" s="11"/>
      <c r="D39" s="11"/>
      <c r="E39" s="19"/>
      <c r="F39" s="19"/>
      <c r="G39" s="19"/>
      <c r="H39" s="19"/>
      <c r="I39" s="162"/>
      <c r="J39" s="162"/>
      <c r="K39" s="19"/>
      <c r="L39" s="164"/>
      <c r="M39" s="19"/>
      <c r="N39" s="19"/>
      <c r="O39" s="4"/>
      <c r="P39" s="5"/>
      <c r="Q39" s="5"/>
      <c r="R39" s="9"/>
      <c r="T39" s="5"/>
      <c r="U39" s="5"/>
      <c r="V39" s="9"/>
      <c r="X39" s="47"/>
      <c r="Y39" s="47"/>
    </row>
    <row r="40" spans="1:26">
      <c r="A40" s="10" t="s">
        <v>32</v>
      </c>
      <c r="B40" s="11">
        <v>0</v>
      </c>
      <c r="C40" s="12">
        <f>[12]References!$B$11</f>
        <v>1</v>
      </c>
      <c r="D40" s="11">
        <f>B40*C40*12</f>
        <v>0</v>
      </c>
      <c r="E40" s="19"/>
      <c r="F40" s="19"/>
      <c r="G40" s="19"/>
      <c r="H40" s="19"/>
      <c r="I40" s="162"/>
      <c r="J40" s="162"/>
      <c r="K40" s="19"/>
      <c r="L40" s="164"/>
      <c r="M40" s="19"/>
      <c r="N40" s="162"/>
      <c r="O40" s="4"/>
      <c r="P40" s="5"/>
      <c r="Q40" s="5"/>
      <c r="R40" s="9"/>
      <c r="T40" s="5"/>
      <c r="U40" s="5"/>
      <c r="V40" s="9"/>
      <c r="X40" s="47"/>
      <c r="Y40" s="47"/>
    </row>
    <row r="41" spans="1:26">
      <c r="A41" s="13" t="s">
        <v>33</v>
      </c>
      <c r="B41" s="11">
        <v>1019</v>
      </c>
      <c r="C41" s="12">
        <f>[12]References!$B$11</f>
        <v>1</v>
      </c>
      <c r="D41" s="11">
        <f>B41*C41*12</f>
        <v>12228</v>
      </c>
      <c r="E41" s="162"/>
      <c r="F41" s="19"/>
      <c r="G41" s="19"/>
      <c r="H41" s="163"/>
      <c r="I41" s="162"/>
      <c r="J41" s="162"/>
      <c r="K41" s="162"/>
      <c r="L41" s="164"/>
      <c r="M41" s="162"/>
      <c r="N41" s="162"/>
      <c r="O41" s="4"/>
      <c r="P41" s="5"/>
      <c r="Q41" s="5"/>
      <c r="R41" s="9"/>
      <c r="T41" s="5"/>
      <c r="U41" s="5"/>
      <c r="V41" s="9"/>
      <c r="X41" s="47"/>
      <c r="Y41" s="47"/>
    </row>
    <row r="42" spans="1:26">
      <c r="A42" s="10" t="s">
        <v>34</v>
      </c>
      <c r="B42" s="11">
        <v>96</v>
      </c>
      <c r="C42" s="12">
        <f>[12]References!$B$11</f>
        <v>1</v>
      </c>
      <c r="D42" s="11">
        <f>B42*C42*12</f>
        <v>1152</v>
      </c>
      <c r="E42" s="162"/>
      <c r="F42" s="19"/>
      <c r="G42" s="19"/>
      <c r="H42" s="163"/>
      <c r="I42" s="162"/>
      <c r="J42" s="162"/>
      <c r="K42" s="162"/>
      <c r="L42" s="164"/>
      <c r="M42" s="162"/>
      <c r="N42" s="162"/>
      <c r="O42" s="4"/>
      <c r="P42" s="5"/>
      <c r="Q42" s="5"/>
      <c r="R42" s="9"/>
      <c r="T42" s="5"/>
      <c r="U42" s="5"/>
      <c r="V42" s="9"/>
      <c r="X42" s="47"/>
      <c r="Y42" s="47"/>
    </row>
    <row r="43" spans="1:26" s="1" customFormat="1">
      <c r="A43" s="14" t="s">
        <v>35</v>
      </c>
      <c r="B43" s="15">
        <f>SUM(B7:B42)</f>
        <v>8873</v>
      </c>
      <c r="C43" s="15"/>
      <c r="D43" s="15">
        <f>SUM(D7:D42)</f>
        <v>329734</v>
      </c>
      <c r="E43" s="165"/>
      <c r="F43" s="166"/>
      <c r="G43" s="166"/>
      <c r="H43" s="166"/>
      <c r="I43" s="165"/>
      <c r="J43" s="165"/>
      <c r="K43" s="166"/>
      <c r="L43" s="166"/>
      <c r="M43" s="166"/>
      <c r="N43" s="165"/>
      <c r="O43" s="16"/>
      <c r="P43" s="17"/>
      <c r="Q43" s="17"/>
      <c r="R43" s="18"/>
      <c r="T43" s="17"/>
      <c r="U43" s="17"/>
      <c r="V43" s="18"/>
      <c r="X43" s="48"/>
      <c r="Y43" s="48"/>
      <c r="Z43" s="48"/>
    </row>
    <row r="44" spans="1:26">
      <c r="A44" s="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4"/>
      <c r="P44" s="5"/>
      <c r="Q44" s="5"/>
      <c r="R44" s="9"/>
      <c r="T44" s="5"/>
      <c r="U44" s="5"/>
      <c r="V44" s="9"/>
    </row>
    <row r="45" spans="1:26" ht="12" thickBot="1">
      <c r="A45" s="8" t="s">
        <v>37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0"/>
      <c r="M45" s="19"/>
      <c r="N45" s="19"/>
      <c r="O45" s="5"/>
    </row>
    <row r="46" spans="1:26" ht="12" thickTop="1">
      <c r="A46" s="34" t="s">
        <v>38</v>
      </c>
      <c r="B46" s="35">
        <v>141</v>
      </c>
      <c r="C46" s="36">
        <f>[12]References!$B$11</f>
        <v>1</v>
      </c>
      <c r="D46" s="35">
        <f>B46*C46*12</f>
        <v>1692</v>
      </c>
      <c r="E46" s="162"/>
      <c r="F46" s="19"/>
      <c r="G46" s="19"/>
      <c r="H46" s="163"/>
      <c r="I46" s="167"/>
      <c r="J46" s="167"/>
      <c r="K46" s="162"/>
      <c r="L46" s="164"/>
      <c r="M46" s="162"/>
      <c r="N46" s="162"/>
      <c r="O46" s="4"/>
      <c r="P46" s="5"/>
      <c r="Q46" s="5"/>
      <c r="R46" s="9"/>
      <c r="T46" s="5"/>
      <c r="U46" s="5"/>
      <c r="V46" s="9"/>
      <c r="X46" s="47"/>
      <c r="Y46" s="47"/>
    </row>
    <row r="47" spans="1:26">
      <c r="A47" s="34"/>
      <c r="B47" s="35"/>
      <c r="C47" s="35"/>
      <c r="D47" s="35"/>
      <c r="E47" s="19"/>
      <c r="F47" s="19"/>
      <c r="G47" s="19"/>
      <c r="H47" s="19"/>
      <c r="I47" s="19"/>
      <c r="J47" s="19"/>
      <c r="K47" s="19"/>
      <c r="L47" s="164"/>
      <c r="M47" s="168"/>
      <c r="N47" s="168"/>
      <c r="O47" s="4"/>
      <c r="P47" s="21"/>
      <c r="Q47" s="21"/>
      <c r="R47" s="22"/>
      <c r="X47" s="47"/>
      <c r="Y47" s="47"/>
    </row>
    <row r="48" spans="1:26">
      <c r="A48" s="34" t="s">
        <v>39</v>
      </c>
      <c r="B48" s="35">
        <v>1</v>
      </c>
      <c r="C48" s="36">
        <f>[12]References!$B$9</f>
        <v>4.333333333333333</v>
      </c>
      <c r="D48" s="35">
        <f>B48*C48*12</f>
        <v>52</v>
      </c>
      <c r="E48" s="162"/>
      <c r="F48" s="19"/>
      <c r="G48" s="19"/>
      <c r="H48" s="163"/>
      <c r="I48" s="167"/>
      <c r="J48" s="167"/>
      <c r="K48" s="162"/>
      <c r="L48" s="164"/>
      <c r="M48" s="162"/>
      <c r="N48" s="169"/>
      <c r="O48" s="4"/>
      <c r="P48" s="5"/>
      <c r="Q48" s="5"/>
      <c r="R48" s="9"/>
      <c r="T48" s="5"/>
      <c r="U48" s="5"/>
      <c r="V48" s="9"/>
      <c r="X48" s="47"/>
      <c r="Y48" s="47"/>
    </row>
    <row r="49" spans="1:26">
      <c r="A49" s="34" t="s">
        <v>40</v>
      </c>
      <c r="B49" s="35">
        <v>75</v>
      </c>
      <c r="C49" s="36">
        <f>[12]References!$B$9</f>
        <v>4.333333333333333</v>
      </c>
      <c r="D49" s="35">
        <f>B49*C49*12</f>
        <v>3900</v>
      </c>
      <c r="E49" s="162"/>
      <c r="F49" s="19"/>
      <c r="G49" s="19"/>
      <c r="H49" s="163"/>
      <c r="I49" s="167"/>
      <c r="J49" s="167"/>
      <c r="K49" s="162"/>
      <c r="L49" s="164"/>
      <c r="M49" s="162"/>
      <c r="N49" s="169"/>
      <c r="O49" s="4"/>
      <c r="P49" s="5"/>
      <c r="Q49" s="5"/>
      <c r="R49" s="9"/>
      <c r="T49" s="5"/>
      <c r="U49" s="5"/>
      <c r="V49" s="9"/>
      <c r="X49" s="47"/>
      <c r="Y49" s="47"/>
    </row>
    <row r="50" spans="1:26">
      <c r="A50" s="34" t="s">
        <v>41</v>
      </c>
      <c r="B50" s="35">
        <f>223+8</f>
        <v>231</v>
      </c>
      <c r="C50" s="36">
        <f>[12]References!$B$9</f>
        <v>4.333333333333333</v>
      </c>
      <c r="D50" s="35">
        <f>B50*C50*12</f>
        <v>12011.999999999998</v>
      </c>
      <c r="E50" s="162"/>
      <c r="F50" s="19"/>
      <c r="G50" s="19"/>
      <c r="H50" s="163"/>
      <c r="I50" s="167"/>
      <c r="J50" s="167"/>
      <c r="K50" s="162"/>
      <c r="L50" s="164"/>
      <c r="M50" s="162"/>
      <c r="N50" s="169"/>
      <c r="O50" s="4"/>
      <c r="P50" s="5"/>
      <c r="Q50" s="5"/>
      <c r="R50" s="9"/>
      <c r="T50" s="5"/>
      <c r="U50" s="5"/>
      <c r="V50" s="9"/>
      <c r="X50" s="47"/>
      <c r="Y50" s="47"/>
    </row>
    <row r="51" spans="1:26">
      <c r="A51" s="34" t="s">
        <v>1</v>
      </c>
      <c r="B51" s="35"/>
      <c r="C51" s="35"/>
      <c r="D51" s="35"/>
      <c r="E51" s="19"/>
      <c r="F51" s="19"/>
      <c r="G51" s="19"/>
      <c r="H51" s="19"/>
      <c r="I51" s="19"/>
      <c r="J51" s="19"/>
      <c r="K51" s="19"/>
      <c r="L51" s="164"/>
      <c r="M51" s="168"/>
      <c r="N51" s="168"/>
      <c r="O51" s="4"/>
      <c r="P51" s="5"/>
      <c r="Q51" s="5"/>
      <c r="R51" s="9"/>
      <c r="T51" s="5"/>
      <c r="U51" s="5"/>
      <c r="V51" s="9"/>
      <c r="X51" s="47"/>
      <c r="Y51" s="47"/>
    </row>
    <row r="52" spans="1:26">
      <c r="A52" s="34" t="s">
        <v>42</v>
      </c>
      <c r="B52" s="35">
        <v>7</v>
      </c>
      <c r="C52" s="36">
        <f>[12]References!$B$10</f>
        <v>2.1666666666666665</v>
      </c>
      <c r="D52" s="35">
        <f>B52*C52*12</f>
        <v>182</v>
      </c>
      <c r="E52" s="162"/>
      <c r="F52" s="19"/>
      <c r="G52" s="19"/>
      <c r="H52" s="163"/>
      <c r="I52" s="167"/>
      <c r="J52" s="167"/>
      <c r="K52" s="162"/>
      <c r="L52" s="164"/>
      <c r="M52" s="162"/>
      <c r="N52" s="169"/>
      <c r="O52" s="4"/>
      <c r="P52" s="5"/>
      <c r="Q52" s="5"/>
      <c r="R52" s="9"/>
      <c r="T52" s="5"/>
      <c r="U52" s="5"/>
      <c r="V52" s="9"/>
      <c r="X52" s="47"/>
      <c r="Y52" s="47"/>
    </row>
    <row r="53" spans="1:26">
      <c r="A53" s="34" t="s">
        <v>43</v>
      </c>
      <c r="B53" s="35">
        <v>181</v>
      </c>
      <c r="C53" s="36">
        <f>[12]References!$B$10</f>
        <v>2.1666666666666665</v>
      </c>
      <c r="D53" s="35">
        <f>B53*C53*12</f>
        <v>4706</v>
      </c>
      <c r="E53" s="162"/>
      <c r="F53" s="19"/>
      <c r="G53" s="19"/>
      <c r="H53" s="163"/>
      <c r="I53" s="167"/>
      <c r="J53" s="167"/>
      <c r="K53" s="162"/>
      <c r="L53" s="164"/>
      <c r="M53" s="162"/>
      <c r="N53" s="169"/>
      <c r="O53" s="4"/>
      <c r="P53" s="5"/>
      <c r="Q53" s="5"/>
      <c r="R53" s="9"/>
      <c r="T53" s="5"/>
      <c r="U53" s="5"/>
      <c r="V53" s="9"/>
      <c r="X53" s="47"/>
      <c r="Y53" s="47"/>
    </row>
    <row r="54" spans="1:26">
      <c r="A54" s="34" t="s">
        <v>44</v>
      </c>
      <c r="B54" s="35">
        <v>109</v>
      </c>
      <c r="C54" s="36">
        <f>[12]References!$B$10</f>
        <v>2.1666666666666665</v>
      </c>
      <c r="D54" s="35">
        <f>B54*C54*12</f>
        <v>2834</v>
      </c>
      <c r="E54" s="162"/>
      <c r="F54" s="19"/>
      <c r="G54" s="19"/>
      <c r="H54" s="163"/>
      <c r="I54" s="167"/>
      <c r="J54" s="167"/>
      <c r="K54" s="162"/>
      <c r="L54" s="164"/>
      <c r="M54" s="162"/>
      <c r="N54" s="169"/>
      <c r="O54" s="4"/>
      <c r="P54" s="5"/>
      <c r="Q54" s="5"/>
      <c r="R54" s="9"/>
      <c r="T54" s="5"/>
      <c r="U54" s="5"/>
      <c r="V54" s="9"/>
      <c r="X54" s="47"/>
      <c r="Y54" s="47"/>
    </row>
    <row r="55" spans="1:26">
      <c r="A55" s="34" t="s">
        <v>1</v>
      </c>
      <c r="B55" s="35"/>
      <c r="C55" s="35"/>
      <c r="D55" s="35"/>
      <c r="E55" s="19"/>
      <c r="F55" s="19"/>
      <c r="G55" s="19"/>
      <c r="H55" s="19"/>
      <c r="I55" s="19"/>
      <c r="J55" s="19"/>
      <c r="K55" s="19"/>
      <c r="L55" s="164"/>
      <c r="M55" s="168"/>
      <c r="N55" s="168"/>
      <c r="O55" s="4"/>
      <c r="P55" s="5"/>
      <c r="Q55" s="5"/>
      <c r="R55" s="9"/>
      <c r="T55" s="5"/>
      <c r="U55" s="5"/>
      <c r="V55" s="9"/>
    </row>
    <row r="56" spans="1:26" s="1" customFormat="1">
      <c r="A56" s="37" t="s">
        <v>35</v>
      </c>
      <c r="B56" s="38">
        <f>SUM(B46:B55)</f>
        <v>745</v>
      </c>
      <c r="C56" s="38"/>
      <c r="D56" s="38">
        <f>SUM(D46:D55)</f>
        <v>25378</v>
      </c>
      <c r="E56" s="41"/>
      <c r="F56" s="40"/>
      <c r="G56" s="40"/>
      <c r="H56" s="40"/>
      <c r="I56" s="41"/>
      <c r="J56" s="41"/>
      <c r="K56" s="40"/>
      <c r="L56" s="42"/>
      <c r="M56" s="41"/>
      <c r="N56" s="41"/>
      <c r="O56" s="40"/>
      <c r="P56" s="40"/>
      <c r="Q56" s="40"/>
      <c r="R56" s="170"/>
      <c r="S56" s="43"/>
      <c r="T56" s="40"/>
      <c r="U56" s="40"/>
      <c r="V56" s="170"/>
      <c r="W56" s="43"/>
      <c r="X56" s="171"/>
      <c r="Y56" s="171"/>
      <c r="Z56" s="171"/>
    </row>
    <row r="57" spans="1:26" s="1" customFormat="1">
      <c r="A57" s="39" t="s">
        <v>168</v>
      </c>
      <c r="B57" s="40"/>
      <c r="C57" s="40"/>
      <c r="D57" s="40"/>
      <c r="E57" s="41"/>
      <c r="F57" s="40"/>
      <c r="G57" s="40"/>
      <c r="H57" s="40"/>
      <c r="I57" s="41"/>
      <c r="J57" s="41"/>
      <c r="K57" s="40"/>
      <c r="L57" s="42"/>
      <c r="M57" s="41"/>
      <c r="N57" s="41"/>
      <c r="O57" s="40"/>
      <c r="P57" s="40"/>
      <c r="Q57" s="40"/>
      <c r="R57" s="170"/>
      <c r="S57" s="43"/>
      <c r="T57" s="40"/>
      <c r="U57" s="40"/>
      <c r="V57" s="170"/>
      <c r="W57" s="43"/>
      <c r="X57" s="171"/>
      <c r="Y57" s="171"/>
      <c r="Z57" s="171"/>
    </row>
    <row r="58" spans="1:26" s="1" customFormat="1">
      <c r="A58" s="39"/>
      <c r="B58" s="40"/>
      <c r="C58" s="40"/>
      <c r="D58" s="40"/>
      <c r="E58" s="41"/>
      <c r="F58" s="40"/>
      <c r="G58" s="40"/>
      <c r="H58" s="40"/>
      <c r="I58" s="41"/>
      <c r="J58" s="41"/>
      <c r="K58" s="40"/>
      <c r="L58" s="42"/>
      <c r="M58" s="41"/>
      <c r="N58" s="41"/>
      <c r="O58" s="40"/>
      <c r="P58" s="40"/>
      <c r="Q58" s="40"/>
      <c r="R58" s="170"/>
      <c r="S58" s="43"/>
      <c r="T58" s="40"/>
      <c r="U58" s="40"/>
      <c r="V58" s="170"/>
      <c r="W58" s="43"/>
      <c r="X58" s="43"/>
      <c r="Y58" s="43"/>
      <c r="Z58" s="43"/>
    </row>
    <row r="59" spans="1:26" s="1" customFormat="1" ht="12" thickBot="1">
      <c r="A59" s="8" t="s">
        <v>170</v>
      </c>
      <c r="B59" s="40"/>
      <c r="C59" s="40"/>
      <c r="D59" s="40"/>
      <c r="E59" s="41"/>
      <c r="F59" s="40"/>
      <c r="G59" s="40"/>
      <c r="H59" s="40"/>
      <c r="I59" s="41"/>
      <c r="J59" s="41"/>
      <c r="K59" s="40"/>
      <c r="L59" s="42"/>
      <c r="M59" s="41"/>
      <c r="N59" s="41"/>
      <c r="O59" s="40"/>
      <c r="P59" s="40"/>
      <c r="Q59" s="40"/>
      <c r="R59" s="170"/>
      <c r="S59" s="43"/>
      <c r="T59" s="40"/>
      <c r="U59" s="40"/>
      <c r="V59" s="170"/>
      <c r="W59" s="43"/>
      <c r="X59" s="43"/>
      <c r="Y59" s="43"/>
      <c r="Z59" s="43"/>
    </row>
    <row r="60" spans="1:26" s="1" customFormat="1" ht="12" thickTop="1">
      <c r="A60" s="34" t="s">
        <v>171</v>
      </c>
      <c r="B60" s="35">
        <v>0</v>
      </c>
      <c r="C60" s="36">
        <v>1</v>
      </c>
      <c r="D60" s="35">
        <f>C60*12</f>
        <v>12</v>
      </c>
      <c r="E60" s="169"/>
      <c r="F60" s="168"/>
      <c r="G60" s="168"/>
      <c r="H60" s="172"/>
      <c r="I60" s="173"/>
      <c r="J60" s="173"/>
      <c r="K60" s="169"/>
      <c r="L60" s="174"/>
      <c r="M60" s="169"/>
      <c r="N60" s="41"/>
      <c r="O60" s="40"/>
      <c r="P60" s="40"/>
      <c r="Q60" s="40"/>
      <c r="R60" s="170"/>
      <c r="S60" s="43"/>
      <c r="T60" s="40"/>
      <c r="U60" s="40"/>
      <c r="V60" s="170"/>
      <c r="W60" s="43"/>
      <c r="X60" s="43"/>
      <c r="Y60" s="43"/>
      <c r="Z60" s="43"/>
    </row>
    <row r="61" spans="1:26" s="1" customFormat="1">
      <c r="A61" s="43"/>
      <c r="B61" s="40"/>
      <c r="C61" s="40"/>
      <c r="D61" s="40"/>
      <c r="E61" s="41"/>
      <c r="F61" s="40"/>
      <c r="G61" s="40"/>
      <c r="H61" s="40"/>
      <c r="I61" s="41"/>
      <c r="J61" s="41"/>
      <c r="K61" s="40"/>
      <c r="L61" s="42"/>
      <c r="M61" s="41"/>
      <c r="N61" s="41"/>
      <c r="O61" s="40"/>
      <c r="P61" s="40"/>
      <c r="Q61" s="40"/>
      <c r="R61" s="170"/>
      <c r="S61" s="43"/>
      <c r="T61" s="40"/>
      <c r="U61" s="40"/>
      <c r="V61" s="170"/>
      <c r="W61" s="43"/>
      <c r="X61" s="43"/>
      <c r="Y61" s="43"/>
      <c r="Z61" s="43"/>
    </row>
    <row r="62" spans="1:26" s="1" customFormat="1">
      <c r="A62" s="34" t="s">
        <v>147</v>
      </c>
      <c r="B62" s="35">
        <v>0</v>
      </c>
      <c r="C62" s="36">
        <v>1</v>
      </c>
      <c r="D62" s="35">
        <f t="shared" ref="D62:D68" si="2">C62*12</f>
        <v>12</v>
      </c>
      <c r="E62" s="169"/>
      <c r="F62" s="168"/>
      <c r="G62" s="168"/>
      <c r="H62" s="172"/>
      <c r="I62" s="173"/>
      <c r="J62" s="173"/>
      <c r="K62" s="169"/>
      <c r="L62" s="174"/>
      <c r="M62" s="169"/>
      <c r="N62" s="41"/>
      <c r="O62" s="40"/>
      <c r="P62" s="40"/>
      <c r="Q62" s="40"/>
      <c r="R62" s="170"/>
      <c r="S62" s="43"/>
      <c r="T62" s="40"/>
      <c r="U62" s="40"/>
      <c r="V62" s="170"/>
      <c r="W62" s="43"/>
      <c r="X62" s="43"/>
      <c r="Y62" s="43"/>
      <c r="Z62" s="43"/>
    </row>
    <row r="63" spans="1:26" s="1" customFormat="1">
      <c r="A63" s="34" t="s">
        <v>172</v>
      </c>
      <c r="B63" s="35">
        <v>0</v>
      </c>
      <c r="C63" s="36">
        <v>1</v>
      </c>
      <c r="D63" s="35">
        <f t="shared" si="2"/>
        <v>12</v>
      </c>
      <c r="E63" s="169"/>
      <c r="F63" s="168"/>
      <c r="G63" s="168"/>
      <c r="H63" s="172"/>
      <c r="I63" s="173"/>
      <c r="J63" s="173"/>
      <c r="K63" s="169"/>
      <c r="L63" s="174"/>
      <c r="M63" s="169"/>
      <c r="N63" s="41"/>
      <c r="O63" s="40"/>
      <c r="P63" s="40"/>
      <c r="Q63" s="40"/>
      <c r="R63" s="170"/>
      <c r="S63" s="43"/>
      <c r="T63" s="40"/>
      <c r="U63" s="40"/>
      <c r="V63" s="170"/>
      <c r="W63" s="43"/>
      <c r="X63" s="43"/>
      <c r="Y63" s="43"/>
      <c r="Z63" s="43"/>
    </row>
    <row r="64" spans="1:26" s="1" customFormat="1">
      <c r="A64" s="39"/>
      <c r="B64" s="40"/>
      <c r="C64" s="40"/>
      <c r="D64" s="40"/>
      <c r="E64" s="41"/>
      <c r="F64" s="40"/>
      <c r="G64" s="40"/>
      <c r="H64" s="40"/>
      <c r="I64" s="41"/>
      <c r="J64" s="41"/>
      <c r="K64" s="40"/>
      <c r="L64" s="42"/>
      <c r="M64" s="41"/>
      <c r="N64" s="41"/>
      <c r="O64" s="40"/>
      <c r="P64" s="40"/>
      <c r="Q64" s="40"/>
      <c r="R64" s="170"/>
      <c r="S64" s="43"/>
      <c r="T64" s="40"/>
      <c r="U64" s="40"/>
      <c r="V64" s="170"/>
      <c r="W64" s="43"/>
      <c r="X64" s="43"/>
      <c r="Y64" s="43"/>
      <c r="Z64" s="43"/>
    </row>
    <row r="65" spans="1:26" s="1" customFormat="1">
      <c r="A65" s="34" t="s">
        <v>150</v>
      </c>
      <c r="B65" s="35">
        <v>0</v>
      </c>
      <c r="C65" s="36">
        <v>1</v>
      </c>
      <c r="D65" s="35">
        <f t="shared" si="2"/>
        <v>12</v>
      </c>
      <c r="E65" s="169"/>
      <c r="F65" s="168"/>
      <c r="G65" s="168"/>
      <c r="H65" s="172"/>
      <c r="I65" s="173"/>
      <c r="J65" s="173"/>
      <c r="K65" s="169"/>
      <c r="L65" s="174"/>
      <c r="M65" s="169"/>
      <c r="N65" s="41"/>
      <c r="O65" s="40"/>
      <c r="P65" s="40"/>
      <c r="Q65" s="40"/>
      <c r="R65" s="170"/>
      <c r="S65" s="43"/>
      <c r="T65" s="40"/>
      <c r="U65" s="40"/>
      <c r="V65" s="170"/>
      <c r="W65" s="43"/>
      <c r="X65" s="43"/>
      <c r="Y65" s="43"/>
      <c r="Z65" s="43"/>
    </row>
    <row r="66" spans="1:26" s="1" customFormat="1">
      <c r="A66" s="34" t="s">
        <v>151</v>
      </c>
      <c r="B66" s="35">
        <v>0</v>
      </c>
      <c r="C66" s="36">
        <v>4.33</v>
      </c>
      <c r="D66" s="35">
        <f t="shared" si="2"/>
        <v>51.96</v>
      </c>
      <c r="E66" s="169"/>
      <c r="F66" s="168"/>
      <c r="G66" s="168"/>
      <c r="H66" s="172"/>
      <c r="I66" s="173"/>
      <c r="J66" s="173"/>
      <c r="K66" s="169"/>
      <c r="L66" s="174"/>
      <c r="M66" s="169"/>
      <c r="N66" s="41"/>
      <c r="O66" s="40"/>
      <c r="P66" s="40"/>
      <c r="Q66" s="40"/>
      <c r="R66" s="170"/>
      <c r="S66" s="43"/>
      <c r="T66" s="40"/>
      <c r="U66" s="40"/>
      <c r="V66" s="170"/>
      <c r="W66" s="43"/>
      <c r="X66" s="43"/>
      <c r="Y66" s="43"/>
      <c r="Z66" s="43"/>
    </row>
    <row r="67" spans="1:26" s="1" customFormat="1">
      <c r="A67" s="39"/>
      <c r="B67" s="40"/>
      <c r="C67" s="40"/>
      <c r="D67" s="40"/>
      <c r="E67" s="41"/>
      <c r="F67" s="40"/>
      <c r="G67" s="40"/>
      <c r="H67" s="40"/>
      <c r="I67" s="41"/>
      <c r="J67" s="41"/>
      <c r="K67" s="40"/>
      <c r="L67" s="42"/>
      <c r="M67" s="41"/>
      <c r="N67" s="43"/>
      <c r="O67" s="40"/>
      <c r="P67" s="40"/>
      <c r="Q67" s="40"/>
      <c r="R67" s="170"/>
      <c r="S67" s="43"/>
      <c r="T67" s="40"/>
      <c r="U67" s="40"/>
      <c r="V67" s="170"/>
      <c r="W67" s="43"/>
      <c r="X67" s="43"/>
      <c r="Y67" s="43"/>
      <c r="Z67" s="43"/>
    </row>
    <row r="68" spans="1:26">
      <c r="A68" s="34" t="s">
        <v>45</v>
      </c>
      <c r="B68" s="35">
        <v>0</v>
      </c>
      <c r="C68" s="36">
        <f>[12]References!$B$11</f>
        <v>1</v>
      </c>
      <c r="D68" s="35">
        <f t="shared" si="2"/>
        <v>12</v>
      </c>
      <c r="E68" s="168"/>
      <c r="F68" s="168"/>
      <c r="G68" s="168"/>
      <c r="H68" s="172"/>
      <c r="I68" s="173"/>
      <c r="J68" s="173"/>
      <c r="K68" s="169"/>
      <c r="L68" s="174"/>
      <c r="M68" s="169"/>
      <c r="N68" s="41"/>
      <c r="O68" s="175"/>
      <c r="P68" s="176"/>
      <c r="Q68" s="176"/>
      <c r="R68" s="177"/>
      <c r="S68" s="178"/>
      <c r="T68" s="176"/>
      <c r="U68" s="176"/>
      <c r="V68" s="177"/>
      <c r="W68" s="178"/>
      <c r="X68" s="178"/>
      <c r="Y68" s="178"/>
      <c r="Z68" s="178"/>
    </row>
    <row r="69" spans="1:26" s="1" customFormat="1">
      <c r="A69" s="39"/>
      <c r="B69" s="40"/>
      <c r="C69" s="40"/>
      <c r="D69" s="40"/>
      <c r="E69" s="41"/>
      <c r="F69" s="40"/>
      <c r="G69" s="40"/>
      <c r="H69" s="40"/>
      <c r="I69" s="41"/>
      <c r="J69" s="41"/>
      <c r="K69" s="40"/>
      <c r="L69" s="42"/>
      <c r="M69" s="41"/>
      <c r="N69" s="41"/>
      <c r="O69" s="40"/>
      <c r="P69" s="40"/>
      <c r="Q69" s="40"/>
      <c r="R69" s="170"/>
      <c r="S69" s="43"/>
      <c r="T69" s="40"/>
      <c r="U69" s="40"/>
      <c r="V69" s="170"/>
      <c r="W69" s="43"/>
      <c r="X69" s="43"/>
      <c r="Y69" s="43"/>
      <c r="Z69" s="43"/>
    </row>
    <row r="70" spans="1:26" s="1" customFormat="1">
      <c r="A70" s="39" t="s">
        <v>174</v>
      </c>
      <c r="B70" s="40"/>
      <c r="C70" s="40"/>
      <c r="D70" s="40"/>
      <c r="E70" s="41"/>
      <c r="F70" s="40"/>
      <c r="G70" s="40"/>
      <c r="H70" s="40"/>
      <c r="I70" s="41"/>
      <c r="J70" s="41"/>
      <c r="K70" s="40"/>
      <c r="L70" s="42"/>
      <c r="M70" s="41"/>
      <c r="N70" s="41"/>
      <c r="O70" s="40"/>
      <c r="P70" s="40"/>
      <c r="Q70" s="40"/>
      <c r="R70" s="170"/>
      <c r="S70" s="43"/>
      <c r="T70" s="40"/>
      <c r="U70" s="40"/>
      <c r="V70" s="170"/>
      <c r="W70" s="43"/>
      <c r="X70" s="43"/>
      <c r="Y70" s="43"/>
      <c r="Z70" s="43"/>
    </row>
    <row r="71" spans="1:26" s="1" customFormat="1">
      <c r="A71" s="34" t="s">
        <v>115</v>
      </c>
      <c r="B71" s="35">
        <v>0</v>
      </c>
      <c r="C71" s="36">
        <v>1</v>
      </c>
      <c r="D71" s="35">
        <f>C71*12</f>
        <v>12</v>
      </c>
      <c r="E71" s="169"/>
      <c r="F71" s="168"/>
      <c r="G71" s="168"/>
      <c r="H71" s="172"/>
      <c r="I71" s="173"/>
      <c r="J71" s="173"/>
      <c r="K71" s="169"/>
      <c r="L71" s="174"/>
      <c r="M71" s="169"/>
      <c r="N71" s="41"/>
      <c r="O71" s="40"/>
      <c r="P71" s="40"/>
      <c r="Q71" s="40"/>
      <c r="R71" s="170"/>
      <c r="S71" s="43"/>
      <c r="T71" s="40"/>
      <c r="U71" s="40"/>
      <c r="V71" s="170"/>
      <c r="W71" s="43"/>
      <c r="X71" s="43"/>
      <c r="Y71" s="43"/>
      <c r="Z71" s="43"/>
    </row>
    <row r="72" spans="1:26" s="1" customFormat="1">
      <c r="A72" s="34" t="s">
        <v>162</v>
      </c>
      <c r="B72" s="35">
        <v>0</v>
      </c>
      <c r="C72" s="36">
        <v>1</v>
      </c>
      <c r="D72" s="35">
        <f t="shared" ref="D72:D83" si="3">C72*12</f>
        <v>12</v>
      </c>
      <c r="E72" s="169"/>
      <c r="F72" s="168"/>
      <c r="G72" s="168"/>
      <c r="H72" s="172"/>
      <c r="I72" s="173"/>
      <c r="J72" s="173"/>
      <c r="K72" s="169"/>
      <c r="L72" s="174"/>
      <c r="M72" s="169"/>
      <c r="N72" s="41"/>
      <c r="O72" s="40"/>
      <c r="P72" s="40"/>
      <c r="Q72" s="40"/>
      <c r="R72" s="170"/>
      <c r="S72" s="43"/>
      <c r="T72" s="40"/>
      <c r="U72" s="40"/>
      <c r="V72" s="170"/>
      <c r="W72" s="43"/>
      <c r="X72" s="43"/>
      <c r="Y72" s="43"/>
      <c r="Z72" s="43"/>
    </row>
    <row r="73" spans="1:26" s="1" customFormat="1">
      <c r="A73" s="34" t="s">
        <v>163</v>
      </c>
      <c r="B73" s="35">
        <v>0</v>
      </c>
      <c r="C73" s="36">
        <v>1</v>
      </c>
      <c r="D73" s="35">
        <f t="shared" si="3"/>
        <v>12</v>
      </c>
      <c r="E73" s="169"/>
      <c r="F73" s="168"/>
      <c r="G73" s="168"/>
      <c r="H73" s="172"/>
      <c r="I73" s="173"/>
      <c r="J73" s="173"/>
      <c r="K73" s="169"/>
      <c r="L73" s="174"/>
      <c r="M73" s="169"/>
      <c r="N73" s="41"/>
      <c r="O73" s="40"/>
      <c r="P73" s="40"/>
      <c r="Q73" s="40"/>
      <c r="R73" s="170"/>
      <c r="S73" s="43"/>
      <c r="T73" s="40"/>
      <c r="U73" s="40"/>
      <c r="V73" s="170"/>
      <c r="W73" s="43"/>
      <c r="X73" s="43"/>
      <c r="Y73" s="43"/>
      <c r="Z73" s="43"/>
    </row>
    <row r="74" spans="1:26" s="1" customFormat="1">
      <c r="A74" s="34" t="s">
        <v>164</v>
      </c>
      <c r="B74" s="35">
        <v>0</v>
      </c>
      <c r="C74" s="36">
        <v>1</v>
      </c>
      <c r="D74" s="35">
        <f t="shared" si="3"/>
        <v>12</v>
      </c>
      <c r="E74" s="169"/>
      <c r="F74" s="168"/>
      <c r="G74" s="168"/>
      <c r="H74" s="172"/>
      <c r="I74" s="173"/>
      <c r="J74" s="173"/>
      <c r="K74" s="169"/>
      <c r="L74" s="174"/>
      <c r="M74" s="169"/>
      <c r="N74" s="41"/>
      <c r="O74" s="40"/>
      <c r="P74" s="40"/>
      <c r="Q74" s="40"/>
      <c r="R74" s="170"/>
      <c r="S74" s="43"/>
      <c r="T74" s="40"/>
      <c r="U74" s="40"/>
      <c r="V74" s="170"/>
      <c r="W74" s="43"/>
      <c r="X74" s="43"/>
      <c r="Y74" s="43"/>
      <c r="Z74" s="43"/>
    </row>
    <row r="75" spans="1:26" s="1" customFormat="1">
      <c r="A75" s="34" t="s">
        <v>165</v>
      </c>
      <c r="B75" s="35">
        <v>0</v>
      </c>
      <c r="C75" s="36">
        <v>1</v>
      </c>
      <c r="D75" s="35">
        <f t="shared" si="3"/>
        <v>12</v>
      </c>
      <c r="E75" s="169"/>
      <c r="F75" s="168"/>
      <c r="G75" s="168"/>
      <c r="H75" s="172"/>
      <c r="I75" s="173"/>
      <c r="J75" s="173"/>
      <c r="K75" s="169"/>
      <c r="L75" s="174"/>
      <c r="M75" s="169"/>
      <c r="N75" s="41"/>
      <c r="O75" s="40"/>
      <c r="P75" s="40"/>
      <c r="Q75" s="40"/>
      <c r="R75" s="170"/>
      <c r="S75" s="43"/>
      <c r="T75" s="40"/>
      <c r="U75" s="40"/>
      <c r="V75" s="170"/>
      <c r="W75" s="43"/>
      <c r="X75" s="43"/>
      <c r="Y75" s="43"/>
      <c r="Z75" s="43"/>
    </row>
    <row r="76" spans="1:26" s="1" customFormat="1">
      <c r="A76" s="34" t="s">
        <v>175</v>
      </c>
      <c r="B76" s="35">
        <v>0</v>
      </c>
      <c r="C76" s="36">
        <v>1</v>
      </c>
      <c r="D76" s="35">
        <f t="shared" si="3"/>
        <v>12</v>
      </c>
      <c r="E76" s="169"/>
      <c r="F76" s="168"/>
      <c r="G76" s="168"/>
      <c r="H76" s="172"/>
      <c r="I76" s="173"/>
      <c r="J76" s="173"/>
      <c r="K76" s="169"/>
      <c r="L76" s="174"/>
      <c r="M76" s="169"/>
      <c r="N76" s="41"/>
      <c r="O76" s="40"/>
      <c r="P76" s="40"/>
      <c r="Q76" s="40"/>
      <c r="R76" s="170"/>
      <c r="S76" s="43"/>
      <c r="T76" s="40"/>
      <c r="U76" s="40"/>
      <c r="V76" s="170"/>
      <c r="W76" s="43"/>
      <c r="X76" s="43"/>
      <c r="Y76" s="43"/>
      <c r="Z76" s="43"/>
    </row>
    <row r="77" spans="1:26" s="1" customFormat="1">
      <c r="A77" s="34" t="s">
        <v>182</v>
      </c>
      <c r="B77" s="35">
        <v>0</v>
      </c>
      <c r="C77" s="36">
        <v>4.33</v>
      </c>
      <c r="D77" s="35">
        <f t="shared" si="3"/>
        <v>51.96</v>
      </c>
      <c r="E77" s="169"/>
      <c r="F77" s="168"/>
      <c r="G77" s="168"/>
      <c r="H77" s="172"/>
      <c r="I77" s="173"/>
      <c r="J77" s="173"/>
      <c r="K77" s="169"/>
      <c r="L77" s="174"/>
      <c r="M77" s="169"/>
      <c r="N77" s="41"/>
      <c r="O77" s="40"/>
      <c r="P77" s="40"/>
      <c r="Q77" s="40"/>
      <c r="R77" s="170"/>
      <c r="S77" s="43"/>
      <c r="T77" s="40"/>
      <c r="U77" s="40"/>
      <c r="V77" s="170"/>
      <c r="W77" s="43"/>
      <c r="X77" s="43"/>
      <c r="Y77" s="43"/>
      <c r="Z77" s="43"/>
    </row>
    <row r="78" spans="1:26" s="1" customFormat="1">
      <c r="A78" s="34" t="s">
        <v>176</v>
      </c>
      <c r="B78" s="35">
        <v>0</v>
      </c>
      <c r="C78" s="36">
        <v>1</v>
      </c>
      <c r="D78" s="35">
        <f t="shared" si="3"/>
        <v>12</v>
      </c>
      <c r="E78" s="169"/>
      <c r="F78" s="168"/>
      <c r="G78" s="168"/>
      <c r="H78" s="172"/>
      <c r="I78" s="173"/>
      <c r="J78" s="173"/>
      <c r="K78" s="169"/>
      <c r="L78" s="174"/>
      <c r="M78" s="169"/>
      <c r="N78" s="41"/>
      <c r="O78" s="40"/>
      <c r="P78" s="40"/>
      <c r="Q78" s="40"/>
      <c r="R78" s="170"/>
      <c r="S78" s="43"/>
      <c r="T78" s="40"/>
      <c r="U78" s="40"/>
      <c r="V78" s="170"/>
      <c r="W78" s="43"/>
      <c r="X78" s="43"/>
      <c r="Y78" s="43"/>
      <c r="Z78" s="43"/>
    </row>
    <row r="79" spans="1:26" s="1" customFormat="1">
      <c r="A79" s="34" t="s">
        <v>177</v>
      </c>
      <c r="B79" s="35">
        <v>0</v>
      </c>
      <c r="C79" s="36">
        <v>1</v>
      </c>
      <c r="D79" s="35">
        <f t="shared" si="3"/>
        <v>12</v>
      </c>
      <c r="E79" s="169"/>
      <c r="F79" s="168"/>
      <c r="G79" s="168"/>
      <c r="H79" s="172"/>
      <c r="I79" s="173"/>
      <c r="J79" s="173"/>
      <c r="K79" s="169"/>
      <c r="L79" s="174"/>
      <c r="M79" s="169"/>
      <c r="N79" s="41"/>
      <c r="O79" s="40"/>
      <c r="P79" s="40"/>
      <c r="Q79" s="40"/>
      <c r="R79" s="170"/>
      <c r="S79" s="43"/>
      <c r="T79" s="40"/>
      <c r="U79" s="40"/>
      <c r="V79" s="170"/>
      <c r="W79" s="43"/>
      <c r="X79" s="43"/>
      <c r="Y79" s="43"/>
      <c r="Z79" s="43"/>
    </row>
    <row r="80" spans="1:26" s="1" customFormat="1">
      <c r="A80" s="34" t="s">
        <v>178</v>
      </c>
      <c r="B80" s="35">
        <v>0</v>
      </c>
      <c r="C80" s="36">
        <v>4.33</v>
      </c>
      <c r="D80" s="35">
        <f t="shared" si="3"/>
        <v>51.96</v>
      </c>
      <c r="E80" s="169"/>
      <c r="F80" s="168"/>
      <c r="G80" s="168"/>
      <c r="H80" s="172"/>
      <c r="I80" s="173"/>
      <c r="J80" s="173"/>
      <c r="K80" s="169"/>
      <c r="L80" s="174"/>
      <c r="M80" s="169"/>
      <c r="N80" s="41"/>
      <c r="O80" s="40"/>
      <c r="P80" s="40"/>
      <c r="Q80" s="40"/>
      <c r="R80" s="170"/>
      <c r="S80" s="43"/>
      <c r="T80" s="40"/>
      <c r="U80" s="40"/>
      <c r="V80" s="170"/>
      <c r="W80" s="43"/>
      <c r="X80" s="43"/>
      <c r="Y80" s="43"/>
      <c r="Z80" s="43"/>
    </row>
    <row r="81" spans="1:26" s="1" customFormat="1">
      <c r="A81" s="34" t="s">
        <v>179</v>
      </c>
      <c r="B81" s="35">
        <v>0</v>
      </c>
      <c r="C81" s="36">
        <v>4.33</v>
      </c>
      <c r="D81" s="35">
        <f t="shared" si="3"/>
        <v>51.96</v>
      </c>
      <c r="E81" s="169"/>
      <c r="F81" s="168"/>
      <c r="G81" s="168"/>
      <c r="H81" s="172"/>
      <c r="I81" s="173"/>
      <c r="J81" s="173"/>
      <c r="K81" s="169"/>
      <c r="L81" s="174"/>
      <c r="M81" s="169"/>
      <c r="N81" s="41"/>
      <c r="O81" s="40"/>
      <c r="P81" s="40"/>
      <c r="Q81" s="40"/>
      <c r="R81" s="170"/>
      <c r="S81" s="43"/>
      <c r="T81" s="40"/>
      <c r="U81" s="40"/>
      <c r="V81" s="170"/>
      <c r="W81" s="43"/>
      <c r="X81" s="43"/>
      <c r="Y81" s="43"/>
      <c r="Z81" s="43"/>
    </row>
    <row r="82" spans="1:26" s="1" customFormat="1">
      <c r="A82" s="34" t="s">
        <v>180</v>
      </c>
      <c r="B82" s="35">
        <v>0</v>
      </c>
      <c r="C82" s="36">
        <v>4.33</v>
      </c>
      <c r="D82" s="35">
        <f t="shared" si="3"/>
        <v>51.96</v>
      </c>
      <c r="E82" s="169"/>
      <c r="F82" s="168"/>
      <c r="G82" s="168"/>
      <c r="H82" s="172"/>
      <c r="I82" s="173"/>
      <c r="J82" s="173"/>
      <c r="K82" s="169"/>
      <c r="L82" s="174"/>
      <c r="M82" s="169"/>
      <c r="N82" s="41"/>
      <c r="O82" s="40"/>
      <c r="P82" s="40"/>
      <c r="Q82" s="40"/>
      <c r="R82" s="170"/>
      <c r="S82" s="43"/>
      <c r="T82" s="40"/>
      <c r="U82" s="40"/>
      <c r="V82" s="170"/>
      <c r="W82" s="43"/>
      <c r="X82" s="43"/>
      <c r="Y82" s="43"/>
      <c r="Z82" s="43"/>
    </row>
    <row r="83" spans="1:26" s="1" customFormat="1">
      <c r="A83" s="34" t="s">
        <v>181</v>
      </c>
      <c r="B83" s="35">
        <v>0</v>
      </c>
      <c r="C83" s="36">
        <v>4.33</v>
      </c>
      <c r="D83" s="35">
        <f t="shared" si="3"/>
        <v>51.96</v>
      </c>
      <c r="E83" s="169"/>
      <c r="F83" s="168"/>
      <c r="G83" s="168"/>
      <c r="H83" s="172"/>
      <c r="I83" s="173"/>
      <c r="J83" s="173"/>
      <c r="K83" s="169"/>
      <c r="L83" s="174"/>
      <c r="M83" s="169"/>
      <c r="N83" s="41"/>
      <c r="O83" s="40"/>
      <c r="P83" s="40"/>
      <c r="Q83" s="40"/>
      <c r="R83" s="170"/>
      <c r="S83" s="43"/>
      <c r="T83" s="40"/>
      <c r="U83" s="40"/>
      <c r="V83" s="170"/>
      <c r="W83" s="43"/>
      <c r="X83" s="43"/>
      <c r="Y83" s="43"/>
      <c r="Z83" s="43"/>
    </row>
    <row r="84" spans="1:26" s="1" customFormat="1">
      <c r="A84" s="39"/>
      <c r="B84" s="40"/>
      <c r="C84" s="40"/>
      <c r="D84" s="40"/>
      <c r="E84" s="41"/>
      <c r="F84" s="40"/>
      <c r="G84" s="40"/>
      <c r="H84" s="40"/>
      <c r="I84" s="41"/>
      <c r="J84" s="41"/>
      <c r="K84" s="40"/>
      <c r="L84" s="42"/>
      <c r="M84" s="41"/>
      <c r="N84" s="41"/>
      <c r="O84" s="40"/>
      <c r="P84" s="40"/>
      <c r="Q84" s="40"/>
      <c r="R84" s="170"/>
      <c r="S84" s="43"/>
      <c r="T84" s="40"/>
      <c r="U84" s="40"/>
      <c r="V84" s="170"/>
      <c r="W84" s="43"/>
      <c r="X84" s="43"/>
      <c r="Y84" s="43"/>
      <c r="Z84" s="43"/>
    </row>
    <row r="85" spans="1:26" s="1" customFormat="1">
      <c r="A85" s="39"/>
      <c r="B85" s="40"/>
      <c r="C85" s="40"/>
      <c r="D85" s="40"/>
      <c r="E85" s="41"/>
      <c r="F85" s="40"/>
      <c r="G85" s="40"/>
      <c r="H85" s="40"/>
      <c r="I85" s="41"/>
      <c r="J85" s="41"/>
      <c r="K85" s="40"/>
      <c r="L85" s="42"/>
      <c r="M85" s="41"/>
      <c r="N85" s="41"/>
      <c r="O85" s="40"/>
      <c r="P85" s="40"/>
      <c r="Q85" s="40"/>
      <c r="R85" s="170"/>
      <c r="S85" s="43"/>
      <c r="T85" s="40"/>
      <c r="U85" s="40"/>
      <c r="V85" s="170"/>
      <c r="W85" s="43"/>
      <c r="X85" s="43"/>
      <c r="Y85" s="43"/>
      <c r="Z85" s="43"/>
    </row>
    <row r="86" spans="1:26">
      <c r="E86" s="178"/>
      <c r="F86" s="178"/>
      <c r="G86" s="178"/>
      <c r="H86" s="178"/>
      <c r="I86" s="178"/>
      <c r="J86" s="178"/>
      <c r="K86" s="178"/>
      <c r="L86" s="179"/>
      <c r="M86" s="178"/>
      <c r="N86" s="178"/>
      <c r="O86" s="178"/>
      <c r="P86" s="180"/>
      <c r="Q86" s="181"/>
      <c r="R86" s="178"/>
      <c r="S86" s="178"/>
      <c r="T86" s="180"/>
      <c r="U86" s="181"/>
      <c r="V86" s="178"/>
      <c r="W86" s="178"/>
      <c r="X86" s="178"/>
      <c r="Y86" s="178"/>
      <c r="Z86" s="178"/>
    </row>
    <row r="87" spans="1:26">
      <c r="E87" s="178"/>
      <c r="F87" s="178"/>
      <c r="G87" s="182"/>
      <c r="H87" s="183"/>
      <c r="I87" s="183"/>
      <c r="J87" s="183"/>
      <c r="K87" s="183"/>
      <c r="L87" s="179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</row>
    <row r="88" spans="1:26">
      <c r="E88" s="178"/>
      <c r="F88" s="178"/>
      <c r="G88" s="182"/>
      <c r="H88" s="184"/>
      <c r="I88" s="184"/>
      <c r="J88" s="184"/>
      <c r="K88" s="184"/>
      <c r="L88" s="179"/>
      <c r="M88" s="178"/>
      <c r="N88" s="178"/>
      <c r="O88" s="178"/>
      <c r="P88" s="178"/>
      <c r="Q88" s="178"/>
      <c r="R88" s="178"/>
      <c r="S88" s="178"/>
      <c r="T88" s="175"/>
      <c r="U88" s="175"/>
      <c r="V88" s="178"/>
      <c r="W88" s="178"/>
      <c r="X88" s="178"/>
      <c r="Y88" s="178"/>
      <c r="Z88" s="178"/>
    </row>
    <row r="89" spans="1:26">
      <c r="E89" s="178"/>
      <c r="F89" s="178"/>
      <c r="G89" s="178"/>
      <c r="H89" s="178"/>
      <c r="I89" s="178"/>
      <c r="J89" s="178"/>
      <c r="K89" s="178"/>
      <c r="L89" s="179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</row>
    <row r="90" spans="1:26">
      <c r="E90" s="178"/>
      <c r="F90" s="178"/>
      <c r="G90" s="178"/>
      <c r="H90" s="178"/>
      <c r="I90" s="183"/>
      <c r="J90" s="183"/>
      <c r="K90" s="185"/>
      <c r="L90" s="183"/>
      <c r="M90" s="178"/>
      <c r="N90" s="178"/>
      <c r="O90" s="178"/>
      <c r="P90" s="178"/>
      <c r="Q90" s="178"/>
      <c r="R90" s="178"/>
      <c r="S90" s="178"/>
      <c r="T90" s="186"/>
      <c r="U90" s="178"/>
      <c r="V90" s="178"/>
      <c r="W90" s="178"/>
      <c r="X90" s="178"/>
      <c r="Y90" s="178"/>
      <c r="Z90" s="178"/>
    </row>
    <row r="91" spans="1:26">
      <c r="E91" s="178"/>
      <c r="F91" s="178"/>
      <c r="G91" s="187"/>
      <c r="H91" s="188"/>
      <c r="I91" s="184"/>
      <c r="J91" s="184"/>
      <c r="K91" s="184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spans="1:26">
      <c r="E92" s="178"/>
      <c r="F92" s="178"/>
      <c r="G92" s="187"/>
      <c r="H92" s="188"/>
      <c r="I92" s="178"/>
      <c r="J92" s="178"/>
      <c r="K92" s="178"/>
      <c r="L92" s="179"/>
      <c r="M92" s="178"/>
      <c r="N92" s="178"/>
      <c r="O92" s="178"/>
      <c r="P92" s="178"/>
      <c r="Q92" s="178"/>
      <c r="R92" s="178"/>
      <c r="S92" s="178"/>
      <c r="T92" s="186"/>
      <c r="U92" s="178"/>
      <c r="V92" s="178"/>
      <c r="W92" s="178"/>
      <c r="X92" s="178"/>
      <c r="Y92" s="178"/>
      <c r="Z92" s="178"/>
    </row>
    <row r="93" spans="1:26">
      <c r="E93" s="178"/>
      <c r="F93" s="178"/>
      <c r="G93" s="187"/>
      <c r="H93" s="188"/>
      <c r="I93" s="178"/>
      <c r="J93" s="178"/>
      <c r="K93" s="178"/>
      <c r="L93" s="179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</row>
    <row r="94" spans="1:26">
      <c r="E94" s="178"/>
      <c r="F94" s="178"/>
      <c r="G94" s="187"/>
      <c r="H94" s="43"/>
      <c r="I94" s="178"/>
      <c r="J94" s="178"/>
      <c r="K94" s="178"/>
      <c r="L94" s="179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</row>
    <row r="95" spans="1:26">
      <c r="E95" s="178"/>
      <c r="F95" s="178"/>
      <c r="G95" s="43"/>
      <c r="H95" s="189"/>
      <c r="I95" s="178"/>
      <c r="J95" s="178"/>
      <c r="K95" s="178"/>
      <c r="L95" s="179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</row>
    <row r="96" spans="1:26">
      <c r="E96" s="178"/>
      <c r="F96" s="178"/>
      <c r="G96" s="178"/>
      <c r="H96" s="178"/>
      <c r="I96" s="178"/>
      <c r="J96" s="178"/>
      <c r="K96" s="178"/>
      <c r="L96" s="179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</row>
    <row r="97" spans="5:26">
      <c r="E97" s="178"/>
      <c r="F97" s="178"/>
      <c r="G97" s="178"/>
      <c r="H97" s="178"/>
      <c r="I97" s="178"/>
      <c r="J97" s="178"/>
      <c r="K97" s="178"/>
      <c r="L97" s="179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</row>
    <row r="98" spans="5:26">
      <c r="E98" s="178"/>
      <c r="F98" s="178"/>
      <c r="G98" s="178"/>
      <c r="H98" s="178"/>
      <c r="I98" s="179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</row>
    <row r="99" spans="5:26">
      <c r="E99" s="178"/>
      <c r="F99" s="178"/>
      <c r="G99" s="178"/>
      <c r="H99" s="178"/>
      <c r="I99" s="179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</row>
    <row r="100" spans="5:26">
      <c r="E100" s="178"/>
      <c r="F100" s="178"/>
      <c r="G100" s="178"/>
      <c r="H100" s="178"/>
      <c r="I100" s="179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</row>
    <row r="101" spans="5:26">
      <c r="E101" s="178"/>
      <c r="F101" s="178"/>
      <c r="G101" s="178"/>
      <c r="H101" s="178"/>
      <c r="I101" s="179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</row>
    <row r="102" spans="5:26">
      <c r="E102" s="178"/>
      <c r="F102" s="178"/>
      <c r="G102" s="178"/>
      <c r="H102" s="178"/>
      <c r="I102" s="178"/>
      <c r="J102" s="178"/>
      <c r="K102" s="178"/>
      <c r="L102" s="179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</row>
  </sheetData>
  <pageMargins left="0.7" right="0.7" top="0.75" bottom="0.75" header="0.3" footer="0.3"/>
  <pageSetup scale="99" fitToHeight="0" pageOrder="overThenDown" orientation="portrait" r:id="rId1"/>
  <headerFooter alignWithMargins="0">
    <oddHeader xml:space="preserve">&amp;C
</oddHeader>
    <oddFooter xml:space="preserve">&amp;L&amp;F - &amp;A
&amp;R&amp;P of &amp;N    </oddFooter>
  </headerFooter>
  <rowBreaks count="2" manualBreakCount="2">
    <brk id="44" max="3" man="1"/>
    <brk id="85" max="5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2017-11-16T08:00:00+00:00</OpenedDate>
    <Date1 xmlns="dc463f71-b30c-4ab2-9473-d307f9d35888">2017-11-16T08:00:00+00:00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</CaseCompanyNames>
    <Nickname xmlns="http://schemas.microsoft.com/sharepoint/v3" xsi:nil="true"/>
    <DocketNumber xmlns="dc463f71-b30c-4ab2-9473-d307f9d35888">171134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92608C3B20B54E86B237155CA4E5ED" ma:contentTypeVersion="104" ma:contentTypeDescription="" ma:contentTypeScope="" ma:versionID="1e11d9205ffb629ecfbaeba196e477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9c495a0c88ffde05ae816fb4d76b5d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32966-AEE5-471D-83A0-CA1328691E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421D1-438D-4690-B6CE-026FAC219A51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7429f450-94b4-4416-870d-2c140728156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24F9DB-FA6E-44F7-AD4D-E8787410E6BA}"/>
</file>

<file path=customXml/itemProps4.xml><?xml version="1.0" encoding="utf-8"?>
<ds:datastoreItem xmlns:ds="http://schemas.openxmlformats.org/officeDocument/2006/customXml" ds:itemID="{3CEA75B5-7309-43D0-B620-1E03525EE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References</vt:lpstr>
      <vt:lpstr>DF Calc (Mason Co.)</vt:lpstr>
      <vt:lpstr>Prop. Rates</vt:lpstr>
      <vt:lpstr>Co Cust Cnt</vt:lpstr>
      <vt:lpstr>'Co Cust Cnt'!Print_Area</vt:lpstr>
      <vt:lpstr>'DF Calc (Mason Co.)'!Print_Area</vt:lpstr>
      <vt:lpstr>'Co Cust Cnt'!Print_Titles</vt:lpstr>
      <vt:lpstr>'DF Calc (Mason Co.)'!Print_Titles</vt:lpstr>
      <vt:lpstr>'Prop. Rates'!Print_Titles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2017-11-16T18:44:04Z</cp:lastPrinted>
  <dcterms:created xsi:type="dcterms:W3CDTF">2014-10-29T22:31:20Z</dcterms:created>
  <dcterms:modified xsi:type="dcterms:W3CDTF">2017-11-16T20:57:28Z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0x0101006E56B4D1795A2E4DB2F0B01679ED314A00EE92608C3B20B54E86B237155CA4E5ED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