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November 2017\Nov 1\Avista Biennial\"/>
    </mc:Choice>
  </mc:AlternateContent>
  <bookViews>
    <workbookView xWindow="0" yWindow="0" windowWidth="28800" windowHeight="12585"/>
  </bookViews>
  <sheets>
    <sheet name="WA 2 Year Plan" sheetId="1" r:id="rId1"/>
    <sheet name="WA E and G Combined" sheetId="8" r:id="rId2"/>
    <sheet name="WA ELEC" sheetId="6" r:id="rId3"/>
    <sheet name="WA NG" sheetId="5" r:id="rId4"/>
  </sheets>
  <definedNames>
    <definedName name="_xlnm.Print_Area" localSheetId="0">'WA 2 Year Plan'!$A$1:$G$57</definedName>
    <definedName name="_xlnm.Print_Titles" localSheetId="1">'WA E and G Combined'!$A:$A</definedName>
    <definedName name="_xlnm.Print_Titles" localSheetId="2">'WA ELEC'!$A:$A</definedName>
    <definedName name="_xlnm.Print_Titles" localSheetId="3">'WA NG'!$A:$A</definedName>
  </definedNames>
  <calcPr calcId="152511"/>
</workbook>
</file>

<file path=xl/calcChain.xml><?xml version="1.0" encoding="utf-8"?>
<calcChain xmlns="http://schemas.openxmlformats.org/spreadsheetml/2006/main">
  <c r="X22" i="8" l="1"/>
  <c r="C32" i="1" l="1"/>
  <c r="A11" i="8" l="1"/>
  <c r="A12" i="8"/>
  <c r="A13" i="8"/>
  <c r="A14" i="8"/>
  <c r="A15" i="8"/>
  <c r="A16" i="8"/>
  <c r="A17" i="8"/>
  <c r="A18" i="8"/>
  <c r="A19" i="8"/>
  <c r="A20" i="8"/>
  <c r="A21" i="8"/>
  <c r="A22" i="8"/>
  <c r="A22" i="5" s="1"/>
  <c r="A20" i="5" l="1"/>
  <c r="A18" i="5"/>
  <c r="A17" i="5"/>
  <c r="A16" i="5"/>
  <c r="A11" i="5" l="1"/>
  <c r="A7" i="8"/>
  <c r="A6" i="8"/>
  <c r="C31" i="8"/>
  <c r="D31" i="8"/>
  <c r="E31" i="8"/>
  <c r="F31" i="8"/>
  <c r="G31" i="8"/>
  <c r="H31" i="8"/>
  <c r="N31" i="8"/>
  <c r="O31" i="8"/>
  <c r="U31" i="8"/>
  <c r="C8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U8" i="8"/>
  <c r="X8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U11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U14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U16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U17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U18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U19" i="8"/>
  <c r="U20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U22" i="8"/>
  <c r="C11" i="8"/>
  <c r="D11" i="8"/>
  <c r="C14" i="8"/>
  <c r="D14" i="8"/>
  <c r="C16" i="8"/>
  <c r="D16" i="8"/>
  <c r="C17" i="8"/>
  <c r="D17" i="8"/>
  <c r="C18" i="8"/>
  <c r="D18" i="8"/>
  <c r="C19" i="8"/>
  <c r="D19" i="8"/>
  <c r="C22" i="8"/>
  <c r="D22" i="8"/>
  <c r="B31" i="8"/>
  <c r="B22" i="8"/>
  <c r="B19" i="8"/>
  <c r="B18" i="8"/>
  <c r="B17" i="8"/>
  <c r="B16" i="8"/>
  <c r="B14" i="8"/>
  <c r="B11" i="8"/>
  <c r="B8" i="8"/>
  <c r="C10" i="1" s="1"/>
  <c r="A8" i="8"/>
  <c r="A8" i="5" l="1"/>
  <c r="O13" i="8"/>
  <c r="K13" i="8"/>
  <c r="G13" i="8"/>
  <c r="U12" i="8"/>
  <c r="Q12" i="8"/>
  <c r="M12" i="8"/>
  <c r="I12" i="8"/>
  <c r="E12" i="8"/>
  <c r="B13" i="8"/>
  <c r="P12" i="8"/>
  <c r="L12" i="8"/>
  <c r="H12" i="8"/>
  <c r="C12" i="8"/>
  <c r="C13" i="8"/>
  <c r="R13" i="8"/>
  <c r="N13" i="8"/>
  <c r="J13" i="8"/>
  <c r="F13" i="8"/>
  <c r="O12" i="8"/>
  <c r="K12" i="8"/>
  <c r="G12" i="8"/>
  <c r="B12" i="8"/>
  <c r="U13" i="8"/>
  <c r="Q13" i="8"/>
  <c r="M13" i="8"/>
  <c r="I13" i="8"/>
  <c r="E13" i="8"/>
  <c r="R12" i="8"/>
  <c r="N12" i="8"/>
  <c r="J12" i="8"/>
  <c r="F12" i="8"/>
  <c r="P13" i="8"/>
  <c r="L13" i="8"/>
  <c r="H13" i="8"/>
  <c r="D13" i="8"/>
  <c r="X11" i="8"/>
  <c r="D12" i="5"/>
  <c r="D12" i="8" s="1"/>
  <c r="G43" i="1" l="1"/>
  <c r="B12" i="1" l="1"/>
  <c r="B6" i="1"/>
  <c r="U7" i="8" l="1"/>
  <c r="R7" i="8"/>
  <c r="Q7" i="8"/>
  <c r="P7" i="8"/>
  <c r="O7" i="8"/>
  <c r="N7" i="8"/>
  <c r="M7" i="8"/>
  <c r="L7" i="8"/>
  <c r="J7" i="8"/>
  <c r="H7" i="8"/>
  <c r="G7" i="8"/>
  <c r="E7" i="8"/>
  <c r="C7" i="8"/>
  <c r="B7" i="8"/>
  <c r="U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C6" i="8"/>
  <c r="B6" i="8"/>
  <c r="C4" i="8"/>
  <c r="E4" i="8"/>
  <c r="G4" i="8"/>
  <c r="H4" i="8"/>
  <c r="N4" i="8"/>
  <c r="O4" i="8"/>
  <c r="U4" i="8"/>
  <c r="B9" i="8" l="1"/>
  <c r="E9" i="8"/>
  <c r="D7" i="5"/>
  <c r="D7" i="8" s="1"/>
  <c r="F7" i="8"/>
  <c r="I7" i="5"/>
  <c r="I7" i="8" s="1"/>
  <c r="K7" i="8"/>
  <c r="D4" i="5"/>
  <c r="D4" i="8" s="1"/>
  <c r="F4" i="8"/>
  <c r="D6" i="5"/>
  <c r="D6" i="8" s="1"/>
  <c r="U29" i="8"/>
  <c r="R29" i="8"/>
  <c r="Q29" i="8"/>
  <c r="P29" i="8"/>
  <c r="I25" i="5"/>
  <c r="D25" i="5"/>
  <c r="I23" i="5"/>
  <c r="D23" i="5"/>
  <c r="U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C21" i="8"/>
  <c r="B21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B15" i="8"/>
  <c r="I9" i="5"/>
  <c r="D9" i="5"/>
  <c r="B4" i="8"/>
  <c r="C15" i="8" l="1"/>
  <c r="C23" i="5"/>
  <c r="D21" i="5"/>
  <c r="D21" i="8" s="1"/>
  <c r="D15" i="5"/>
  <c r="D15" i="8" s="1"/>
  <c r="D27" i="5"/>
  <c r="U37" i="6" l="1"/>
  <c r="B21" i="1" l="1"/>
  <c r="W15" i="8" l="1"/>
  <c r="V15" i="8"/>
  <c r="X15" i="8"/>
  <c r="Y15" i="8"/>
  <c r="U9" i="8" l="1"/>
  <c r="B28" i="1"/>
  <c r="B27" i="1"/>
  <c r="B26" i="1"/>
  <c r="B25" i="1"/>
  <c r="B24" i="1"/>
  <c r="B23" i="1"/>
  <c r="B22" i="1"/>
  <c r="B20" i="1"/>
  <c r="B19" i="1"/>
  <c r="B18" i="1"/>
  <c r="B17" i="1"/>
  <c r="B10" i="1"/>
  <c r="B13" i="1"/>
  <c r="B11" i="1"/>
  <c r="U23" i="6"/>
  <c r="U23" i="8" s="1"/>
  <c r="U9" i="6"/>
  <c r="U25" i="6" l="1"/>
  <c r="U27" i="6" s="1"/>
  <c r="U33" i="6" s="1"/>
  <c r="U35" i="6" s="1"/>
  <c r="D25" i="1"/>
  <c r="X6" i="8"/>
  <c r="E6" i="1"/>
  <c r="F21" i="1"/>
  <c r="D21" i="1"/>
  <c r="E21" i="1"/>
  <c r="F22" i="1"/>
  <c r="F25" i="1"/>
  <c r="F27" i="1"/>
  <c r="F20" i="1"/>
  <c r="F23" i="1"/>
  <c r="F17" i="1"/>
  <c r="F18" i="1"/>
  <c r="F19" i="1"/>
  <c r="F24" i="1"/>
  <c r="F10" i="1"/>
  <c r="F13" i="1"/>
  <c r="F11" i="1"/>
  <c r="D22" i="1"/>
  <c r="E22" i="1"/>
  <c r="E23" i="1"/>
  <c r="D23" i="1"/>
  <c r="E24" i="1"/>
  <c r="D24" i="1"/>
  <c r="E25" i="1"/>
  <c r="E27" i="1"/>
  <c r="D27" i="1"/>
  <c r="D11" i="1"/>
  <c r="E11" i="1"/>
  <c r="E13" i="1"/>
  <c r="D13" i="1"/>
  <c r="E20" i="1"/>
  <c r="D20" i="1"/>
  <c r="D17" i="1"/>
  <c r="E17" i="1"/>
  <c r="D18" i="1"/>
  <c r="E18" i="1"/>
  <c r="E19" i="1"/>
  <c r="D19" i="1"/>
  <c r="B5" i="1"/>
  <c r="C6" i="1"/>
  <c r="C21" i="1"/>
  <c r="C22" i="1"/>
  <c r="C23" i="1"/>
  <c r="C24" i="1"/>
  <c r="C25" i="1"/>
  <c r="C27" i="1"/>
  <c r="C11" i="1"/>
  <c r="C13" i="1"/>
  <c r="C20" i="1"/>
  <c r="C17" i="1"/>
  <c r="C18" i="1"/>
  <c r="C19" i="1"/>
  <c r="U25" i="8"/>
  <c r="U27" i="8" s="1"/>
  <c r="U35" i="8" s="1"/>
  <c r="D37" i="6"/>
  <c r="E37" i="6"/>
  <c r="B37" i="6"/>
  <c r="N37" i="6"/>
  <c r="H37" i="6"/>
  <c r="F37" i="6"/>
  <c r="C37" i="6"/>
  <c r="G37" i="6"/>
  <c r="O37" i="6"/>
  <c r="C9" i="6"/>
  <c r="G9" i="6"/>
  <c r="K9" i="6"/>
  <c r="O9" i="6"/>
  <c r="B9" i="6"/>
  <c r="F9" i="6"/>
  <c r="J9" i="6"/>
  <c r="N9" i="6"/>
  <c r="O9" i="8"/>
  <c r="X7" i="8"/>
  <c r="J9" i="8"/>
  <c r="N9" i="8"/>
  <c r="F9" i="8"/>
  <c r="R9" i="8"/>
  <c r="X16" i="8"/>
  <c r="H9" i="8"/>
  <c r="L9" i="8"/>
  <c r="X14" i="8"/>
  <c r="X19" i="8"/>
  <c r="M9" i="8"/>
  <c r="C9" i="8"/>
  <c r="G9" i="8"/>
  <c r="X17" i="8"/>
  <c r="X21" i="8"/>
  <c r="K9" i="8"/>
  <c r="Q9" i="8"/>
  <c r="X12" i="8"/>
  <c r="X13" i="8"/>
  <c r="D9" i="6"/>
  <c r="H9" i="6"/>
  <c r="L9" i="6"/>
  <c r="E9" i="6"/>
  <c r="I9" i="6"/>
  <c r="M9" i="6"/>
  <c r="R9" i="6"/>
  <c r="Q9" i="6"/>
  <c r="C5" i="1" l="1"/>
  <c r="C28" i="1"/>
  <c r="E5" i="1"/>
  <c r="E51" i="1" s="1"/>
  <c r="D9" i="8"/>
  <c r="I9" i="8"/>
  <c r="P9" i="8"/>
  <c r="P9" i="6"/>
  <c r="X9" i="6"/>
  <c r="X9" i="8"/>
  <c r="G32" i="1" l="1"/>
  <c r="G33" i="1"/>
  <c r="G40" i="1"/>
  <c r="G41" i="1"/>
  <c r="G42" i="1"/>
  <c r="G44" i="1"/>
  <c r="D34" i="1"/>
  <c r="E34" i="1"/>
  <c r="F34" i="1"/>
  <c r="C34" i="1"/>
  <c r="G24" i="1"/>
  <c r="G19" i="1"/>
  <c r="G18" i="1"/>
  <c r="G25" i="1"/>
  <c r="G23" i="1"/>
  <c r="G22" i="1"/>
  <c r="G20" i="1"/>
  <c r="G17" i="1"/>
  <c r="G13" i="1"/>
  <c r="E7" i="1"/>
  <c r="C7" i="1"/>
  <c r="G37" i="1" l="1"/>
  <c r="G39" i="1"/>
  <c r="D45" i="1"/>
  <c r="G34" i="1"/>
  <c r="G11" i="1"/>
  <c r="G27" i="1"/>
  <c r="F45" i="1"/>
  <c r="G21" i="1"/>
  <c r="G38" i="1"/>
  <c r="G45" i="1" l="1"/>
  <c r="H29" i="8" l="1"/>
  <c r="O29" i="8" l="1"/>
  <c r="N29" i="8"/>
  <c r="F29" i="8"/>
  <c r="B29" i="8"/>
  <c r="C12" i="1" s="1"/>
  <c r="E29" i="8"/>
  <c r="C29" i="8" l="1"/>
  <c r="M29" i="8"/>
  <c r="D29" i="8"/>
  <c r="G29" i="8"/>
  <c r="C14" i="1" l="1"/>
  <c r="F12" i="1"/>
  <c r="E12" i="1"/>
  <c r="E14" i="1" l="1"/>
  <c r="F14" i="1"/>
  <c r="L29" i="8"/>
  <c r="D12" i="1" l="1"/>
  <c r="G12" i="1" l="1"/>
  <c r="D14" i="1"/>
  <c r="G14" i="1" l="1"/>
  <c r="E28" i="1" l="1"/>
  <c r="D28" i="1" l="1"/>
  <c r="F28" i="1" l="1"/>
  <c r="I4" i="8" l="1"/>
  <c r="R4" i="8"/>
  <c r="J4" i="8" l="1"/>
  <c r="K4" i="8"/>
  <c r="M4" i="8"/>
  <c r="F5" i="1" s="1"/>
  <c r="L4" i="8"/>
  <c r="F7" i="1" l="1"/>
  <c r="P4" i="8"/>
  <c r="Q4" i="8"/>
  <c r="D5" i="1" s="1"/>
  <c r="G5" i="1" l="1"/>
  <c r="L31" i="8" l="1"/>
  <c r="L37" i="6"/>
  <c r="K31" i="8" l="1"/>
  <c r="K37" i="6"/>
  <c r="M31" i="8"/>
  <c r="M37" i="6"/>
  <c r="I31" i="8" l="1"/>
  <c r="I37" i="6"/>
  <c r="R31" i="8"/>
  <c r="F6" i="1" s="1"/>
  <c r="R37" i="6"/>
  <c r="P31" i="8"/>
  <c r="P37" i="6"/>
  <c r="Q31" i="8"/>
  <c r="D6" i="1" s="1"/>
  <c r="Q37" i="6"/>
  <c r="J31" i="8" l="1"/>
  <c r="X31" i="8" s="1"/>
  <c r="J37" i="6"/>
  <c r="X37" i="6" s="1"/>
  <c r="G6" i="1"/>
  <c r="D7" i="1"/>
  <c r="R23" i="6"/>
  <c r="R25" i="6" s="1"/>
  <c r="R27" i="6" s="1"/>
  <c r="R33" i="6" s="1"/>
  <c r="R20" i="8"/>
  <c r="R23" i="8" s="1"/>
  <c r="R25" i="8" s="1"/>
  <c r="R27" i="8" s="1"/>
  <c r="R35" i="8" s="1"/>
  <c r="G7" i="1" l="1"/>
  <c r="P20" i="8"/>
  <c r="P23" i="6"/>
  <c r="P25" i="6" s="1"/>
  <c r="P27" i="6" s="1"/>
  <c r="P33" i="6" s="1"/>
  <c r="R35" i="6"/>
  <c r="Q23" i="6"/>
  <c r="Q25" i="6" s="1"/>
  <c r="Q27" i="6" s="1"/>
  <c r="Q33" i="6" s="1"/>
  <c r="Q20" i="8"/>
  <c r="Q23" i="8" l="1"/>
  <c r="Q35" i="6"/>
  <c r="P35" i="6"/>
  <c r="P23" i="8" l="1"/>
  <c r="P25" i="8" s="1"/>
  <c r="P27" i="8" s="1"/>
  <c r="P35" i="8" s="1"/>
  <c r="Q25" i="8"/>
  <c r="Q27" i="8" s="1"/>
  <c r="Q35" i="8" s="1"/>
  <c r="C27" i="5" l="1"/>
  <c r="H20" i="8" l="1"/>
  <c r="H23" i="6"/>
  <c r="B20" i="8"/>
  <c r="B23" i="6"/>
  <c r="B25" i="6" s="1"/>
  <c r="B27" i="6" s="1"/>
  <c r="B33" i="6" s="1"/>
  <c r="I23" i="6"/>
  <c r="I25" i="6" s="1"/>
  <c r="I27" i="6" s="1"/>
  <c r="I33" i="6" s="1"/>
  <c r="I20" i="8"/>
  <c r="C20" i="8"/>
  <c r="C23" i="6"/>
  <c r="C25" i="6" s="1"/>
  <c r="C27" i="6" s="1"/>
  <c r="C33" i="6" s="1"/>
  <c r="I29" i="8"/>
  <c r="I35" i="6" l="1"/>
  <c r="K20" i="8"/>
  <c r="K23" i="8" s="1"/>
  <c r="K25" i="8" s="1"/>
  <c r="K27" i="8" s="1"/>
  <c r="K23" i="6"/>
  <c r="K25" i="6" s="1"/>
  <c r="K27" i="6" s="1"/>
  <c r="H23" i="8"/>
  <c r="N23" i="6"/>
  <c r="N25" i="6" s="1"/>
  <c r="N27" i="6" s="1"/>
  <c r="N33" i="6" s="1"/>
  <c r="N20" i="8"/>
  <c r="N23" i="8" s="1"/>
  <c r="N25" i="8" s="1"/>
  <c r="N27" i="8" s="1"/>
  <c r="N35" i="8" s="1"/>
  <c r="G20" i="8"/>
  <c r="G23" i="8" s="1"/>
  <c r="G25" i="8" s="1"/>
  <c r="G27" i="8" s="1"/>
  <c r="G35" i="8" s="1"/>
  <c r="G23" i="6"/>
  <c r="G25" i="6" s="1"/>
  <c r="G27" i="6" s="1"/>
  <c r="G33" i="6" s="1"/>
  <c r="C35" i="6"/>
  <c r="B35" i="6"/>
  <c r="L23" i="6"/>
  <c r="L25" i="6" s="1"/>
  <c r="L27" i="6" s="1"/>
  <c r="L33" i="6" s="1"/>
  <c r="L20" i="8"/>
  <c r="O20" i="8"/>
  <c r="O23" i="6"/>
  <c r="C23" i="8"/>
  <c r="C25" i="8" s="1"/>
  <c r="C27" i="8" s="1"/>
  <c r="C35" i="8" s="1"/>
  <c r="E26" i="1"/>
  <c r="C26" i="1"/>
  <c r="B23" i="8"/>
  <c r="B25" i="8" s="1"/>
  <c r="B27" i="8" s="1"/>
  <c r="B35" i="8" s="1"/>
  <c r="F23" i="6"/>
  <c r="F25" i="6" s="1"/>
  <c r="F27" i="6" s="1"/>
  <c r="F33" i="6" s="1"/>
  <c r="F20" i="8"/>
  <c r="F23" i="8" s="1"/>
  <c r="F25" i="8" s="1"/>
  <c r="F27" i="8" s="1"/>
  <c r="F35" i="8" s="1"/>
  <c r="J20" i="8"/>
  <c r="J23" i="8" s="1"/>
  <c r="J23" i="6"/>
  <c r="J25" i="6" s="1"/>
  <c r="J27" i="6" s="1"/>
  <c r="H25" i="6"/>
  <c r="E29" i="1" l="1"/>
  <c r="E47" i="1" s="1"/>
  <c r="E49" i="1" s="1"/>
  <c r="L23" i="8"/>
  <c r="L25" i="8" s="1"/>
  <c r="L27" i="8" s="1"/>
  <c r="L35" i="8" s="1"/>
  <c r="D26" i="1"/>
  <c r="H27" i="6"/>
  <c r="F35" i="6"/>
  <c r="L35" i="6"/>
  <c r="N35" i="6"/>
  <c r="H25" i="8"/>
  <c r="M20" i="8"/>
  <c r="M23" i="6"/>
  <c r="M25" i="6" s="1"/>
  <c r="M27" i="6" s="1"/>
  <c r="M33" i="6" s="1"/>
  <c r="E23" i="6"/>
  <c r="E25" i="6" s="1"/>
  <c r="E27" i="6" s="1"/>
  <c r="E33" i="6" s="1"/>
  <c r="E20" i="8"/>
  <c r="O25" i="6"/>
  <c r="G35" i="6"/>
  <c r="D20" i="8"/>
  <c r="D23" i="8" s="1"/>
  <c r="D23" i="6"/>
  <c r="D25" i="6" s="1"/>
  <c r="D27" i="6" s="1"/>
  <c r="D33" i="6" s="1"/>
  <c r="J25" i="8"/>
  <c r="J27" i="8" s="1"/>
  <c r="I23" i="8"/>
  <c r="I25" i="8" s="1"/>
  <c r="I27" i="8" s="1"/>
  <c r="I35" i="8" s="1"/>
  <c r="C51" i="1"/>
  <c r="C29" i="1"/>
  <c r="O23" i="8"/>
  <c r="J29" i="8"/>
  <c r="J33" i="6"/>
  <c r="K29" i="8"/>
  <c r="K33" i="6"/>
  <c r="T8" i="8"/>
  <c r="E35" i="6" l="1"/>
  <c r="J35" i="6"/>
  <c r="D35" i="6"/>
  <c r="D29" i="1"/>
  <c r="J35" i="8"/>
  <c r="X23" i="6"/>
  <c r="M35" i="6"/>
  <c r="O25" i="8"/>
  <c r="O27" i="6"/>
  <c r="X25" i="6"/>
  <c r="M23" i="8"/>
  <c r="F26" i="1"/>
  <c r="H27" i="8"/>
  <c r="X20" i="8"/>
  <c r="C47" i="1"/>
  <c r="C49" i="1" s="1"/>
  <c r="E23" i="8"/>
  <c r="H33" i="6"/>
  <c r="X29" i="8"/>
  <c r="K35" i="8"/>
  <c r="K35" i="6"/>
  <c r="T19" i="8"/>
  <c r="T29" i="8"/>
  <c r="T31" i="8"/>
  <c r="T20" i="8"/>
  <c r="T12" i="8"/>
  <c r="T21" i="8"/>
  <c r="T7" i="8"/>
  <c r="T14" i="8"/>
  <c r="T17" i="8"/>
  <c r="T16" i="8"/>
  <c r="T13" i="8"/>
  <c r="T18" i="8"/>
  <c r="T22" i="8"/>
  <c r="S8" i="8"/>
  <c r="X23" i="8" l="1"/>
  <c r="H35" i="6"/>
  <c r="F29" i="1"/>
  <c r="F47" i="1" s="1"/>
  <c r="F49" i="1" s="1"/>
  <c r="F53" i="1" s="1"/>
  <c r="T11" i="8"/>
  <c r="T23" i="8" s="1"/>
  <c r="T23" i="6"/>
  <c r="T6" i="8"/>
  <c r="T9" i="8" s="1"/>
  <c r="S9" i="8" s="1"/>
  <c r="T9" i="6"/>
  <c r="M25" i="8"/>
  <c r="E25" i="8"/>
  <c r="H35" i="8"/>
  <c r="O27" i="8"/>
  <c r="G26" i="1"/>
  <c r="O33" i="6"/>
  <c r="X27" i="6"/>
  <c r="D47" i="1"/>
  <c r="S21" i="8"/>
  <c r="S19" i="8"/>
  <c r="S7" i="8"/>
  <c r="S17" i="8"/>
  <c r="S12" i="8"/>
  <c r="S31" i="8"/>
  <c r="S14" i="8"/>
  <c r="S20" i="8"/>
  <c r="S13" i="8"/>
  <c r="S22" i="8"/>
  <c r="S16" i="8"/>
  <c r="W8" i="8"/>
  <c r="S18" i="8"/>
  <c r="Y8" i="8"/>
  <c r="V8" i="8"/>
  <c r="X25" i="8" l="1"/>
  <c r="G29" i="1"/>
  <c r="S11" i="8"/>
  <c r="S23" i="6"/>
  <c r="W13" i="8"/>
  <c r="V13" i="8"/>
  <c r="Y13" i="8"/>
  <c r="S29" i="8"/>
  <c r="V7" i="8"/>
  <c r="Y7" i="8"/>
  <c r="W7" i="8"/>
  <c r="O35" i="6"/>
  <c r="X35" i="6" s="1"/>
  <c r="X33" i="6"/>
  <c r="M27" i="8"/>
  <c r="T25" i="6"/>
  <c r="T27" i="6" s="1"/>
  <c r="T33" i="6" s="1"/>
  <c r="W20" i="8"/>
  <c r="Y20" i="8"/>
  <c r="V20" i="8"/>
  <c r="S6" i="8"/>
  <c r="S9" i="6"/>
  <c r="W19" i="8"/>
  <c r="Y19" i="8"/>
  <c r="V19" i="8"/>
  <c r="D49" i="1"/>
  <c r="G47" i="1"/>
  <c r="D25" i="8"/>
  <c r="E27" i="8"/>
  <c r="T25" i="8"/>
  <c r="S23" i="8"/>
  <c r="Y14" i="8"/>
  <c r="W14" i="8"/>
  <c r="V14" i="8"/>
  <c r="W12" i="8"/>
  <c r="Y12" i="8"/>
  <c r="V12" i="8"/>
  <c r="Y21" i="8"/>
  <c r="W21" i="8"/>
  <c r="V21" i="8"/>
  <c r="T4" i="8"/>
  <c r="T37" i="6"/>
  <c r="W18" i="8"/>
  <c r="V18" i="8"/>
  <c r="Y18" i="8"/>
  <c r="W16" i="8"/>
  <c r="Y16" i="8"/>
  <c r="V16" i="8"/>
  <c r="V22" i="8"/>
  <c r="Y22" i="8"/>
  <c r="W22" i="8"/>
  <c r="Y31" i="8"/>
  <c r="W31" i="8"/>
  <c r="V31" i="8"/>
  <c r="W17" i="8"/>
  <c r="V17" i="8"/>
  <c r="Y17" i="8"/>
  <c r="O35" i="8"/>
  <c r="Y9" i="8"/>
  <c r="V9" i="8"/>
  <c r="W9" i="8"/>
  <c r="T35" i="6" l="1"/>
  <c r="X27" i="8"/>
  <c r="D53" i="1"/>
  <c r="G49" i="1"/>
  <c r="Y9" i="6"/>
  <c r="V9" i="6"/>
  <c r="W9" i="6"/>
  <c r="W11" i="8"/>
  <c r="Y11" i="8"/>
  <c r="V11" i="8"/>
  <c r="E35" i="8"/>
  <c r="D27" i="8"/>
  <c r="D35" i="8" s="1"/>
  <c r="W6" i="8"/>
  <c r="V6" i="8"/>
  <c r="Y6" i="8"/>
  <c r="S37" i="6"/>
  <c r="S4" i="8"/>
  <c r="S25" i="8"/>
  <c r="W23" i="8"/>
  <c r="Y23" i="8"/>
  <c r="V23" i="8"/>
  <c r="M35" i="8"/>
  <c r="T27" i="8"/>
  <c r="T35" i="8" s="1"/>
  <c r="W29" i="8"/>
  <c r="Y29" i="8"/>
  <c r="V29" i="8"/>
  <c r="Y23" i="6"/>
  <c r="S25" i="6"/>
  <c r="W23" i="6"/>
  <c r="V23" i="6"/>
  <c r="V25" i="6" l="1"/>
  <c r="S27" i="6"/>
  <c r="W25" i="6"/>
  <c r="Y25" i="6"/>
  <c r="S27" i="8"/>
  <c r="Y25" i="8"/>
  <c r="W25" i="8"/>
  <c r="V25" i="8"/>
  <c r="X35" i="8"/>
  <c r="W4" i="8"/>
  <c r="V4" i="8"/>
  <c r="Y4" i="8"/>
  <c r="V37" i="6"/>
  <c r="W37" i="6"/>
  <c r="Y37" i="6"/>
  <c r="S35" i="8" l="1"/>
  <c r="Y27" i="8"/>
  <c r="W27" i="8"/>
  <c r="V27" i="8"/>
  <c r="Y27" i="6"/>
  <c r="W27" i="6"/>
  <c r="V27" i="6"/>
  <c r="S33" i="6"/>
  <c r="S35" i="6" l="1"/>
  <c r="W33" i="6"/>
  <c r="V33" i="6"/>
  <c r="Y33" i="6"/>
  <c r="V35" i="8"/>
  <c r="Y35" i="8"/>
  <c r="W35" i="8"/>
  <c r="V35" i="6" l="1"/>
  <c r="W35" i="6"/>
  <c r="Y35" i="6"/>
</calcChain>
</file>

<file path=xl/sharedStrings.xml><?xml version="1.0" encoding="utf-8"?>
<sst xmlns="http://schemas.openxmlformats.org/spreadsheetml/2006/main" count="163" uniqueCount="97">
  <si>
    <t>Low Income Programs</t>
  </si>
  <si>
    <t>Programs</t>
  </si>
  <si>
    <t xml:space="preserve">     LI Total</t>
  </si>
  <si>
    <t>MWh Savings</t>
  </si>
  <si>
    <t>Estimated Electric Budget</t>
  </si>
  <si>
    <t>Therm Savings</t>
  </si>
  <si>
    <t>Estimated Gas Budget</t>
  </si>
  <si>
    <t>Total Tariff Budget</t>
  </si>
  <si>
    <t xml:space="preserve">Residential Programs </t>
  </si>
  <si>
    <t>Residential Total</t>
  </si>
  <si>
    <t>Non-Residential Programs</t>
  </si>
  <si>
    <t>Program:</t>
  </si>
  <si>
    <t>kWh</t>
  </si>
  <si>
    <t>therms</t>
  </si>
  <si>
    <t>CIC</t>
  </si>
  <si>
    <t>$CIC Elec</t>
  </si>
  <si>
    <t>$CIC Gas</t>
  </si>
  <si>
    <t>Electric AC PV</t>
  </si>
  <si>
    <t>NG AC PV</t>
  </si>
  <si>
    <t>NEBs</t>
  </si>
  <si>
    <t>Electric Incentive$</t>
  </si>
  <si>
    <t>Gas Incentive $</t>
  </si>
  <si>
    <t>Electric Savings $</t>
  </si>
  <si>
    <t>Gas Savings $</t>
  </si>
  <si>
    <t>3rd Party Costs $</t>
  </si>
  <si>
    <t>NIUC $</t>
  </si>
  <si>
    <t>TRC</t>
  </si>
  <si>
    <t xml:space="preserve">UCT </t>
  </si>
  <si>
    <t>PCT</t>
  </si>
  <si>
    <t>RIM</t>
  </si>
  <si>
    <t>NA</t>
  </si>
  <si>
    <t>Prescriptive Res</t>
  </si>
  <si>
    <t>Residential</t>
  </si>
  <si>
    <t>Exterior Lighting</t>
  </si>
  <si>
    <t>NonRes HVAC</t>
  </si>
  <si>
    <t>NonRes Shell</t>
  </si>
  <si>
    <t>Energy Smart</t>
  </si>
  <si>
    <t>Green Motors</t>
  </si>
  <si>
    <t>Non-Residential</t>
  </si>
  <si>
    <t>LI Conversions</t>
  </si>
  <si>
    <t>NEEA</t>
  </si>
  <si>
    <t>WA ELEC TOTAL</t>
  </si>
  <si>
    <t>WA ELEC TOTAL W/LI</t>
  </si>
  <si>
    <t>Res Converersions</t>
  </si>
  <si>
    <t>WA ELEC Everything</t>
  </si>
  <si>
    <t>Regular Income Portfolio</t>
  </si>
  <si>
    <t>Low Income Portfolio</t>
  </si>
  <si>
    <t>Non-Residential Total</t>
  </si>
  <si>
    <t>Regional Efficiency Programs</t>
  </si>
  <si>
    <t xml:space="preserve">     NEEA Electric (WA Portion)</t>
  </si>
  <si>
    <t xml:space="preserve">     NEEA Gas (WA Portion)</t>
  </si>
  <si>
    <t>Regional Total</t>
  </si>
  <si>
    <t>Portfolio Support</t>
  </si>
  <si>
    <t xml:space="preserve">     Estimated EM&amp;V</t>
  </si>
  <si>
    <t xml:space="preserve">     Memberships</t>
  </si>
  <si>
    <t xml:space="preserve">     Outreach</t>
  </si>
  <si>
    <t xml:space="preserve">     Training/Travel</t>
  </si>
  <si>
    <t xml:space="preserve">     Regulatory</t>
  </si>
  <si>
    <t xml:space="preserve">     CPA Development</t>
  </si>
  <si>
    <t xml:space="preserve">     Labor</t>
  </si>
  <si>
    <t>Portfolio Support Total</t>
  </si>
  <si>
    <t>Totals included in cost effectiveness</t>
  </si>
  <si>
    <t>Portfolio Totals</t>
  </si>
  <si>
    <t>I-937 MWh Only Savings</t>
  </si>
  <si>
    <t>Estimated EM&amp;V Percentages</t>
  </si>
  <si>
    <t>Supplemental Budget Items</t>
  </si>
  <si>
    <t xml:space="preserve">WA LI </t>
  </si>
  <si>
    <t>Simple Steps</t>
  </si>
  <si>
    <t>Site Specific (Gas only for CE)</t>
  </si>
  <si>
    <t>C/I (Gas Only)</t>
  </si>
  <si>
    <t>WA NG TOTAL (Gas Only W/O LI)</t>
  </si>
  <si>
    <t>WA NG TOTAL (Gas Only W/LI)</t>
  </si>
  <si>
    <t>Elec NEBs</t>
  </si>
  <si>
    <t>Gas NEBs</t>
  </si>
  <si>
    <t>Elec 3rd Party</t>
  </si>
  <si>
    <t>Gas 3rd Party</t>
  </si>
  <si>
    <t>Elec NIUC$</t>
  </si>
  <si>
    <t>Gas NIUC$</t>
  </si>
  <si>
    <t>WA Total Budget</t>
  </si>
  <si>
    <t xml:space="preserve">     Software</t>
  </si>
  <si>
    <t>WA LI (With out Conversions)</t>
  </si>
  <si>
    <t>Interior Pres Lighting</t>
  </si>
  <si>
    <t>Exterior Pres Lighting</t>
  </si>
  <si>
    <t>Site Specific</t>
  </si>
  <si>
    <t>Prescriptive Shell</t>
  </si>
  <si>
    <t>Variable Frequency Drives</t>
  </si>
  <si>
    <t>Fleet Heat</t>
  </si>
  <si>
    <t>Energy Smart Grocer</t>
  </si>
  <si>
    <t>Multifamily Market Transformation</t>
  </si>
  <si>
    <t>Food Services</t>
  </si>
  <si>
    <t>AirGuardian</t>
  </si>
  <si>
    <t>Behavioral Program</t>
  </si>
  <si>
    <t>Residential Prescriptive</t>
  </si>
  <si>
    <t>Appendix A: 2018-2019 Washington Savings Goals and Budgets</t>
  </si>
  <si>
    <t>(w/o Conversions)</t>
  </si>
  <si>
    <t>Natural Gas w/o Fuel Conversions</t>
  </si>
  <si>
    <t>Food Service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</si>
</sst>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3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1" xfId="0" applyFill="1" applyBorder="1"/>
    <xf numFmtId="0" fontId="0" fillId="2" borderId="2" xfId="0" applyFill="1" applyBorder="1"/>
    <xf numFmtId="164" fontId="0" fillId="0" borderId="0" xfId="2" applyNumberFormat="1" applyFont="1" applyFill="1"/>
    <xf numFmtId="164" fontId="0" fillId="0" borderId="4" xfId="2" applyNumberFormat="1" applyFont="1" applyFill="1" applyBorder="1"/>
    <xf numFmtId="165" fontId="0" fillId="0" borderId="0" xfId="1" applyNumberFormat="1" applyFont="1" applyFill="1"/>
    <xf numFmtId="165" fontId="0" fillId="2" borderId="1" xfId="1" applyNumberFormat="1" applyFont="1" applyFill="1" applyBorder="1"/>
    <xf numFmtId="165" fontId="0" fillId="2" borderId="2" xfId="1" applyNumberFormat="1" applyFont="1" applyFill="1" applyBorder="1"/>
    <xf numFmtId="0" fontId="0" fillId="0" borderId="4" xfId="0" applyBorder="1"/>
    <xf numFmtId="43" fontId="0" fillId="0" borderId="0" xfId="1" applyFont="1" applyFill="1"/>
    <xf numFmtId="165" fontId="0" fillId="0" borderId="0" xfId="0" applyNumberFormat="1" applyFill="1"/>
    <xf numFmtId="165" fontId="0" fillId="0" borderId="4" xfId="0" applyNumberFormat="1" applyBorder="1"/>
    <xf numFmtId="43" fontId="0" fillId="0" borderId="4" xfId="1" applyFont="1" applyFill="1" applyBorder="1"/>
    <xf numFmtId="0" fontId="0" fillId="0" borderId="0" xfId="0"/>
    <xf numFmtId="43" fontId="0" fillId="0" borderId="0" xfId="1" applyFont="1"/>
    <xf numFmtId="43" fontId="0" fillId="0" borderId="4" xfId="1" applyFont="1" applyBorder="1"/>
    <xf numFmtId="0" fontId="0" fillId="0" borderId="0" xfId="0" applyFill="1"/>
    <xf numFmtId="0" fontId="0" fillId="0" borderId="4" xfId="0" applyFill="1" applyBorder="1"/>
    <xf numFmtId="164" fontId="0" fillId="0" borderId="0" xfId="2" applyNumberFormat="1" applyFont="1" applyFill="1" applyBorder="1"/>
    <xf numFmtId="164" fontId="0" fillId="2" borderId="1" xfId="0" applyNumberFormat="1" applyFill="1" applyBorder="1"/>
    <xf numFmtId="6" fontId="0" fillId="2" borderId="1" xfId="0" applyNumberFormat="1" applyFill="1" applyBorder="1"/>
    <xf numFmtId="6" fontId="0" fillId="2" borderId="2" xfId="0" applyNumberFormat="1" applyFill="1" applyBorder="1"/>
    <xf numFmtId="0" fontId="0" fillId="2" borderId="5" xfId="0" applyFill="1" applyBorder="1"/>
    <xf numFmtId="6" fontId="0" fillId="2" borderId="5" xfId="0" applyNumberFormat="1" applyFill="1" applyBorder="1"/>
    <xf numFmtId="6" fontId="0" fillId="2" borderId="3" xfId="0" applyNumberFormat="1" applyFill="1" applyBorder="1"/>
    <xf numFmtId="0" fontId="0" fillId="3" borderId="1" xfId="0" applyFill="1" applyBorder="1"/>
    <xf numFmtId="164" fontId="0" fillId="3" borderId="1" xfId="0" applyNumberFormat="1" applyFill="1" applyBorder="1"/>
    <xf numFmtId="165" fontId="0" fillId="4" borderId="1" xfId="1" applyNumberFormat="1" applyFont="1" applyFill="1" applyBorder="1"/>
    <xf numFmtId="165" fontId="0" fillId="4" borderId="2" xfId="1" applyNumberFormat="1" applyFont="1" applyFill="1" applyBorder="1"/>
    <xf numFmtId="0" fontId="0" fillId="6" borderId="3" xfId="0" applyFill="1" applyBorder="1"/>
    <xf numFmtId="165" fontId="0" fillId="6" borderId="3" xfId="1" applyNumberFormat="1" applyFont="1" applyFill="1" applyBorder="1"/>
    <xf numFmtId="6" fontId="0" fillId="6" borderId="3" xfId="0" applyNumberFormat="1" applyFill="1" applyBorder="1"/>
    <xf numFmtId="165" fontId="0" fillId="6" borderId="3" xfId="0" applyNumberFormat="1" applyFill="1" applyBorder="1"/>
    <xf numFmtId="0" fontId="0" fillId="5" borderId="1" xfId="0" applyFill="1" applyBorder="1"/>
    <xf numFmtId="165" fontId="0" fillId="4" borderId="1" xfId="0" applyNumberFormat="1" applyFill="1" applyBorder="1"/>
    <xf numFmtId="10" fontId="0" fillId="2" borderId="1" xfId="0" applyNumberFormat="1" applyFill="1" applyBorder="1"/>
    <xf numFmtId="10" fontId="0" fillId="5" borderId="1" xfId="3" applyNumberFormat="1" applyFont="1" applyFill="1" applyBorder="1"/>
    <xf numFmtId="6" fontId="0" fillId="3" borderId="1" xfId="0" applyNumberFormat="1" applyFill="1" applyBorder="1"/>
    <xf numFmtId="6" fontId="0" fillId="0" borderId="2" xfId="0" applyNumberFormat="1" applyFill="1" applyBorder="1"/>
    <xf numFmtId="0" fontId="0" fillId="2" borderId="6" xfId="0" applyFill="1" applyBorder="1"/>
    <xf numFmtId="6" fontId="0" fillId="7" borderId="2" xfId="0" applyNumberFormat="1" applyFill="1" applyBorder="1"/>
    <xf numFmtId="6" fontId="0" fillId="7" borderId="1" xfId="0" applyNumberFormat="1" applyFill="1" applyBorder="1"/>
    <xf numFmtId="0" fontId="5" fillId="7" borderId="7" xfId="0" applyFont="1" applyFill="1" applyBorder="1"/>
    <xf numFmtId="0" fontId="0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wrapText="1"/>
    </xf>
    <xf numFmtId="0" fontId="0" fillId="0" borderId="4" xfId="0" applyFont="1" applyFill="1" applyBorder="1" applyAlignment="1">
      <alignment horizontal="left"/>
    </xf>
    <xf numFmtId="165" fontId="0" fillId="0" borderId="4" xfId="1" applyNumberFormat="1" applyFont="1" applyFill="1" applyBorder="1"/>
    <xf numFmtId="43" fontId="0" fillId="0" borderId="4" xfId="1" applyFont="1" applyFill="1" applyBorder="1" applyAlignment="1">
      <alignment horizontal="center"/>
    </xf>
    <xf numFmtId="43" fontId="0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wrapText="1"/>
    </xf>
    <xf numFmtId="165" fontId="6" fillId="2" borderId="4" xfId="1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wrapText="1"/>
    </xf>
    <xf numFmtId="0" fontId="6" fillId="0" borderId="0" xfId="0" applyFont="1" applyFill="1" applyAlignment="1">
      <alignment horizontal="left"/>
    </xf>
    <xf numFmtId="165" fontId="6" fillId="0" borderId="0" xfId="1" applyNumberFormat="1" applyFont="1" applyFill="1" applyAlignment="1">
      <alignment horizontal="center"/>
    </xf>
    <xf numFmtId="164" fontId="6" fillId="0" borderId="0" xfId="2" applyNumberFormat="1" applyFont="1" applyFill="1" applyAlignment="1">
      <alignment horizontal="center"/>
    </xf>
    <xf numFmtId="164" fontId="0" fillId="0" borderId="0" xfId="2" applyNumberFormat="1" applyFont="1" applyFill="1" applyAlignment="1">
      <alignment horizontal="center"/>
    </xf>
    <xf numFmtId="165" fontId="0" fillId="0" borderId="0" xfId="1" applyNumberFormat="1" applyFont="1" applyFill="1" applyAlignment="1">
      <alignment horizontal="center"/>
    </xf>
    <xf numFmtId="0" fontId="6" fillId="0" borderId="4" xfId="0" applyFont="1" applyFill="1" applyBorder="1" applyAlignment="1">
      <alignment horizontal="left"/>
    </xf>
    <xf numFmtId="165" fontId="6" fillId="0" borderId="4" xfId="1" applyNumberFormat="1" applyFont="1" applyFill="1" applyBorder="1" applyAlignment="1">
      <alignment horizontal="center"/>
    </xf>
    <xf numFmtId="165" fontId="0" fillId="0" borderId="4" xfId="1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165" fontId="6" fillId="0" borderId="0" xfId="1" applyNumberFormat="1" applyFont="1" applyFill="1" applyBorder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43" fontId="0" fillId="0" borderId="0" xfId="1" applyFont="1" applyFill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43" fontId="6" fillId="0" borderId="4" xfId="1" applyFont="1" applyFill="1" applyBorder="1" applyAlignment="1">
      <alignment horizontal="center"/>
    </xf>
    <xf numFmtId="43" fontId="6" fillId="2" borderId="4" xfId="1" applyFont="1" applyFill="1" applyBorder="1" applyAlignment="1">
      <alignment horizontal="center"/>
    </xf>
    <xf numFmtId="165" fontId="7" fillId="0" borderId="4" xfId="1" applyNumberFormat="1" applyFont="1" applyFill="1" applyBorder="1" applyAlignment="1">
      <alignment horizontal="center"/>
    </xf>
    <xf numFmtId="165" fontId="0" fillId="0" borderId="1" xfId="1" applyNumberFormat="1" applyFont="1" applyFill="1" applyBorder="1"/>
    <xf numFmtId="6" fontId="0" fillId="2" borderId="0" xfId="0" applyNumberFormat="1" applyFill="1"/>
    <xf numFmtId="43" fontId="0" fillId="2" borderId="0" xfId="1" applyFont="1" applyFill="1"/>
    <xf numFmtId="8" fontId="0" fillId="2" borderId="0" xfId="0" applyNumberFormat="1" applyFill="1"/>
    <xf numFmtId="43" fontId="0" fillId="2" borderId="0" xfId="0" applyNumberFormat="1" applyFill="1"/>
    <xf numFmtId="164" fontId="6" fillId="2" borderId="4" xfId="2" applyNumberFormat="1" applyFont="1" applyFill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Fill="1" applyBorder="1"/>
    <xf numFmtId="43" fontId="6" fillId="0" borderId="0" xfId="1" applyFont="1" applyFill="1" applyAlignment="1">
      <alignment horizontal="center"/>
    </xf>
    <xf numFmtId="0" fontId="0" fillId="2" borderId="0" xfId="0" applyFill="1" applyAlignment="1">
      <alignment wrapText="1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left" wrapText="1"/>
    </xf>
    <xf numFmtId="43" fontId="0" fillId="0" borderId="0" xfId="0" applyNumberFormat="1" applyFill="1"/>
    <xf numFmtId="6" fontId="0" fillId="0" borderId="3" xfId="0" applyNumberFormat="1" applyFill="1" applyBorder="1"/>
    <xf numFmtId="0" fontId="5" fillId="8" borderId="7" xfId="0" applyFont="1" applyFill="1" applyBorder="1"/>
    <xf numFmtId="165" fontId="0" fillId="8" borderId="1" xfId="0" applyNumberFormat="1" applyFill="1" applyBorder="1"/>
    <xf numFmtId="0" fontId="0" fillId="8" borderId="1" xfId="0" applyFill="1" applyBorder="1" applyAlignment="1">
      <alignment horizontal="center"/>
    </xf>
  </cellXfs>
  <cellStyles count="19">
    <cellStyle name="Comma" xfId="1" builtinId="3"/>
    <cellStyle name="Comma 2" xfId="5"/>
    <cellStyle name="Comma 2 2" xfId="14"/>
    <cellStyle name="Comma 2 3" xfId="17"/>
    <cellStyle name="Comma 3" xfId="12"/>
    <cellStyle name="Currency" xfId="2" builtinId="4"/>
    <cellStyle name="Currency 2" xfId="7"/>
    <cellStyle name="Currency 2 2" xfId="15"/>
    <cellStyle name="Currency 2 2 2" xfId="8"/>
    <cellStyle name="Currency 3" xfId="9"/>
    <cellStyle name="Currency 5" xfId="10"/>
    <cellStyle name="Normal" xfId="0" builtinId="0"/>
    <cellStyle name="Normal 13" xfId="11"/>
    <cellStyle name="Normal 2" xfId="4"/>
    <cellStyle name="Percent" xfId="3" builtinId="5"/>
    <cellStyle name="Percent 2" xfId="6"/>
    <cellStyle name="Percent 2 2" xfId="16"/>
    <cellStyle name="Percent 2 3" xfId="18"/>
    <cellStyle name="Percent 3" xfId="1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P57"/>
  <sheetViews>
    <sheetView tabSelected="1" workbookViewId="0">
      <selection activeCell="L20" sqref="L20"/>
    </sheetView>
  </sheetViews>
  <sheetFormatPr defaultColWidth="9.140625" defaultRowHeight="15" x14ac:dyDescent="0.25"/>
  <cols>
    <col min="1" max="1" width="9.140625" style="1"/>
    <col min="2" max="2" width="36.5703125" style="1" customWidth="1"/>
    <col min="3" max="7" width="17.42578125" style="1" customWidth="1"/>
    <col min="8" max="9" width="9.140625" style="1"/>
    <col min="10" max="11" width="13.28515625" style="1" bestFit="1" customWidth="1"/>
    <col min="12" max="12" width="14.5703125" style="1" bestFit="1" customWidth="1"/>
    <col min="13" max="13" width="9.140625" style="1"/>
    <col min="14" max="14" width="15.28515625" style="1" bestFit="1" customWidth="1"/>
    <col min="15" max="15" width="9.140625" style="1"/>
    <col min="16" max="16" width="13.5703125" style="1" bestFit="1" customWidth="1"/>
    <col min="17" max="16384" width="9.140625" style="1"/>
  </cols>
  <sheetData>
    <row r="1" spans="1:16" ht="18.75" x14ac:dyDescent="0.3">
      <c r="A1" s="2" t="s">
        <v>93</v>
      </c>
    </row>
    <row r="3" spans="1:16" s="85" customFormat="1" ht="30" x14ac:dyDescent="0.25">
      <c r="B3" s="86" t="s">
        <v>1</v>
      </c>
      <c r="C3" s="86" t="s">
        <v>3</v>
      </c>
      <c r="D3" s="86" t="s">
        <v>4</v>
      </c>
      <c r="E3" s="86" t="s">
        <v>5</v>
      </c>
      <c r="F3" s="86" t="s">
        <v>6</v>
      </c>
      <c r="G3" s="86" t="s">
        <v>7</v>
      </c>
    </row>
    <row r="4" spans="1:16" x14ac:dyDescent="0.25">
      <c r="B4" s="87" t="s">
        <v>0</v>
      </c>
      <c r="C4" s="86"/>
      <c r="D4" s="86"/>
      <c r="E4" s="86"/>
      <c r="F4" s="86"/>
      <c r="G4" s="86"/>
      <c r="J4" s="78"/>
    </row>
    <row r="5" spans="1:16" x14ac:dyDescent="0.25">
      <c r="B5" s="3" t="str">
        <f>'WA E and G Combined'!A4</f>
        <v>WA LI (With out Conversions)</v>
      </c>
      <c r="C5" s="29">
        <f>(VLOOKUP(B5,'WA E and G Combined'!A:B,2,FALSE)/1000)*2</f>
        <v>1462.736224737477</v>
      </c>
      <c r="D5" s="22">
        <f>(VLOOKUP(B5,'WA E and G Combined'!A:Y,12,FALSE)+VLOOKUP(B5,'WA E and G Combined'!A:Y,17,FALSE)+100000)*2</f>
        <v>2065844.2899999998</v>
      </c>
      <c r="E5" s="8">
        <f>VLOOKUP(B5,'WA E and G Combined'!A:Z,3,FALSE)*2</f>
        <v>30646.374253631446</v>
      </c>
      <c r="F5" s="22">
        <f>(VLOOKUP(B5,'WA E and G Combined'!A:AA,13,FALSE)+VLOOKUP(B5,'WA E and G Combined'!A:AA,18,FALSE)+200000)*2</f>
        <v>1662951.7510138948</v>
      </c>
      <c r="G5" s="22">
        <f>D5+F5</f>
        <v>3728796.0410138946</v>
      </c>
      <c r="J5" s="78"/>
      <c r="K5" s="80"/>
      <c r="L5" s="79"/>
      <c r="N5" s="79"/>
      <c r="P5" s="79"/>
    </row>
    <row r="6" spans="1:16" ht="15.75" thickBot="1" x14ac:dyDescent="0.3">
      <c r="B6" s="4" t="str">
        <f>'WA E and G Combined'!A31</f>
        <v>LI Conversions</v>
      </c>
      <c r="C6" s="9">
        <f>(VLOOKUP(B6,'WA E and G Combined'!A:B,2,FALSE)/1000)*2</f>
        <v>233.124</v>
      </c>
      <c r="D6" s="23">
        <f>(VLOOKUP(B6,'WA E and G Combined'!A:Y,12,FALSE)+VLOOKUP(B6,'WA E and G Combined'!A:Y,17,FALSE))*2</f>
        <v>296672.35416042991</v>
      </c>
      <c r="E6" s="9">
        <f>VLOOKUP(B6,'WA E and G Combined'!A:Z,3,FALSE)*2</f>
        <v>-10077</v>
      </c>
      <c r="F6" s="23">
        <f>(VLOOKUP(B6,'WA E and G Combined'!A:AA,13,FALSE)+VLOOKUP(B6,'WA E and G Combined'!A:AA,18,FALSE))*2</f>
        <v>0</v>
      </c>
      <c r="G6" s="23">
        <f t="shared" ref="G6:G49" si="0">D6+F6</f>
        <v>296672.35416042991</v>
      </c>
      <c r="J6" s="78"/>
      <c r="K6" s="80"/>
      <c r="L6" s="79"/>
      <c r="N6" s="79"/>
      <c r="P6" s="79"/>
    </row>
    <row r="7" spans="1:16" ht="15.75" thickTop="1" x14ac:dyDescent="0.25">
      <c r="B7" s="31" t="s">
        <v>2</v>
      </c>
      <c r="C7" s="32">
        <f>C5+C6</f>
        <v>1695.860224737477</v>
      </c>
      <c r="D7" s="33">
        <f>D5+D6</f>
        <v>2362516.6441604299</v>
      </c>
      <c r="E7" s="32">
        <f>E5+E6</f>
        <v>20569.374253631446</v>
      </c>
      <c r="F7" s="33">
        <f>F5</f>
        <v>1662951.7510138948</v>
      </c>
      <c r="G7" s="33">
        <f t="shared" si="0"/>
        <v>4025468.3951743245</v>
      </c>
      <c r="J7" s="78"/>
      <c r="K7" s="80"/>
      <c r="L7" s="79"/>
      <c r="N7" s="79"/>
      <c r="P7" s="79"/>
    </row>
    <row r="8" spans="1:16" x14ac:dyDescent="0.25">
      <c r="B8" s="3"/>
      <c r="C8" s="8"/>
      <c r="D8" s="3"/>
      <c r="E8" s="8"/>
      <c r="F8" s="3"/>
      <c r="G8" s="22"/>
      <c r="J8" s="78"/>
      <c r="K8" s="80"/>
      <c r="L8" s="79"/>
      <c r="N8" s="79"/>
      <c r="P8" s="79"/>
    </row>
    <row r="9" spans="1:16" x14ac:dyDescent="0.25">
      <c r="B9" s="27" t="s">
        <v>8</v>
      </c>
      <c r="C9" s="86"/>
      <c r="D9" s="86"/>
      <c r="E9" s="86"/>
      <c r="F9" s="86"/>
      <c r="G9" s="86"/>
      <c r="J9" s="78"/>
      <c r="K9" s="80"/>
      <c r="L9" s="79"/>
      <c r="N9" s="79"/>
      <c r="P9" s="79"/>
    </row>
    <row r="10" spans="1:16" x14ac:dyDescent="0.25">
      <c r="B10" s="3" t="str">
        <f>'WA E and G Combined'!A8</f>
        <v>Behavioral Program</v>
      </c>
      <c r="C10" s="29">
        <f>('WA E and G Combined'!B8*2)/1000</f>
        <v>15386</v>
      </c>
      <c r="D10" s="89">
        <v>0</v>
      </c>
      <c r="E10" s="8">
        <v>0</v>
      </c>
      <c r="F10" s="26">
        <f>(VLOOKUP(B10,'WA E and G Combined'!A:AA,13,FALSE)+VLOOKUP(B10,'WA E and G Combined'!A:AA,18,FALSE))*2</f>
        <v>0</v>
      </c>
      <c r="G10" s="22">
        <v>812750</v>
      </c>
      <c r="J10" s="78"/>
      <c r="K10" s="80"/>
      <c r="L10" s="79"/>
      <c r="N10" s="79"/>
      <c r="P10" s="79"/>
    </row>
    <row r="11" spans="1:16" x14ac:dyDescent="0.25">
      <c r="B11" s="3" t="str">
        <f>'WA E and G Combined'!A6</f>
        <v>Residential Prescriptive</v>
      </c>
      <c r="C11" s="29">
        <f>(VLOOKUP(B11,'WA E and G Combined'!A:B,2,FALSE)/1000)*2</f>
        <v>2389.4844347853737</v>
      </c>
      <c r="D11" s="26">
        <f>(VLOOKUP(B11,'WA E and G Combined'!A:Y,12,FALSE)+VLOOKUP(B11,'WA E and G Combined'!A:Y,17,FALSE))*2</f>
        <v>328392</v>
      </c>
      <c r="E11" s="8">
        <f>VLOOKUP(B11,'WA E and G Combined'!A:Z,3,FALSE)*2</f>
        <v>955008</v>
      </c>
      <c r="F11" s="26">
        <f>(VLOOKUP(B11,'WA E and G Combined'!A:AA,13,FALSE)+VLOOKUP(B11,'WA E and G Combined'!A:AA,18,FALSE))*2</f>
        <v>2135100</v>
      </c>
      <c r="G11" s="22">
        <f t="shared" si="0"/>
        <v>2463492</v>
      </c>
      <c r="J11" s="78"/>
      <c r="K11" s="80"/>
      <c r="L11" s="79"/>
      <c r="N11" s="79"/>
      <c r="P11" s="79"/>
    </row>
    <row r="12" spans="1:16" x14ac:dyDescent="0.25">
      <c r="B12" s="3" t="str">
        <f>'WA E and G Combined'!A29</f>
        <v>Res Converersions</v>
      </c>
      <c r="C12" s="8">
        <f>(VLOOKUP(B12,'WA E and G Combined'!A:B,2,FALSE)/1000)*2</f>
        <v>25022.07533333333</v>
      </c>
      <c r="D12" s="26">
        <f>(VLOOKUP(B12,'WA E and G Combined'!A:Y,12,FALSE)+VLOOKUP(B12,'WA E and G Combined'!A:Y,17,FALSE))*2</f>
        <v>4942900</v>
      </c>
      <c r="E12" s="8">
        <f>VLOOKUP(B12,'WA E and G Combined'!A:Z,3,FALSE)*2</f>
        <v>-1203542.105263158</v>
      </c>
      <c r="F12" s="26">
        <f>(VLOOKUP(B12,'WA E and G Combined'!A:AA,13,FALSE)+VLOOKUP(B12,'WA E and G Combined'!A:AA,18,FALSE))*2</f>
        <v>0</v>
      </c>
      <c r="G12" s="22">
        <f t="shared" si="0"/>
        <v>4942900</v>
      </c>
      <c r="J12" s="78"/>
      <c r="K12" s="80"/>
      <c r="L12" s="79"/>
      <c r="N12" s="79"/>
      <c r="P12" s="79"/>
    </row>
    <row r="13" spans="1:16" ht="15.75" thickBot="1" x14ac:dyDescent="0.3">
      <c r="B13" s="4" t="str">
        <f>'WA E and G Combined'!A7</f>
        <v>Simple Steps</v>
      </c>
      <c r="C13" s="30">
        <f>(VLOOKUP(B13,'WA E and G Combined'!A:B,2,FALSE)/1000)*2</f>
        <v>23859.849996000004</v>
      </c>
      <c r="D13" s="23">
        <f>(VLOOKUP(B13,'WA E and G Combined'!A:Y,12,FALSE)+VLOOKUP(B13,'WA E and G Combined'!A:Y,17,FALSE))*2</f>
        <v>2885540.3847000008</v>
      </c>
      <c r="E13" s="9">
        <f>VLOOKUP(B13,'WA E and G Combined'!A:Z,3,FALSE)*2</f>
        <v>19082</v>
      </c>
      <c r="F13" s="23">
        <f>(VLOOKUP(B13,'WA E and G Combined'!A:AA,13,FALSE)+VLOOKUP(B13,'WA E and G Combined'!A:AA,18,FALSE))*2</f>
        <v>20072.521431248675</v>
      </c>
      <c r="G13" s="23">
        <f t="shared" si="0"/>
        <v>2905612.9061312494</v>
      </c>
      <c r="J13" s="78"/>
      <c r="K13" s="80"/>
      <c r="L13" s="79"/>
      <c r="N13" s="79"/>
      <c r="P13" s="79"/>
    </row>
    <row r="14" spans="1:16" ht="15.75" thickTop="1" x14ac:dyDescent="0.25">
      <c r="B14" s="31" t="s">
        <v>9</v>
      </c>
      <c r="C14" s="32">
        <f>SUM(C10:C13)</f>
        <v>66657.409764118711</v>
      </c>
      <c r="D14" s="33">
        <f>SUM(D10:D13)</f>
        <v>8156832.3847000003</v>
      </c>
      <c r="E14" s="32">
        <f>SUM(E10:E13)</f>
        <v>-229452.10526315798</v>
      </c>
      <c r="F14" s="33">
        <f>SUM(F10:F13)</f>
        <v>2155172.5214312486</v>
      </c>
      <c r="G14" s="33">
        <f t="shared" si="0"/>
        <v>10312004.906131249</v>
      </c>
      <c r="J14" s="78"/>
      <c r="K14" s="80"/>
      <c r="L14" s="79"/>
      <c r="N14" s="79"/>
      <c r="P14" s="79"/>
    </row>
    <row r="15" spans="1:16" x14ac:dyDescent="0.25">
      <c r="B15" s="3"/>
      <c r="C15" s="8"/>
      <c r="D15" s="3"/>
      <c r="E15" s="3"/>
      <c r="F15" s="3"/>
      <c r="G15" s="22"/>
      <c r="J15" s="78"/>
      <c r="K15" s="80"/>
      <c r="L15" s="79"/>
      <c r="N15" s="79"/>
      <c r="P15" s="79"/>
    </row>
    <row r="16" spans="1:16" x14ac:dyDescent="0.25">
      <c r="B16" s="27" t="s">
        <v>10</v>
      </c>
      <c r="C16" s="86"/>
      <c r="D16" s="86"/>
      <c r="E16" s="86"/>
      <c r="F16" s="86"/>
      <c r="G16" s="86"/>
      <c r="J16" s="78"/>
      <c r="K16" s="80"/>
      <c r="L16" s="79"/>
      <c r="N16" s="79"/>
      <c r="P16" s="79"/>
    </row>
    <row r="17" spans="2:16" x14ac:dyDescent="0.25">
      <c r="B17" s="3" t="str">
        <f>'WA E and G Combined'!A11</f>
        <v>Interior Pres Lighting</v>
      </c>
      <c r="C17" s="29">
        <f>(VLOOKUP(B17,'WA E and G Combined'!A:B,2,FALSE)/1000)*2</f>
        <v>14605.253113988758</v>
      </c>
      <c r="D17" s="22">
        <f>(VLOOKUP(B17,'WA E and G Combined'!A:Y,12,FALSE)+VLOOKUP(B17,'WA E and G Combined'!A:Y,17,FALSE))*2</f>
        <v>2334298.7951807231</v>
      </c>
      <c r="E17" s="8">
        <f>VLOOKUP(B17,'WA E and G Combined'!A:Z,3,FALSE)*2</f>
        <v>-159404.93929285143</v>
      </c>
      <c r="F17" s="22">
        <f>(VLOOKUP(B17,'WA E and G Combined'!A:AA,13,FALSE)+VLOOKUP(B17,'WA E and G Combined'!A:AA,18,FALSE))*2</f>
        <v>0</v>
      </c>
      <c r="G17" s="22">
        <f t="shared" si="0"/>
        <v>2334298.7951807231</v>
      </c>
      <c r="J17" s="78"/>
      <c r="K17" s="80"/>
      <c r="L17" s="79"/>
      <c r="N17" s="79"/>
      <c r="P17" s="79"/>
    </row>
    <row r="18" spans="2:16" x14ac:dyDescent="0.25">
      <c r="B18" s="3" t="str">
        <f>'WA E and G Combined'!A12</f>
        <v>Exterior Pres Lighting</v>
      </c>
      <c r="C18" s="29">
        <f>(VLOOKUP(B18,'WA E and G Combined'!A:B,2,FALSE)/1000)*2</f>
        <v>5035.7936675000001</v>
      </c>
      <c r="D18" s="22">
        <f>(VLOOKUP(B18,'WA E and G Combined'!A:Y,12,FALSE)+VLOOKUP(B18,'WA E and G Combined'!A:Y,17,FALSE))*2</f>
        <v>879710</v>
      </c>
      <c r="E18" s="8">
        <f>VLOOKUP(B18,'WA E and G Combined'!A:Z,3,FALSE)*2</f>
        <v>0</v>
      </c>
      <c r="F18" s="22">
        <f>(VLOOKUP(B18,'WA E and G Combined'!A:AA,13,FALSE)+VLOOKUP(B18,'WA E and G Combined'!A:AA,18,FALSE))*2</f>
        <v>0</v>
      </c>
      <c r="G18" s="22">
        <f t="shared" si="0"/>
        <v>879710</v>
      </c>
      <c r="J18" s="78"/>
      <c r="K18" s="80"/>
      <c r="L18" s="79"/>
      <c r="N18" s="79"/>
      <c r="P18" s="79"/>
    </row>
    <row r="19" spans="2:16" x14ac:dyDescent="0.25">
      <c r="B19" s="3" t="str">
        <f>'WA E and G Combined'!A13</f>
        <v>Site Specific</v>
      </c>
      <c r="C19" s="29">
        <f>(VLOOKUP(B19,'WA E and G Combined'!A:B,2,FALSE)/1000)*2</f>
        <v>18000</v>
      </c>
      <c r="D19" s="22">
        <f>(VLOOKUP(B19,'WA E and G Combined'!A:Y,12,FALSE)+VLOOKUP(B19,'WA E and G Combined'!A:Y,17,FALSE))*2</f>
        <v>2900000</v>
      </c>
      <c r="E19" s="8">
        <f>VLOOKUP(B19,'WA E and G Combined'!A:Z,3,FALSE)*2</f>
        <v>200000</v>
      </c>
      <c r="F19" s="22">
        <f>(VLOOKUP(B19,'WA E and G Combined'!A:AA,13,FALSE)+VLOOKUP(B19,'WA E and G Combined'!A:AA,18,FALSE))*2</f>
        <v>600000</v>
      </c>
      <c r="G19" s="22">
        <f t="shared" si="0"/>
        <v>3500000</v>
      </c>
      <c r="J19" s="78"/>
      <c r="K19" s="80"/>
      <c r="L19" s="79"/>
      <c r="N19" s="79"/>
      <c r="P19" s="79"/>
    </row>
    <row r="20" spans="2:16" x14ac:dyDescent="0.25">
      <c r="B20" s="3" t="str">
        <f>'WA E and G Combined'!A14</f>
        <v>Prescriptive Shell</v>
      </c>
      <c r="C20" s="29">
        <f>(VLOOKUP(B20,'WA E and G Combined'!A:B,2,FALSE)/1000)*2</f>
        <v>15.706</v>
      </c>
      <c r="D20" s="22">
        <f>(VLOOKUP(B20,'WA E and G Combined'!A:Y,12,FALSE)+VLOOKUP(B20,'WA E and G Combined'!A:Y,17,FALSE))*2</f>
        <v>2170</v>
      </c>
      <c r="E20" s="8">
        <f>VLOOKUP(B20,'WA E and G Combined'!A:Z,3,FALSE)*2</f>
        <v>41600</v>
      </c>
      <c r="F20" s="22">
        <f>(VLOOKUP(B20,'WA E and G Combined'!A:AA,13,FALSE)+VLOOKUP(B20,'WA E and G Combined'!A:AA,18,FALSE))*2</f>
        <v>59418.126126570409</v>
      </c>
      <c r="G20" s="22">
        <f t="shared" si="0"/>
        <v>61588.126126570409</v>
      </c>
      <c r="J20" s="78"/>
      <c r="K20" s="80"/>
      <c r="L20" s="79"/>
      <c r="N20" s="79"/>
      <c r="P20" s="79"/>
    </row>
    <row r="21" spans="2:16" x14ac:dyDescent="0.25">
      <c r="B21" s="3" t="str">
        <f>'WA E and G Combined'!A15</f>
        <v>NonRes HVAC</v>
      </c>
      <c r="C21" s="29">
        <f>(VLOOKUP(B21,'WA E and G Combined'!A:B,2,FALSE)/1000)*2</f>
        <v>0</v>
      </c>
      <c r="D21" s="22">
        <f>(VLOOKUP(B21,'WA E and G Combined'!A:Y,12,FALSE)+VLOOKUP(B21,'WA E and G Combined'!A:Y,17,FALSE))*2</f>
        <v>0</v>
      </c>
      <c r="E21" s="8">
        <f>VLOOKUP(B21,'WA E and G Combined'!A:Z,3,FALSE)*2</f>
        <v>64283.519999999997</v>
      </c>
      <c r="F21" s="22">
        <f>(VLOOKUP(B21,'WA E and G Combined'!A:AA,13,FALSE)+VLOOKUP(B21,'WA E and G Combined'!A:AA,18,FALSE))*2</f>
        <v>123999</v>
      </c>
      <c r="G21" s="22">
        <f t="shared" si="0"/>
        <v>123999</v>
      </c>
      <c r="J21" s="78"/>
      <c r="K21" s="80"/>
      <c r="L21" s="79"/>
      <c r="N21" s="79"/>
      <c r="P21" s="79"/>
    </row>
    <row r="22" spans="2:16" x14ac:dyDescent="0.25">
      <c r="B22" s="3" t="str">
        <f>'WA E and G Combined'!A16</f>
        <v>Green Motors</v>
      </c>
      <c r="C22" s="29">
        <f>(VLOOKUP(B22,'WA E and G Combined'!A:B,2,FALSE)/1000)*2</f>
        <v>157.94999999999999</v>
      </c>
      <c r="D22" s="22">
        <f>(VLOOKUP(B22,'WA E and G Combined'!A:Y,12,FALSE)+VLOOKUP(B22,'WA E and G Combined'!A:Y,17,FALSE))*2</f>
        <v>22037.5</v>
      </c>
      <c r="E22" s="8">
        <f>VLOOKUP(B22,'WA E and G Combined'!A:Z,3,FALSE)*2</f>
        <v>0</v>
      </c>
      <c r="F22" s="22">
        <f>(VLOOKUP(B22,'WA E and G Combined'!A:AA,13,FALSE)+VLOOKUP(B22,'WA E and G Combined'!A:AA,18,FALSE))*2</f>
        <v>0</v>
      </c>
      <c r="G22" s="22">
        <f t="shared" si="0"/>
        <v>22037.5</v>
      </c>
      <c r="J22" s="78"/>
      <c r="K22" s="80"/>
      <c r="L22" s="79"/>
      <c r="N22" s="79"/>
      <c r="P22" s="79"/>
    </row>
    <row r="23" spans="2:16" x14ac:dyDescent="0.25">
      <c r="B23" s="3" t="str">
        <f>'WA E and G Combined'!A17</f>
        <v>Variable Frequency Drives</v>
      </c>
      <c r="C23" s="29">
        <f>(VLOOKUP(B23,'WA E and G Combined'!A:B,2,FALSE)/1000)*2</f>
        <v>904.34199999999998</v>
      </c>
      <c r="D23" s="22">
        <f>(VLOOKUP(B23,'WA E and G Combined'!A:Y,12,FALSE)+VLOOKUP(B23,'WA E and G Combined'!A:Y,17,FALSE))*2</f>
        <v>86186.9</v>
      </c>
      <c r="E23" s="8">
        <f>VLOOKUP(B23,'WA E and G Combined'!A:Z,3,FALSE)*2</f>
        <v>0</v>
      </c>
      <c r="F23" s="22">
        <f>(VLOOKUP(B23,'WA E and G Combined'!A:AA,13,FALSE)+VLOOKUP(B23,'WA E and G Combined'!A:AA,18,FALSE))*2</f>
        <v>0</v>
      </c>
      <c r="G23" s="22">
        <f t="shared" si="0"/>
        <v>86186.9</v>
      </c>
      <c r="J23" s="78"/>
      <c r="K23" s="80"/>
      <c r="L23" s="79"/>
      <c r="N23" s="79"/>
      <c r="P23" s="79"/>
    </row>
    <row r="24" spans="2:16" x14ac:dyDescent="0.25">
      <c r="B24" s="3" t="str">
        <f>'WA E and G Combined'!A18</f>
        <v>Fleet Heat</v>
      </c>
      <c r="C24" s="29">
        <f>(VLOOKUP(B24,'WA E and G Combined'!A:B,2,FALSE)/1000)*2</f>
        <v>64</v>
      </c>
      <c r="D24" s="22">
        <f>(VLOOKUP(B24,'WA E and G Combined'!A:Y,12,FALSE)+VLOOKUP(B24,'WA E and G Combined'!A:Y,17,FALSE))*2</f>
        <v>4164</v>
      </c>
      <c r="E24" s="8">
        <f>VLOOKUP(B24,'WA E and G Combined'!A:Z,3,FALSE)*2</f>
        <v>0</v>
      </c>
      <c r="F24" s="22">
        <f>(VLOOKUP(B24,'WA E and G Combined'!A:AA,13,FALSE)+VLOOKUP(B24,'WA E and G Combined'!A:AA,18,FALSE))*2</f>
        <v>0</v>
      </c>
      <c r="G24" s="22">
        <f t="shared" si="0"/>
        <v>4164</v>
      </c>
      <c r="J24" s="78"/>
      <c r="K24" s="80"/>
      <c r="L24" s="79"/>
      <c r="N24" s="79"/>
      <c r="P24" s="79"/>
    </row>
    <row r="25" spans="2:16" x14ac:dyDescent="0.25">
      <c r="B25" s="3" t="str">
        <f>'WA E and G Combined'!A19</f>
        <v>Energy Smart Grocer</v>
      </c>
      <c r="C25" s="29">
        <f>(VLOOKUP(B25,'WA E and G Combined'!A:B,2,FALSE)/1000)*2</f>
        <v>2876.3490000000002</v>
      </c>
      <c r="D25" s="22">
        <f>(VLOOKUP(B25,'WA E and G Combined'!A:Y,12,FALSE)+VLOOKUP(B25,'WA E and G Combined'!A:Y,17,FALSE))*2</f>
        <v>682120.32190226635</v>
      </c>
      <c r="E25" s="8">
        <f>VLOOKUP(B25,'WA E and G Combined'!A:Z,3,FALSE)*2</f>
        <v>29155</v>
      </c>
      <c r="F25" s="22">
        <f>(VLOOKUP(B25,'WA E and G Combined'!A:AA,13,FALSE)+VLOOKUP(B25,'WA E and G Combined'!A:AA,18,FALSE))*2</f>
        <v>84104.08809773362</v>
      </c>
      <c r="G25" s="22">
        <f t="shared" si="0"/>
        <v>766224.40999999992</v>
      </c>
      <c r="J25" s="78"/>
      <c r="K25" s="80"/>
      <c r="L25" s="79"/>
      <c r="N25" s="79"/>
      <c r="P25" s="79"/>
    </row>
    <row r="26" spans="2:16" x14ac:dyDescent="0.25">
      <c r="B26" s="3" t="str">
        <f>'WA E and G Combined'!A20</f>
        <v>Multifamily Market Transformation</v>
      </c>
      <c r="C26" s="76">
        <f>(VLOOKUP(B26,'WA E and G Combined'!A:B,2,FALSE)/1000)*2</f>
        <v>6367.4160000000002</v>
      </c>
      <c r="D26" s="22">
        <f>(VLOOKUP(B26,'WA E and G Combined'!A:Y,12,FALSE)+VLOOKUP(B26,'WA E and G Combined'!A:Y,17,FALSE))*2</f>
        <v>3794000</v>
      </c>
      <c r="E26" s="8">
        <f>VLOOKUP(B26,'WA E and G Combined'!A:Z,3,FALSE)*2</f>
        <v>-279672</v>
      </c>
      <c r="F26" s="22">
        <f>(VLOOKUP(B26,'WA E and G Combined'!A:AA,13,FALSE)+VLOOKUP(B26,'WA E and G Combined'!A:AA,18,FALSE))*2</f>
        <v>0</v>
      </c>
      <c r="G26" s="22">
        <f t="shared" si="0"/>
        <v>3794000</v>
      </c>
      <c r="J26" s="78"/>
      <c r="K26" s="80"/>
      <c r="L26" s="79"/>
      <c r="N26" s="79"/>
      <c r="P26" s="79"/>
    </row>
    <row r="27" spans="2:16" x14ac:dyDescent="0.25">
      <c r="B27" s="3" t="str">
        <f>'WA E and G Combined'!A21</f>
        <v>Food Services</v>
      </c>
      <c r="C27" s="29">
        <f>(VLOOKUP(B27,'WA E and G Combined'!A:B,2,FALSE)/1000)*2</f>
        <v>219.22208000000001</v>
      </c>
      <c r="D27" s="22">
        <f>(VLOOKUP(B27,'WA E and G Combined'!A:Y,12,FALSE)+VLOOKUP(B27,'WA E and G Combined'!A:Y,17,FALSE))*2</f>
        <v>12578.2</v>
      </c>
      <c r="E27" s="8">
        <f>VLOOKUP(B27,'WA E and G Combined'!A:Z,3,FALSE)*2</f>
        <v>99126.562550999995</v>
      </c>
      <c r="F27" s="22">
        <f>(VLOOKUP(B27,'WA E and G Combined'!A:AA,13,FALSE)+VLOOKUP(B27,'WA E and G Combined'!A:AA,18,FALSE))*2</f>
        <v>188100</v>
      </c>
      <c r="G27" s="22">
        <f t="shared" si="0"/>
        <v>200678.2</v>
      </c>
      <c r="J27" s="78"/>
      <c r="K27" s="80"/>
      <c r="L27" s="79"/>
      <c r="N27" s="79"/>
      <c r="P27" s="79"/>
    </row>
    <row r="28" spans="2:16" ht="15.75" thickBot="1" x14ac:dyDescent="0.3">
      <c r="B28" s="4" t="str">
        <f>'WA E and G Combined'!A22</f>
        <v>AirGuardian</v>
      </c>
      <c r="C28" s="30">
        <f>(VLOOKUP(B28,'WA E and G Combined'!A:B,2,FALSE)/1000)*2</f>
        <v>84</v>
      </c>
      <c r="D28" s="23">
        <f>(VLOOKUP(B28,'WA E and G Combined'!A:Y,12,FALSE)+VLOOKUP(B28,'WA E and G Combined'!A:Y,17,FALSE))*2</f>
        <v>20160</v>
      </c>
      <c r="E28" s="9">
        <f>VLOOKUP(B28,'WA E and G Combined'!A:Z,3,FALSE)*2</f>
        <v>0</v>
      </c>
      <c r="F28" s="23">
        <f>(VLOOKUP(B28,'WA E and G Combined'!A:AA,13,FALSE)+VLOOKUP(B28,'WA E and G Combined'!A:AA,18,FALSE))*2</f>
        <v>0</v>
      </c>
      <c r="G28" s="40"/>
      <c r="J28" s="78"/>
      <c r="K28" s="80"/>
      <c r="L28" s="79"/>
      <c r="N28" s="79"/>
      <c r="P28" s="79"/>
    </row>
    <row r="29" spans="2:16" ht="15.75" thickTop="1" x14ac:dyDescent="0.25">
      <c r="B29" s="31" t="s">
        <v>47</v>
      </c>
      <c r="C29" s="32">
        <f>SUM(C17:C28)</f>
        <v>48330.031861488751</v>
      </c>
      <c r="D29" s="33">
        <f t="shared" ref="D29:F29" si="1">SUM(D17:D28)</f>
        <v>10737425.717082988</v>
      </c>
      <c r="E29" s="32">
        <f t="shared" si="1"/>
        <v>-4911.8567418514431</v>
      </c>
      <c r="F29" s="33">
        <f t="shared" si="1"/>
        <v>1055621.2142243041</v>
      </c>
      <c r="G29" s="33">
        <f t="shared" si="0"/>
        <v>11793046.931307293</v>
      </c>
      <c r="J29" s="78"/>
      <c r="K29" s="80"/>
      <c r="L29" s="79"/>
      <c r="N29" s="79"/>
      <c r="P29" s="79"/>
    </row>
    <row r="30" spans="2:16" x14ac:dyDescent="0.25">
      <c r="B30" s="3"/>
      <c r="C30" s="3"/>
      <c r="D30" s="3"/>
      <c r="E30" s="3"/>
      <c r="F30" s="3"/>
      <c r="G30" s="22"/>
      <c r="J30" s="78"/>
      <c r="K30" s="80"/>
      <c r="L30" s="79"/>
      <c r="N30" s="79"/>
    </row>
    <row r="31" spans="2:16" x14ac:dyDescent="0.25">
      <c r="B31" s="27" t="s">
        <v>48</v>
      </c>
      <c r="C31" s="27"/>
      <c r="D31" s="27"/>
      <c r="E31" s="27"/>
      <c r="F31" s="27"/>
      <c r="G31" s="39"/>
      <c r="J31" s="78"/>
    </row>
    <row r="32" spans="2:16" x14ac:dyDescent="0.25">
      <c r="B32" s="3" t="s">
        <v>49</v>
      </c>
      <c r="C32" s="8">
        <f>('WA E and G Combined'!B33*2)/1000</f>
        <v>9986.4</v>
      </c>
      <c r="D32" s="43">
        <v>2800000</v>
      </c>
      <c r="E32" s="3"/>
      <c r="F32" s="3"/>
      <c r="G32" s="22">
        <f t="shared" si="0"/>
        <v>2800000</v>
      </c>
      <c r="J32" s="78"/>
      <c r="L32" s="77"/>
    </row>
    <row r="33" spans="2:12" ht="15.75" thickBot="1" x14ac:dyDescent="0.3">
      <c r="B33" s="4" t="s">
        <v>50</v>
      </c>
      <c r="C33" s="4"/>
      <c r="D33" s="4"/>
      <c r="E33" s="4"/>
      <c r="F33" s="42">
        <v>410000</v>
      </c>
      <c r="G33" s="23">
        <f t="shared" si="0"/>
        <v>410000</v>
      </c>
      <c r="J33" s="78"/>
    </row>
    <row r="34" spans="2:12" ht="15.75" thickTop="1" x14ac:dyDescent="0.25">
      <c r="B34" s="31" t="s">
        <v>51</v>
      </c>
      <c r="C34" s="34">
        <f>SUM(C32:C33)</f>
        <v>9986.4</v>
      </c>
      <c r="D34" s="33">
        <f>SUM(D32:D33)</f>
        <v>2800000</v>
      </c>
      <c r="E34" s="34">
        <f>SUM(E32:E33)</f>
        <v>0</v>
      </c>
      <c r="F34" s="33">
        <f>SUM(F32:F33)</f>
        <v>410000</v>
      </c>
      <c r="G34" s="33">
        <f t="shared" si="0"/>
        <v>3210000</v>
      </c>
      <c r="J34" s="78"/>
      <c r="L34" s="79"/>
    </row>
    <row r="35" spans="2:12" x14ac:dyDescent="0.25">
      <c r="B35" s="3"/>
      <c r="C35" s="3"/>
      <c r="D35" s="3"/>
      <c r="E35" s="3"/>
      <c r="F35" s="21"/>
      <c r="G35" s="22"/>
      <c r="J35" s="78"/>
    </row>
    <row r="36" spans="2:12" x14ac:dyDescent="0.25">
      <c r="B36" s="27" t="s">
        <v>52</v>
      </c>
      <c r="C36" s="27"/>
      <c r="D36" s="27"/>
      <c r="E36" s="27"/>
      <c r="F36" s="28"/>
      <c r="G36" s="39"/>
    </row>
    <row r="37" spans="2:12" x14ac:dyDescent="0.25">
      <c r="B37" s="3" t="s">
        <v>53</v>
      </c>
      <c r="C37" s="3"/>
      <c r="D37" s="22">
        <v>1271879.1399999999</v>
      </c>
      <c r="E37" s="3"/>
      <c r="F37" s="22">
        <v>224449.25999999998</v>
      </c>
      <c r="G37" s="22">
        <f t="shared" si="0"/>
        <v>1496328.4</v>
      </c>
    </row>
    <row r="38" spans="2:12" x14ac:dyDescent="0.25">
      <c r="B38" s="3" t="s">
        <v>54</v>
      </c>
      <c r="C38" s="3"/>
      <c r="D38" s="22">
        <v>119000</v>
      </c>
      <c r="E38" s="3"/>
      <c r="F38" s="22">
        <v>21000</v>
      </c>
      <c r="G38" s="22">
        <f t="shared" si="0"/>
        <v>140000</v>
      </c>
    </row>
    <row r="39" spans="2:12" x14ac:dyDescent="0.25">
      <c r="B39" s="3" t="s">
        <v>55</v>
      </c>
      <c r="C39" s="3"/>
      <c r="D39" s="22">
        <v>952000</v>
      </c>
      <c r="E39" s="3"/>
      <c r="F39" s="22">
        <v>168000</v>
      </c>
      <c r="G39" s="22">
        <f t="shared" si="0"/>
        <v>1120000</v>
      </c>
    </row>
    <row r="40" spans="2:12" x14ac:dyDescent="0.25">
      <c r="B40" s="3" t="s">
        <v>56</v>
      </c>
      <c r="C40" s="3"/>
      <c r="D40" s="22">
        <v>89250</v>
      </c>
      <c r="E40" s="3"/>
      <c r="F40" s="22">
        <v>15750</v>
      </c>
      <c r="G40" s="22">
        <f t="shared" si="0"/>
        <v>105000</v>
      </c>
    </row>
    <row r="41" spans="2:12" x14ac:dyDescent="0.25">
      <c r="B41" s="24" t="s">
        <v>57</v>
      </c>
      <c r="C41" s="24"/>
      <c r="D41" s="25">
        <v>59500</v>
      </c>
      <c r="E41" s="24"/>
      <c r="F41" s="25">
        <v>10500</v>
      </c>
      <c r="G41" s="22">
        <f t="shared" si="0"/>
        <v>70000</v>
      </c>
    </row>
    <row r="42" spans="2:12" x14ac:dyDescent="0.25">
      <c r="B42" s="3" t="s">
        <v>58</v>
      </c>
      <c r="C42" s="3"/>
      <c r="D42" s="22">
        <v>210000</v>
      </c>
      <c r="E42" s="3"/>
      <c r="F42" s="22">
        <v>14000</v>
      </c>
      <c r="G42" s="22">
        <f t="shared" si="0"/>
        <v>224000</v>
      </c>
    </row>
    <row r="43" spans="2:12" x14ac:dyDescent="0.25">
      <c r="B43" s="3" t="s">
        <v>79</v>
      </c>
      <c r="C43" s="24"/>
      <c r="D43" s="25">
        <v>357000</v>
      </c>
      <c r="E43" s="24"/>
      <c r="F43" s="25">
        <v>63000</v>
      </c>
      <c r="G43" s="22">
        <f t="shared" si="0"/>
        <v>420000</v>
      </c>
    </row>
    <row r="44" spans="2:12" ht="15.75" thickBot="1" x14ac:dyDescent="0.3">
      <c r="B44" s="4" t="s">
        <v>59</v>
      </c>
      <c r="C44" s="4"/>
      <c r="D44" s="23">
        <v>4421535.4399999995</v>
      </c>
      <c r="E44" s="4"/>
      <c r="F44" s="23">
        <v>780270.95999999985</v>
      </c>
      <c r="G44" s="23">
        <f t="shared" si="0"/>
        <v>5201806.3999999994</v>
      </c>
    </row>
    <row r="45" spans="2:12" ht="15.75" thickTop="1" x14ac:dyDescent="0.25">
      <c r="B45" s="31" t="s">
        <v>60</v>
      </c>
      <c r="C45" s="31"/>
      <c r="D45" s="33">
        <f>SUM(D37:D44)</f>
        <v>7480164.5799999991</v>
      </c>
      <c r="E45" s="31"/>
      <c r="F45" s="33">
        <f>SUM(F37:F44)</f>
        <v>1296970.2199999997</v>
      </c>
      <c r="G45" s="33">
        <f t="shared" si="0"/>
        <v>8777134.7999999989</v>
      </c>
    </row>
    <row r="46" spans="2:12" ht="15.75" thickBot="1" x14ac:dyDescent="0.3">
      <c r="B46" s="4"/>
      <c r="C46" s="4"/>
      <c r="D46" s="4"/>
      <c r="E46" s="4"/>
      <c r="F46" s="4"/>
      <c r="G46" s="23"/>
    </row>
    <row r="47" spans="2:12" ht="15.75" thickTop="1" x14ac:dyDescent="0.25">
      <c r="B47" s="31" t="s">
        <v>61</v>
      </c>
      <c r="C47" s="34">
        <f>C7+C14+C29</f>
        <v>116683.30185034494</v>
      </c>
      <c r="D47" s="33">
        <f>D7+D14+D29+D45</f>
        <v>28736939.325943418</v>
      </c>
      <c r="E47" s="34">
        <f>E7+E14+E29+E45</f>
        <v>-213794.58775137796</v>
      </c>
      <c r="F47" s="33">
        <f>F7+F14+F29+F45</f>
        <v>6170715.706669447</v>
      </c>
      <c r="G47" s="33">
        <f t="shared" si="0"/>
        <v>34907655.032612868</v>
      </c>
    </row>
    <row r="48" spans="2:12" ht="15.75" thickBot="1" x14ac:dyDescent="0.3">
      <c r="B48" s="4"/>
      <c r="C48" s="41"/>
      <c r="D48" s="4"/>
      <c r="E48" s="4"/>
      <c r="F48" s="4"/>
      <c r="G48" s="23"/>
    </row>
    <row r="49" spans="2:7" ht="15.75" thickTop="1" x14ac:dyDescent="0.25">
      <c r="B49" s="31" t="s">
        <v>62</v>
      </c>
      <c r="C49" s="34">
        <f>C47+C34</f>
        <v>126669.70185034494</v>
      </c>
      <c r="D49" s="33">
        <f>D47+D34</f>
        <v>31536939.325943418</v>
      </c>
      <c r="E49" s="34">
        <f>E47+E34</f>
        <v>-213794.58775137796</v>
      </c>
      <c r="F49" s="33">
        <f>F47+F34</f>
        <v>6580715.706669447</v>
      </c>
      <c r="G49" s="33">
        <f t="shared" si="0"/>
        <v>38117655.032612868</v>
      </c>
    </row>
    <row r="50" spans="2:7" x14ac:dyDescent="0.25">
      <c r="B50" s="3"/>
      <c r="C50" s="3"/>
      <c r="D50" s="3"/>
      <c r="E50" s="3"/>
      <c r="F50" s="3"/>
      <c r="G50" s="3"/>
    </row>
    <row r="51" spans="2:7" x14ac:dyDescent="0.25">
      <c r="B51" s="29" t="s">
        <v>63</v>
      </c>
      <c r="C51" s="36">
        <f>SUM(C17:C28)+C13+C11+C5+C10-C26</f>
        <v>85060.686517011622</v>
      </c>
      <c r="D51" s="3"/>
      <c r="E51" s="91">
        <f>E5+E11+E13+E17+E19+E20+E21+E25+E27</f>
        <v>1279496.5175117799</v>
      </c>
      <c r="F51" s="92" t="s">
        <v>94</v>
      </c>
      <c r="G51" s="3"/>
    </row>
    <row r="52" spans="2:7" x14ac:dyDescent="0.25">
      <c r="B52" s="3"/>
      <c r="C52" s="3"/>
      <c r="D52" s="37"/>
      <c r="E52" s="3"/>
      <c r="F52" s="3"/>
      <c r="G52" s="3"/>
    </row>
    <row r="53" spans="2:7" x14ac:dyDescent="0.25">
      <c r="B53" s="35" t="s">
        <v>64</v>
      </c>
      <c r="C53" s="35"/>
      <c r="D53" s="38">
        <f>D37/D49</f>
        <v>4.0329821700665368E-2</v>
      </c>
      <c r="E53" s="35"/>
      <c r="F53" s="38">
        <f>F37/F49</f>
        <v>3.4107119955436513E-2</v>
      </c>
      <c r="G53" s="3"/>
    </row>
    <row r="54" spans="2:7" ht="15.75" thickBot="1" x14ac:dyDescent="0.3"/>
    <row r="55" spans="2:7" ht="15.75" thickBot="1" x14ac:dyDescent="0.3">
      <c r="B55" s="44" t="s">
        <v>65</v>
      </c>
      <c r="E55" s="80"/>
    </row>
    <row r="56" spans="2:7" ht="15.75" thickBot="1" x14ac:dyDescent="0.3">
      <c r="F56" s="79"/>
    </row>
    <row r="57" spans="2:7" ht="15.75" thickBot="1" x14ac:dyDescent="0.3">
      <c r="B57" s="90" t="s">
        <v>95</v>
      </c>
    </row>
  </sheetData>
  <pageMargins left="0.7" right="0.7" top="0.75" bottom="0.75" header="0.3" footer="0.3"/>
  <pageSetup scale="68" orientation="portrait" r:id="rId1"/>
  <headerFooter>
    <oddFooter>&amp;L&amp;F
&amp;A&amp;R 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2:Y37"/>
  <sheetViews>
    <sheetView workbookViewId="0">
      <selection activeCell="D18" sqref="D18"/>
    </sheetView>
  </sheetViews>
  <sheetFormatPr defaultColWidth="9.140625" defaultRowHeight="15" x14ac:dyDescent="0.25"/>
  <cols>
    <col min="1" max="1" width="32.7109375" style="56" bestFit="1" customWidth="1"/>
    <col min="2" max="2" width="11.5703125" style="18" bestFit="1" customWidth="1"/>
    <col min="3" max="3" width="16.140625" style="18" customWidth="1"/>
    <col min="4" max="5" width="12.5703125" style="18" bestFit="1" customWidth="1"/>
    <col min="6" max="6" width="11.5703125" style="18" bestFit="1" customWidth="1"/>
    <col min="7" max="7" width="12.5703125" style="18" bestFit="1" customWidth="1"/>
    <col min="8" max="8" width="12.28515625" style="18" bestFit="1" customWidth="1"/>
    <col min="9" max="10" width="11.5703125" style="18" bestFit="1" customWidth="1"/>
    <col min="11" max="11" width="10.7109375" style="18" bestFit="1" customWidth="1"/>
    <col min="12" max="13" width="11.5703125" style="18" bestFit="1" customWidth="1"/>
    <col min="14" max="14" width="16" style="18" bestFit="1" customWidth="1"/>
    <col min="15" max="15" width="12.5703125" style="18" bestFit="1" customWidth="1"/>
    <col min="16" max="16" width="10.5703125" style="18" bestFit="1" customWidth="1"/>
    <col min="17" max="17" width="10" style="18" bestFit="1" customWidth="1"/>
    <col min="18" max="18" width="9" style="18" bestFit="1" customWidth="1"/>
    <col min="19" max="19" width="10.5703125" style="18" bestFit="1" customWidth="1"/>
    <col min="20" max="20" width="11.5703125" style="18" bestFit="1" customWidth="1"/>
    <col min="21" max="21" width="10" style="18" bestFit="1" customWidth="1"/>
    <col min="22" max="23" width="6" style="18" bestFit="1" customWidth="1"/>
    <col min="24" max="24" width="7.7109375" style="18" bestFit="1" customWidth="1"/>
    <col min="25" max="25" width="6" style="18" bestFit="1" customWidth="1"/>
    <col min="26" max="16384" width="9.140625" style="18"/>
  </cols>
  <sheetData>
    <row r="2" spans="1:25" ht="30" x14ac:dyDescent="0.25">
      <c r="A2" s="56" t="s">
        <v>11</v>
      </c>
      <c r="B2" s="57" t="s">
        <v>12</v>
      </c>
      <c r="C2" s="57" t="s">
        <v>13</v>
      </c>
      <c r="D2" s="57" t="s">
        <v>14</v>
      </c>
      <c r="E2" s="57" t="s">
        <v>15</v>
      </c>
      <c r="F2" s="57" t="s">
        <v>16</v>
      </c>
      <c r="G2" s="58" t="s">
        <v>17</v>
      </c>
      <c r="H2" s="57" t="s">
        <v>18</v>
      </c>
      <c r="I2" s="57" t="s">
        <v>19</v>
      </c>
      <c r="J2" s="57" t="s">
        <v>72</v>
      </c>
      <c r="K2" s="57" t="s">
        <v>73</v>
      </c>
      <c r="L2" s="58" t="s">
        <v>20</v>
      </c>
      <c r="M2" s="58" t="s">
        <v>21</v>
      </c>
      <c r="N2" s="58" t="s">
        <v>22</v>
      </c>
      <c r="O2" s="58" t="s">
        <v>23</v>
      </c>
      <c r="P2" s="58" t="s">
        <v>24</v>
      </c>
      <c r="Q2" s="58" t="s">
        <v>74</v>
      </c>
      <c r="R2" s="58" t="s">
        <v>75</v>
      </c>
      <c r="S2" s="58" t="s">
        <v>25</v>
      </c>
      <c r="T2" s="58" t="s">
        <v>76</v>
      </c>
      <c r="U2" s="58" t="s">
        <v>77</v>
      </c>
      <c r="V2" s="58" t="s">
        <v>26</v>
      </c>
      <c r="W2" s="58" t="s">
        <v>27</v>
      </c>
      <c r="X2" s="58" t="s">
        <v>28</v>
      </c>
      <c r="Y2" s="58" t="s">
        <v>29</v>
      </c>
    </row>
    <row r="3" spans="1:25" x14ac:dyDescent="0.25">
      <c r="B3" s="57"/>
      <c r="C3" s="57"/>
      <c r="D3" s="57"/>
      <c r="E3" s="57"/>
      <c r="F3" s="57"/>
      <c r="G3" s="58"/>
      <c r="H3" s="57"/>
      <c r="I3" s="57"/>
      <c r="J3" s="57"/>
      <c r="K3" s="57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</row>
    <row r="4" spans="1:25" ht="15.75" thickBot="1" x14ac:dyDescent="0.3">
      <c r="A4" s="64" t="s">
        <v>80</v>
      </c>
      <c r="B4" s="65">
        <f>'WA ELEC'!B4+'WA NG'!B4</f>
        <v>731368.11236873851</v>
      </c>
      <c r="C4" s="65">
        <f>'WA ELEC'!C4+'WA NG'!C4</f>
        <v>15323.187126815723</v>
      </c>
      <c r="D4" s="65">
        <f>'WA ELEC'!D4+'WA NG'!D4</f>
        <v>1529118.8277131938</v>
      </c>
      <c r="E4" s="65">
        <f>'WA ELEC'!E4+'WA NG'!E4</f>
        <v>818136.09999999986</v>
      </c>
      <c r="F4" s="65">
        <f>'WA ELEC'!F4+'WA NG'!F4</f>
        <v>710982.72771319386</v>
      </c>
      <c r="G4" s="65">
        <f>'WA ELEC'!G4+'WA NG'!G4</f>
        <v>1075587.4375399125</v>
      </c>
      <c r="H4" s="65">
        <f>'WA ELEC'!H4+'WA NG'!H4</f>
        <v>211622.45975300457</v>
      </c>
      <c r="I4" s="65">
        <f>'WA ELEC'!I4+'WA NG'!I4</f>
        <v>568514.30493119976</v>
      </c>
      <c r="J4" s="65">
        <f>'WA ELEC'!J4+'WA NG'!J4</f>
        <v>228157.60493119975</v>
      </c>
      <c r="K4" s="65">
        <f>'WA ELEC'!K4+'WA NG'!K4</f>
        <v>340356.7</v>
      </c>
      <c r="L4" s="65">
        <f>'WA ELEC'!L4+'WA NG'!L4</f>
        <v>818136.09999999986</v>
      </c>
      <c r="M4" s="65">
        <f>'WA ELEC'!M4+'WA NG'!M4</f>
        <v>549109.47000604123</v>
      </c>
      <c r="N4" s="65">
        <f>'WA ELEC'!N4+'WA NG'!N4</f>
        <v>1293575.9802714181</v>
      </c>
      <c r="O4" s="65">
        <f>'WA ELEC'!O4+'WA NG'!O4</f>
        <v>362467.7924711206</v>
      </c>
      <c r="P4" s="65">
        <f>'WA ELEC'!P4+'WA NG'!P4</f>
        <v>197152.45050090621</v>
      </c>
      <c r="Q4" s="65">
        <f>'WA ELEC'!Q4+'WA NG'!Q4</f>
        <v>114786.04500000001</v>
      </c>
      <c r="R4" s="65">
        <f>'WA ELEC'!R4+'WA NG'!R4</f>
        <v>82366.405500906185</v>
      </c>
      <c r="S4" s="65">
        <f>'WA ELEC'!S4+'WA NG'!S4</f>
        <v>109083.81719437023</v>
      </c>
      <c r="T4" s="65">
        <f>'WA ELEC'!T4+'WA NG'!T4</f>
        <v>88363.770695982341</v>
      </c>
      <c r="U4" s="65">
        <f>'WA ELEC'!U4+'WA NG'!U4</f>
        <v>20720.046498387888</v>
      </c>
      <c r="V4" s="50">
        <f>((H4+K4+G4+J4)*1.1)/(F4+E4+R4+S4+Q4)</f>
        <v>1.1122080013580284</v>
      </c>
      <c r="W4" s="50">
        <f>(H4+G4)/(M4+R4+S4+L4+Q4)</f>
        <v>0.76918067964276171</v>
      </c>
      <c r="X4" s="50" t="s">
        <v>30</v>
      </c>
      <c r="Y4" s="50">
        <f>(H4+G4)/(M4+O4+R4+S4+L4+N4+Q4)</f>
        <v>0.3866045941365564</v>
      </c>
    </row>
    <row r="5" spans="1:25" ht="15.75" thickTop="1" x14ac:dyDescent="0.25">
      <c r="A5" s="67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9"/>
      <c r="N5" s="69"/>
      <c r="O5" s="69"/>
      <c r="P5" s="69"/>
      <c r="Q5" s="69"/>
      <c r="R5" s="69"/>
      <c r="S5" s="69"/>
      <c r="T5" s="69"/>
      <c r="U5" s="69"/>
      <c r="V5" s="51"/>
      <c r="W5" s="51"/>
      <c r="X5" s="51"/>
      <c r="Y5" s="51"/>
    </row>
    <row r="6" spans="1:25" x14ac:dyDescent="0.25">
      <c r="A6" s="67" t="str">
        <f>'WA ELEC'!A6</f>
        <v>Residential Prescriptive</v>
      </c>
      <c r="B6" s="60">
        <f>'WA ELEC'!B6+'WA NG'!B6</f>
        <v>1194742.2173926868</v>
      </c>
      <c r="C6" s="60">
        <f>'WA ELEC'!C6+'WA NG'!C6</f>
        <v>477504</v>
      </c>
      <c r="D6" s="60">
        <f>'WA ELEC'!D6+'WA NG'!D6</f>
        <v>4891856.26</v>
      </c>
      <c r="E6" s="60">
        <f>'WA ELEC'!E6+'WA NG'!E6</f>
        <v>897851.25999999989</v>
      </c>
      <c r="F6" s="60">
        <f>'WA ELEC'!F6+'WA NG'!F6</f>
        <v>3994005</v>
      </c>
      <c r="G6" s="60">
        <f>'WA ELEC'!G6+'WA NG'!G6</f>
        <v>1362391.947875422</v>
      </c>
      <c r="H6" s="60">
        <f>'WA ELEC'!H6+'WA NG'!H6</f>
        <v>5237796.1962007582</v>
      </c>
      <c r="I6" s="60">
        <f>'WA ELEC'!I6+'WA NG'!I6</f>
        <v>82756.090253768678</v>
      </c>
      <c r="J6" s="60">
        <f>'WA ELEC'!J6+'WA NG'!J6</f>
        <v>82756.090253768678</v>
      </c>
      <c r="K6" s="60">
        <f>'WA ELEC'!K6+'WA NG'!K6</f>
        <v>0</v>
      </c>
      <c r="L6" s="60">
        <f>'WA ELEC'!L6+'WA NG'!L6</f>
        <v>164196</v>
      </c>
      <c r="M6" s="60">
        <f>'WA ELEC'!M6+'WA NG'!M6</f>
        <v>1067550</v>
      </c>
      <c r="N6" s="60">
        <f>'WA ELEC'!N6+'WA NG'!N6</f>
        <v>1695412.3130329009</v>
      </c>
      <c r="O6" s="60">
        <f>'WA ELEC'!O6+'WA NG'!O6</f>
        <v>7811805.2443199977</v>
      </c>
      <c r="P6" s="60">
        <f>'WA ELEC'!P6+'WA NG'!P6</f>
        <v>0</v>
      </c>
      <c r="Q6" s="60">
        <f>'WA ELEC'!Q6+'WA NG'!Q6</f>
        <v>0</v>
      </c>
      <c r="R6" s="60">
        <f>'WA ELEC'!R6+'WA NG'!R6</f>
        <v>0</v>
      </c>
      <c r="S6" s="60">
        <f>'WA ELEC'!S6+'WA NG'!S6</f>
        <v>624760.78723001597</v>
      </c>
      <c r="T6" s="60">
        <f>'WA ELEC'!T6+'WA NG'!T6</f>
        <v>111925.89786606657</v>
      </c>
      <c r="U6" s="60">
        <f>'WA ELEC'!U6+'WA NG'!U6</f>
        <v>512834.88936394936</v>
      </c>
      <c r="V6" s="51">
        <f t="shared" ref="V6:V35" si="0">((H6+K6+G6+J6)*1.1)/(F6+E6+R6+S6+Q6)</f>
        <v>1.3325627997785567</v>
      </c>
      <c r="W6" s="51">
        <f>(H6+G6)/(M6+R6+S6+L6+Q6)</f>
        <v>3.5551651033411682</v>
      </c>
      <c r="X6" s="51">
        <f>(O6+K6+J6+N6)/(F6+E6-M6-L6)</f>
        <v>2.6201324458478656</v>
      </c>
      <c r="Y6" s="51">
        <f>(H6+G6)/(M6+O6+R6+S6+L6+N6+Q6)</f>
        <v>0.580812059843962</v>
      </c>
    </row>
    <row r="7" spans="1:25" x14ac:dyDescent="0.25">
      <c r="A7" s="67" t="str">
        <f>'WA ELEC'!A7</f>
        <v>Simple Steps</v>
      </c>
      <c r="B7" s="60">
        <f>'WA ELEC'!B7+'WA NG'!B7</f>
        <v>11929924.998000002</v>
      </c>
      <c r="C7" s="60">
        <f>'WA ELEC'!C7+'WA NG'!C7</f>
        <v>9541</v>
      </c>
      <c r="D7" s="60">
        <f>'WA ELEC'!D7+'WA NG'!D7</f>
        <v>1437538.2982131699</v>
      </c>
      <c r="E7" s="60">
        <f>'WA ELEC'!E7+'WA NG'!E7</f>
        <v>1432940.8275000001</v>
      </c>
      <c r="F7" s="60">
        <f>'WA ELEC'!F7+'WA NG'!F7</f>
        <v>4597.4707131696978</v>
      </c>
      <c r="G7" s="60">
        <f>'WA ELEC'!G7+'WA NG'!G7</f>
        <v>9147545.8637385983</v>
      </c>
      <c r="H7" s="60">
        <f>'WA ELEC'!H7+'WA NG'!H7</f>
        <v>40281.443178070076</v>
      </c>
      <c r="I7" s="60">
        <f>'WA ELEC'!I7+'WA NG'!I7</f>
        <v>7150.8357598823413</v>
      </c>
      <c r="J7" s="60">
        <f>'WA ELEC'!J7+'WA NG'!J7</f>
        <v>0</v>
      </c>
      <c r="K7" s="60">
        <f>'WA ELEC'!K7+'WA NG'!K7</f>
        <v>7150.8357598823413</v>
      </c>
      <c r="L7" s="60">
        <f>'WA ELEC'!L7+'WA NG'!L7</f>
        <v>1093128.3000000003</v>
      </c>
      <c r="M7" s="60">
        <f>'WA ELEC'!M7+'WA NG'!M7</f>
        <v>3166.7826663453761</v>
      </c>
      <c r="N7" s="60">
        <f>'WA ELEC'!N7+'WA NG'!N7</f>
        <v>12568845.257645145</v>
      </c>
      <c r="O7" s="60">
        <f>'WA ELEC'!O7+'WA NG'!O7</f>
        <v>59514.773471999986</v>
      </c>
      <c r="P7" s="60">
        <f>'WA ELEC'!P7+'WA NG'!P7</f>
        <v>356511.37039927905</v>
      </c>
      <c r="Q7" s="60">
        <f>'WA ELEC'!Q7+'WA NG'!Q7</f>
        <v>349641.8923500001</v>
      </c>
      <c r="R7" s="60">
        <f>'WA ELEC'!R7+'WA NG'!R7</f>
        <v>6869.4780492789614</v>
      </c>
      <c r="S7" s="60">
        <f>'WA ELEC'!S7+'WA NG'!S7</f>
        <v>756967.41468125</v>
      </c>
      <c r="T7" s="60">
        <f>'WA ELEC'!T7+'WA NG'!T7</f>
        <v>751507.14569812431</v>
      </c>
      <c r="U7" s="60">
        <f>'WA ELEC'!U7+'WA NG'!U7</f>
        <v>5460.2689831256903</v>
      </c>
      <c r="V7" s="51">
        <f t="shared" si="0"/>
        <v>3.964879742743662</v>
      </c>
      <c r="W7" s="51">
        <f>(H7+G7)/(M7+R7+S7+L7+Q7)</f>
        <v>4.1578133586513735</v>
      </c>
      <c r="X7" s="51">
        <f>(O7+K7+J7+N7)/(F7+E7-M7-L7)</f>
        <v>37.027874229321412</v>
      </c>
      <c r="Y7" s="51">
        <f>(H7+G7)/(M7+O7+R7+S7+L7+N7+Q7)</f>
        <v>0.61920369296708344</v>
      </c>
    </row>
    <row r="8" spans="1:25" ht="15.75" thickBot="1" x14ac:dyDescent="0.3">
      <c r="A8" s="64" t="str">
        <f>'WA ELEC'!A8</f>
        <v>Behavioral Program</v>
      </c>
      <c r="B8" s="65">
        <f>'WA ELEC'!B8</f>
        <v>7693000</v>
      </c>
      <c r="C8" s="65">
        <f>'WA ELEC'!C8</f>
        <v>0</v>
      </c>
      <c r="D8" s="65">
        <f>'WA ELEC'!D8</f>
        <v>0.01</v>
      </c>
      <c r="E8" s="65">
        <f>'WA ELEC'!E8</f>
        <v>0.01</v>
      </c>
      <c r="F8" s="65">
        <f>'WA ELEC'!F8</f>
        <v>0</v>
      </c>
      <c r="G8" s="65">
        <f>'WA ELEC'!G8</f>
        <v>437810.408078468</v>
      </c>
      <c r="H8" s="65">
        <f>'WA ELEC'!H8</f>
        <v>0</v>
      </c>
      <c r="I8" s="65">
        <f>'WA ELEC'!I8</f>
        <v>0</v>
      </c>
      <c r="J8" s="65">
        <f>'WA ELEC'!J8</f>
        <v>0</v>
      </c>
      <c r="K8" s="65">
        <f>'WA ELEC'!K8</f>
        <v>0</v>
      </c>
      <c r="L8" s="65">
        <f>'WA ELEC'!L8</f>
        <v>9.9999999999999995E-7</v>
      </c>
      <c r="M8" s="65">
        <f>'WA ELEC'!M8</f>
        <v>0</v>
      </c>
      <c r="N8" s="65">
        <f>'WA ELEC'!N8</f>
        <v>1194413.7812727271</v>
      </c>
      <c r="O8" s="65">
        <f>'WA ELEC'!O8</f>
        <v>0</v>
      </c>
      <c r="P8" s="65">
        <f>'WA ELEC'!P8</f>
        <v>0</v>
      </c>
      <c r="Q8" s="65">
        <f>'WA ELEC'!Q8</f>
        <v>0</v>
      </c>
      <c r="R8" s="65">
        <f>'WA ELEC'!R8</f>
        <v>0</v>
      </c>
      <c r="S8" s="65">
        <f>'WA ELEC'!S8</f>
        <v>35967.860126968641</v>
      </c>
      <c r="T8" s="65">
        <f>'WA ELEC'!T8</f>
        <v>35967.860126968641</v>
      </c>
      <c r="U8" s="65">
        <f>'WA ELEC'!U8</f>
        <v>0</v>
      </c>
      <c r="V8" s="65">
        <f>'WA ELEC'!V8</f>
        <v>13.389490319728953</v>
      </c>
      <c r="W8" s="65">
        <f>'WA ELEC'!W8</f>
        <v>12.172267310893655</v>
      </c>
      <c r="X8" s="65" t="str">
        <f>'WA ELEC'!X8</f>
        <v>NA</v>
      </c>
      <c r="Y8" s="65">
        <f>'WA ELEC'!Y8</f>
        <v>0.355833014202044</v>
      </c>
    </row>
    <row r="9" spans="1:25" ht="15.75" thickTop="1" x14ac:dyDescent="0.25">
      <c r="A9" s="67" t="s">
        <v>32</v>
      </c>
      <c r="B9" s="60">
        <f t="shared" ref="B9:H9" si="1">SUM(B6:B8)</f>
        <v>20817667.215392686</v>
      </c>
      <c r="C9" s="60">
        <f t="shared" si="1"/>
        <v>487045</v>
      </c>
      <c r="D9" s="60">
        <f t="shared" si="1"/>
        <v>6329394.5682131695</v>
      </c>
      <c r="E9" s="60">
        <f t="shared" si="1"/>
        <v>2330792.0974999997</v>
      </c>
      <c r="F9" s="60">
        <f t="shared" si="1"/>
        <v>3998602.4707131698</v>
      </c>
      <c r="G9" s="60">
        <f t="shared" si="1"/>
        <v>10947748.219692487</v>
      </c>
      <c r="H9" s="60">
        <f t="shared" si="1"/>
        <v>5278077.639378828</v>
      </c>
      <c r="I9" s="60">
        <f t="shared" ref="I9:I23" si="2">J9+K9</f>
        <v>89906.926013651013</v>
      </c>
      <c r="J9" s="60">
        <f t="shared" ref="J9:O9" si="3">SUM(J6:J8)</f>
        <v>82756.090253768678</v>
      </c>
      <c r="K9" s="60">
        <f t="shared" si="3"/>
        <v>7150.8357598823413</v>
      </c>
      <c r="L9" s="60">
        <f t="shared" si="3"/>
        <v>1257324.3000010003</v>
      </c>
      <c r="M9" s="63">
        <f t="shared" si="3"/>
        <v>1070716.7826663454</v>
      </c>
      <c r="N9" s="63">
        <f t="shared" si="3"/>
        <v>15458671.351950772</v>
      </c>
      <c r="O9" s="63">
        <f t="shared" si="3"/>
        <v>7871320.0177919976</v>
      </c>
      <c r="P9" s="63">
        <f t="shared" ref="P9:P23" si="4">Q9+R9</f>
        <v>356511.37039927905</v>
      </c>
      <c r="Q9" s="63">
        <f>SUM(Q6:Q8)</f>
        <v>349641.8923500001</v>
      </c>
      <c r="R9" s="63">
        <f>SUM(R6:R8)</f>
        <v>6869.4780492789614</v>
      </c>
      <c r="S9" s="63">
        <f t="shared" ref="S9:S23" si="5">T9+U9</f>
        <v>1417696.0620382344</v>
      </c>
      <c r="T9" s="63">
        <f>SUM(T6:T8)</f>
        <v>899400.90369115944</v>
      </c>
      <c r="U9" s="63">
        <f>U6+U7+U8</f>
        <v>518295.15834707505</v>
      </c>
      <c r="V9" s="51">
        <f t="shared" si="0"/>
        <v>2.2147319256489117</v>
      </c>
      <c r="W9" s="51">
        <f>(H9+G9)/(M9+R9+S9+L9+Q9)</f>
        <v>3.9553493161924052</v>
      </c>
      <c r="X9" s="51">
        <f>(O9+K9+J9+N9)/(F9+E9-M9-L9)</f>
        <v>5.8529940882145572</v>
      </c>
      <c r="Y9" s="51">
        <f>(H9+G9)/(M9+O9+R9+S9+L9+N9+Q9)</f>
        <v>0.59148745881424547</v>
      </c>
    </row>
    <row r="10" spans="1:25" x14ac:dyDescent="0.25">
      <c r="A10" s="59"/>
      <c r="B10" s="60"/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2"/>
      <c r="N10" s="62"/>
      <c r="O10" s="62"/>
      <c r="P10" s="62"/>
      <c r="Q10" s="62"/>
      <c r="R10" s="62"/>
      <c r="S10" s="62"/>
      <c r="T10" s="62"/>
      <c r="U10" s="62"/>
      <c r="V10" s="70"/>
      <c r="W10" s="70"/>
      <c r="X10" s="70"/>
      <c r="Y10" s="70"/>
    </row>
    <row r="11" spans="1:25" x14ac:dyDescent="0.25">
      <c r="A11" s="67" t="str">
        <f>'WA ELEC'!A11</f>
        <v>Interior Pres Lighting</v>
      </c>
      <c r="B11" s="60">
        <f>'WA NG'!B11+'WA ELEC'!B11</f>
        <v>7302626.5569943786</v>
      </c>
      <c r="C11" s="60">
        <f>'WA NG'!C11+'WA ELEC'!C11</f>
        <v>-79702.469646425714</v>
      </c>
      <c r="D11" s="60">
        <f>'WA NG'!D11+'WA ELEC'!D11</f>
        <v>2939177.2803212851</v>
      </c>
      <c r="E11" s="60">
        <f>'WA NG'!E11+'WA ELEC'!E11</f>
        <v>2939177.2803212851</v>
      </c>
      <c r="F11" s="60">
        <f>'WA NG'!F11+'WA ELEC'!F11</f>
        <v>0</v>
      </c>
      <c r="G11" s="60">
        <f>'WA NG'!G11+'WA ELEC'!G11</f>
        <v>4830074.9717671312</v>
      </c>
      <c r="H11" s="60">
        <f>'WA NG'!H11+'WA ELEC'!H11</f>
        <v>-527099.47598610469</v>
      </c>
      <c r="I11" s="60">
        <f>'WA NG'!I11+'WA ELEC'!I11</f>
        <v>1100214.1238717488</v>
      </c>
      <c r="J11" s="60">
        <f>'WA NG'!J11+'WA ELEC'!J11</f>
        <v>1202946.2442794223</v>
      </c>
      <c r="K11" s="60">
        <f>'WA NG'!K11+'WA ELEC'!K11</f>
        <v>-102732.12040767347</v>
      </c>
      <c r="L11" s="60">
        <f>'WA NG'!L11+'WA ELEC'!L11</f>
        <v>1167149.3975903615</v>
      </c>
      <c r="M11" s="60">
        <f>'WA NG'!M11+'WA ELEC'!M11</f>
        <v>0</v>
      </c>
      <c r="N11" s="60">
        <f>'WA NG'!N11+'WA ELEC'!N11</f>
        <v>7994367.0153024383</v>
      </c>
      <c r="O11" s="60">
        <f>'WA NG'!O11+'WA ELEC'!O11</f>
        <v>-690064.28343824774</v>
      </c>
      <c r="P11" s="60">
        <f>'WA NG'!P11+'WA ELEC'!P11</f>
        <v>0</v>
      </c>
      <c r="Q11" s="60">
        <f>'WA NG'!Q11+'WA ELEC'!Q11</f>
        <v>0</v>
      </c>
      <c r="R11" s="60">
        <f>'WA NG'!R11+'WA ELEC'!R11</f>
        <v>0</v>
      </c>
      <c r="S11" s="60">
        <f>'WA NG'!S11+'WA ELEC'!S11</f>
        <v>396809.80118717352</v>
      </c>
      <c r="T11" s="60">
        <f>'WA NG'!T11+'WA ELEC'!T11</f>
        <v>396809.80118717352</v>
      </c>
      <c r="U11" s="60">
        <f>'WA NG'!U11+'WA ELEC'!U11</f>
        <v>0</v>
      </c>
      <c r="V11" s="51">
        <f t="shared" si="0"/>
        <v>1.7816341719556457</v>
      </c>
      <c r="W11" s="51">
        <f t="shared" ref="W11:W23" si="6">(H11+G11)/(M11+R11+S11+L11+Q11)</f>
        <v>2.7513348808232578</v>
      </c>
      <c r="X11" s="51">
        <f t="shared" ref="X11:X17" si="7">(O11+K11+J11+N11)/(F11+E11-M11-L11)</f>
        <v>4.7428807061339766</v>
      </c>
      <c r="Y11" s="51">
        <f t="shared" ref="Y11:Y22" si="8">(H11+G11)/(M11+O11+R11+S11+L11+N11+Q11)</f>
        <v>0.48521069059917299</v>
      </c>
    </row>
    <row r="12" spans="1:25" x14ac:dyDescent="0.25">
      <c r="A12" s="67" t="str">
        <f>'WA ELEC'!A12</f>
        <v>Exterior Pres Lighting</v>
      </c>
      <c r="B12" s="60">
        <f>'WA NG'!B12+'WA ELEC'!B12</f>
        <v>2517896.8337500002</v>
      </c>
      <c r="C12" s="60">
        <f>'WA NG'!C12+'WA ELEC'!C12</f>
        <v>0</v>
      </c>
      <c r="D12" s="60">
        <f>'WA NG'!D12+'WA ELEC'!D12</f>
        <v>878688.64</v>
      </c>
      <c r="E12" s="60">
        <f>'WA NG'!E12+'WA ELEC'!E12</f>
        <v>878688.64</v>
      </c>
      <c r="F12" s="60">
        <f>'WA NG'!F12+'WA ELEC'!F12</f>
        <v>0</v>
      </c>
      <c r="G12" s="60">
        <f>'WA NG'!G12+'WA ELEC'!G12</f>
        <v>1361096.3906188693</v>
      </c>
      <c r="H12" s="60">
        <f>'WA NG'!H12+'WA ELEC'!H12</f>
        <v>0</v>
      </c>
      <c r="I12" s="60">
        <f>'WA NG'!I12+'WA ELEC'!I12</f>
        <v>1957482.9460831312</v>
      </c>
      <c r="J12" s="60">
        <f>'WA NG'!J12+'WA ELEC'!J12</f>
        <v>1957482.9460831312</v>
      </c>
      <c r="K12" s="60">
        <f>'WA NG'!K12+'WA ELEC'!K12</f>
        <v>0</v>
      </c>
      <c r="L12" s="60">
        <f>'WA NG'!L12+'WA ELEC'!L12</f>
        <v>439855</v>
      </c>
      <c r="M12" s="60">
        <f>'WA NG'!M12+'WA ELEC'!M12</f>
        <v>0</v>
      </c>
      <c r="N12" s="60">
        <f>'WA NG'!N12+'WA ELEC'!N12</f>
        <v>2200013.1481061494</v>
      </c>
      <c r="O12" s="60">
        <f>'WA NG'!O12+'WA ELEC'!O12</f>
        <v>0</v>
      </c>
      <c r="P12" s="60">
        <f>'WA NG'!P12+'WA ELEC'!P12</f>
        <v>0</v>
      </c>
      <c r="Q12" s="60">
        <f>'WA NG'!Q12+'WA ELEC'!Q12</f>
        <v>0</v>
      </c>
      <c r="R12" s="60">
        <f>'WA NG'!R12+'WA ELEC'!R12</f>
        <v>0</v>
      </c>
      <c r="S12" s="60">
        <f>'WA NG'!S12+'WA ELEC'!S12</f>
        <v>111819.46270296781</v>
      </c>
      <c r="T12" s="60">
        <f>'WA NG'!T12+'WA ELEC'!T12</f>
        <v>111819.46270296781</v>
      </c>
      <c r="U12" s="60">
        <f>'WA NG'!U12+'WA ELEC'!U12</f>
        <v>0</v>
      </c>
      <c r="V12" s="51">
        <f t="shared" si="0"/>
        <v>3.6854188879531948</v>
      </c>
      <c r="W12" s="51">
        <f t="shared" si="6"/>
        <v>2.467209346523096</v>
      </c>
      <c r="X12" s="51">
        <f t="shared" si="7"/>
        <v>9.4739685275478891</v>
      </c>
      <c r="Y12" s="51">
        <f t="shared" si="8"/>
        <v>0.49464059265748089</v>
      </c>
    </row>
    <row r="13" spans="1:25" x14ac:dyDescent="0.25">
      <c r="A13" s="67" t="str">
        <f>'WA ELEC'!A13</f>
        <v>Site Specific</v>
      </c>
      <c r="B13" s="60">
        <f>'WA NG'!B13+'WA ELEC'!B13</f>
        <v>9000000</v>
      </c>
      <c r="C13" s="60">
        <f>'WA NG'!C13+'WA ELEC'!C13</f>
        <v>100000</v>
      </c>
      <c r="D13" s="60">
        <f>'WA NG'!D13+'WA ELEC'!D13</f>
        <v>4730222</v>
      </c>
      <c r="E13" s="60">
        <f>'WA NG'!E13+'WA ELEC'!E13</f>
        <v>4060222</v>
      </c>
      <c r="F13" s="60">
        <f>'WA NG'!F13+'WA ELEC'!F13</f>
        <v>670000</v>
      </c>
      <c r="G13" s="60">
        <f>'WA NG'!G13+'WA ELEC'!G13</f>
        <v>6574152.0667701429</v>
      </c>
      <c r="H13" s="60">
        <f>'WA NG'!H13+'WA ELEC'!H13</f>
        <v>627014.90187845298</v>
      </c>
      <c r="I13" s="60">
        <f>'WA NG'!I13+'WA ELEC'!I13</f>
        <v>0</v>
      </c>
      <c r="J13" s="60">
        <f>'WA NG'!J13+'WA ELEC'!J13</f>
        <v>0</v>
      </c>
      <c r="K13" s="60">
        <f>'WA NG'!K13+'WA ELEC'!K13</f>
        <v>0</v>
      </c>
      <c r="L13" s="60">
        <f>'WA NG'!L13+'WA ELEC'!L13</f>
        <v>1450000</v>
      </c>
      <c r="M13" s="60">
        <f>'WA NG'!M13+'WA ELEC'!M13</f>
        <v>300000</v>
      </c>
      <c r="N13" s="60">
        <f>'WA NG'!N13+'WA ELEC'!N13</f>
        <v>11178706.909090908</v>
      </c>
      <c r="O13" s="60">
        <f>'WA NG'!O13+'WA ELEC'!O13</f>
        <v>998046.71999999974</v>
      </c>
      <c r="P13" s="60">
        <f>'WA NG'!P13+'WA ELEC'!P13</f>
        <v>0</v>
      </c>
      <c r="Q13" s="60">
        <f>'WA NG'!Q13+'WA ELEC'!Q13</f>
        <v>0</v>
      </c>
      <c r="R13" s="60">
        <f>'WA NG'!R13+'WA ELEC'!R13</f>
        <v>0</v>
      </c>
      <c r="S13" s="60">
        <f>'WA NG'!S13+'WA ELEC'!S13</f>
        <v>601483.94660187128</v>
      </c>
      <c r="T13" s="60">
        <f>'WA NG'!T13+'WA ELEC'!T13</f>
        <v>540092.64656090667</v>
      </c>
      <c r="U13" s="60">
        <f>'WA NG'!U13+'WA ELEC'!U13</f>
        <v>61391.300040964627</v>
      </c>
      <c r="V13" s="51">
        <f t="shared" si="0"/>
        <v>1.4856940245480033</v>
      </c>
      <c r="W13" s="51">
        <f t="shared" si="6"/>
        <v>3.0623925708933712</v>
      </c>
      <c r="X13" s="51">
        <f t="shared" si="7"/>
        <v>4.0858545534832338</v>
      </c>
      <c r="Y13" s="51">
        <f t="shared" si="8"/>
        <v>0.49566693352378</v>
      </c>
    </row>
    <row r="14" spans="1:25" x14ac:dyDescent="0.25">
      <c r="A14" s="67" t="str">
        <f>'WA ELEC'!A14</f>
        <v>Prescriptive Shell</v>
      </c>
      <c r="B14" s="60">
        <f>'WA NG'!B14+'WA ELEC'!B14</f>
        <v>7853</v>
      </c>
      <c r="C14" s="60">
        <f>'WA NG'!C14+'WA ELEC'!C14</f>
        <v>20800</v>
      </c>
      <c r="D14" s="60">
        <f>'WA NG'!D14+'WA ELEC'!D14</f>
        <v>58989.151998597983</v>
      </c>
      <c r="E14" s="60">
        <f>'WA NG'!E14+'WA ELEC'!E14</f>
        <v>2096</v>
      </c>
      <c r="F14" s="60">
        <f>'WA NG'!F14+'WA ELEC'!F14</f>
        <v>56893.151998597983</v>
      </c>
      <c r="G14" s="60">
        <f>'WA NG'!G14+'WA ELEC'!G14</f>
        <v>11204.008486354951</v>
      </c>
      <c r="H14" s="60">
        <f>'WA NG'!H14+'WA ELEC'!H14</f>
        <v>206037.86448290225</v>
      </c>
      <c r="I14" s="60">
        <f>'WA NG'!I14+'WA ELEC'!I14</f>
        <v>0</v>
      </c>
      <c r="J14" s="60">
        <f>'WA NG'!J14+'WA ELEC'!J14</f>
        <v>0</v>
      </c>
      <c r="K14" s="60">
        <f>'WA NG'!K14+'WA ELEC'!K14</f>
        <v>0</v>
      </c>
      <c r="L14" s="60">
        <f>'WA NG'!L14+'WA ELEC'!L14</f>
        <v>1085</v>
      </c>
      <c r="M14" s="60">
        <f>'WA NG'!M14+'WA ELEC'!M14</f>
        <v>29709.063063285204</v>
      </c>
      <c r="N14" s="60">
        <f>'WA NG'!N14+'WA ELEC'!N14</f>
        <v>13411.808873999998</v>
      </c>
      <c r="O14" s="60">
        <f>'WA NG'!O14+'WA ELEC'!O14</f>
        <v>285441.36191999994</v>
      </c>
      <c r="P14" s="60">
        <f>'WA NG'!P14+'WA ELEC'!P14</f>
        <v>0</v>
      </c>
      <c r="Q14" s="60">
        <f>'WA NG'!Q14+'WA ELEC'!Q14</f>
        <v>0</v>
      </c>
      <c r="R14" s="60">
        <f>'WA NG'!R14+'WA ELEC'!R14</f>
        <v>0</v>
      </c>
      <c r="S14" s="60">
        <f>'WA NG'!S14+'WA ELEC'!S14</f>
        <v>21093.71006200289</v>
      </c>
      <c r="T14" s="60">
        <f>'WA NG'!T14+'WA ELEC'!T14</f>
        <v>920.45370019243217</v>
      </c>
      <c r="U14" s="60">
        <f>'WA NG'!U14+'WA ELEC'!U14</f>
        <v>20173.256361810458</v>
      </c>
      <c r="V14" s="51">
        <f t="shared" si="0"/>
        <v>2.9839850139890212</v>
      </c>
      <c r="W14" s="51">
        <f t="shared" si="6"/>
        <v>4.186764239134054</v>
      </c>
      <c r="X14" s="51">
        <f t="shared" si="7"/>
        <v>10.599476081797457</v>
      </c>
      <c r="Y14" s="51">
        <f t="shared" si="8"/>
        <v>0.61937984924636746</v>
      </c>
    </row>
    <row r="15" spans="1:25" x14ac:dyDescent="0.25">
      <c r="A15" s="67" t="str">
        <f>'WA NG'!A15</f>
        <v>NonRes HVAC</v>
      </c>
      <c r="B15" s="60">
        <f>'WA NG'!B15+'WA ELEC'!B15</f>
        <v>0</v>
      </c>
      <c r="C15" s="60">
        <f>'WA NG'!C15+'WA ELEC'!C15</f>
        <v>32141.759999999998</v>
      </c>
      <c r="D15" s="60">
        <f>'WA NG'!D15+'WA ELEC'!D15</f>
        <v>101255.01</v>
      </c>
      <c r="E15" s="60">
        <f>'WA NG'!E15+'WA ELEC'!E15</f>
        <v>0</v>
      </c>
      <c r="F15" s="60">
        <f>'WA NG'!F15+'WA ELEC'!F15</f>
        <v>101255.01</v>
      </c>
      <c r="G15" s="60">
        <f>'WA NG'!G15+'WA ELEC'!G15</f>
        <v>0</v>
      </c>
      <c r="H15" s="60">
        <f>'WA NG'!H15+'WA ELEC'!H15</f>
        <v>242081.15132776805</v>
      </c>
      <c r="I15" s="60">
        <f>'WA NG'!I15+'WA ELEC'!I15</f>
        <v>0</v>
      </c>
      <c r="J15" s="60">
        <f>'WA NG'!J15+'WA ELEC'!J15</f>
        <v>0</v>
      </c>
      <c r="K15" s="60">
        <f>'WA NG'!K15+'WA ELEC'!K15</f>
        <v>0</v>
      </c>
      <c r="L15" s="60">
        <f>'WA NG'!L15+'WA ELEC'!L15</f>
        <v>0</v>
      </c>
      <c r="M15" s="60">
        <f>'WA NG'!M15+'WA ELEC'!M15</f>
        <v>61999.5</v>
      </c>
      <c r="N15" s="60">
        <f>'WA NG'!N15+'WA ELEC'!N15</f>
        <v>0</v>
      </c>
      <c r="O15" s="60">
        <f>'WA NG'!O15+'WA ELEC'!O15</f>
        <v>320789.78143027192</v>
      </c>
      <c r="P15" s="60">
        <f>'WA NG'!P15+'WA ELEC'!P15</f>
        <v>0</v>
      </c>
      <c r="Q15" s="60">
        <f>'WA NG'!Q15+'WA ELEC'!Q15</f>
        <v>0</v>
      </c>
      <c r="R15" s="60">
        <f>'WA NG'!R15+'WA ELEC'!R15</f>
        <v>0</v>
      </c>
      <c r="S15" s="60">
        <f>'WA NG'!S15+'WA ELEC'!S15</f>
        <v>23702.270154826576</v>
      </c>
      <c r="T15" s="60">
        <f>'WA NG'!T15+'WA ELEC'!T15</f>
        <v>0</v>
      </c>
      <c r="U15" s="60">
        <f>'WA NG'!U15+'WA ELEC'!U15</f>
        <v>23702.270154826576</v>
      </c>
      <c r="V15" s="51">
        <f t="shared" si="0"/>
        <v>2.1310424341071035</v>
      </c>
      <c r="W15" s="51">
        <f t="shared" si="6"/>
        <v>2.8246925459116023</v>
      </c>
      <c r="X15" s="51">
        <f>(O15+K15+J15+N15)/(F15+E15-M15-L15)</f>
        <v>8.1718408811978733</v>
      </c>
      <c r="Y15" s="51">
        <f>(H15+G15)/(M15+O15+R15+S15+L15+N15+Q15)</f>
        <v>0.5955379647714244</v>
      </c>
    </row>
    <row r="16" spans="1:25" x14ac:dyDescent="0.25">
      <c r="A16" s="67" t="str">
        <f>'WA ELEC'!A16</f>
        <v>Green Motors</v>
      </c>
      <c r="B16" s="60">
        <f>'WA NG'!B16+'WA ELEC'!B16</f>
        <v>78975</v>
      </c>
      <c r="C16" s="60">
        <f>'WA NG'!C16+'WA ELEC'!C16</f>
        <v>0</v>
      </c>
      <c r="D16" s="60">
        <f>'WA NG'!D16+'WA ELEC'!D16</f>
        <v>12046.16</v>
      </c>
      <c r="E16" s="60">
        <f>'WA NG'!E16+'WA ELEC'!E16</f>
        <v>12046.16</v>
      </c>
      <c r="F16" s="60">
        <f>'WA NG'!F16+'WA ELEC'!F16</f>
        <v>0</v>
      </c>
      <c r="G16" s="60">
        <f>'WA NG'!G16+'WA ELEC'!G16</f>
        <v>26529.121832227436</v>
      </c>
      <c r="H16" s="60">
        <f>'WA NG'!H16+'WA ELEC'!H16</f>
        <v>0</v>
      </c>
      <c r="I16" s="60">
        <f>'WA NG'!I16+'WA ELEC'!I16</f>
        <v>0</v>
      </c>
      <c r="J16" s="60">
        <f>'WA NG'!J16+'WA ELEC'!J16</f>
        <v>0</v>
      </c>
      <c r="K16" s="60">
        <f>'WA NG'!K16+'WA ELEC'!K16</f>
        <v>0</v>
      </c>
      <c r="L16" s="60">
        <f>'WA NG'!L16+'WA ELEC'!L16</f>
        <v>7070</v>
      </c>
      <c r="M16" s="60">
        <f>'WA NG'!M16+'WA ELEC'!M16</f>
        <v>0</v>
      </c>
      <c r="N16" s="60">
        <f>'WA NG'!N16+'WA ELEC'!N16</f>
        <v>47871.80314936363</v>
      </c>
      <c r="O16" s="60">
        <f>'WA NG'!O16+'WA ELEC'!O16</f>
        <v>0</v>
      </c>
      <c r="P16" s="60">
        <f>'WA NG'!P16+'WA ELEC'!P16</f>
        <v>3948.75</v>
      </c>
      <c r="Q16" s="60">
        <f>'WA NG'!Q16+'WA ELEC'!Q16</f>
        <v>3948.75</v>
      </c>
      <c r="R16" s="60">
        <f>'WA NG'!R16+'WA ELEC'!R16</f>
        <v>0</v>
      </c>
      <c r="S16" s="60">
        <f>'WA NG'!S16+'WA ELEC'!S16</f>
        <v>2179.4724971039236</v>
      </c>
      <c r="T16" s="60">
        <f>'WA NG'!T16+'WA ELEC'!T16</f>
        <v>2179.4724971039236</v>
      </c>
      <c r="U16" s="60">
        <f>'WA NG'!U16+'WA ELEC'!U16</f>
        <v>0</v>
      </c>
      <c r="V16" s="51">
        <f t="shared" si="0"/>
        <v>1.6056685293214406</v>
      </c>
      <c r="W16" s="51">
        <f t="shared" si="6"/>
        <v>2.0100526292876713</v>
      </c>
      <c r="X16" s="51">
        <f t="shared" si="7"/>
        <v>9.6202298859690263</v>
      </c>
      <c r="Y16" s="51">
        <f t="shared" si="8"/>
        <v>0.43440495646430022</v>
      </c>
    </row>
    <row r="17" spans="1:25" x14ac:dyDescent="0.25">
      <c r="A17" s="67" t="str">
        <f>'WA ELEC'!A17</f>
        <v>Variable Frequency Drives</v>
      </c>
      <c r="B17" s="60">
        <f>'WA NG'!B17+'WA ELEC'!B17</f>
        <v>452171</v>
      </c>
      <c r="C17" s="60">
        <f>'WA NG'!C17+'WA ELEC'!C17</f>
        <v>0</v>
      </c>
      <c r="D17" s="60">
        <f>'WA NG'!D17+'WA ELEC'!D17</f>
        <v>66000</v>
      </c>
      <c r="E17" s="60">
        <f>'WA NG'!E17+'WA ELEC'!E17</f>
        <v>66000</v>
      </c>
      <c r="F17" s="60">
        <f>'WA NG'!F17+'WA ELEC'!F17</f>
        <v>0</v>
      </c>
      <c r="G17" s="60">
        <f>'WA NG'!G17+'WA ELEC'!G17</f>
        <v>327963.30173184397</v>
      </c>
      <c r="H17" s="60">
        <f>'WA NG'!H17+'WA ELEC'!H17</f>
        <v>0</v>
      </c>
      <c r="I17" s="60">
        <f>'WA NG'!I17+'WA ELEC'!I17</f>
        <v>0</v>
      </c>
      <c r="J17" s="60">
        <f>'WA NG'!J17+'WA ELEC'!J17</f>
        <v>0</v>
      </c>
      <c r="K17" s="60">
        <f>'WA NG'!K17+'WA ELEC'!K17</f>
        <v>0</v>
      </c>
      <c r="L17" s="60">
        <f>'WA NG'!L17+'WA ELEC'!L17</f>
        <v>42900</v>
      </c>
      <c r="M17" s="60">
        <f>'WA NG'!M17+'WA ELEC'!M17</f>
        <v>0</v>
      </c>
      <c r="N17" s="60">
        <f>'WA NG'!N17+'WA ELEC'!N17</f>
        <v>561631.89797672722</v>
      </c>
      <c r="O17" s="60">
        <f>'WA NG'!O17+'WA ELEC'!O17</f>
        <v>0</v>
      </c>
      <c r="P17" s="60">
        <f>'WA NG'!P17+'WA ELEC'!P17</f>
        <v>193.45000000000002</v>
      </c>
      <c r="Q17" s="60">
        <f>'WA NG'!Q17+'WA ELEC'!Q17</f>
        <v>193.45000000000002</v>
      </c>
      <c r="R17" s="60">
        <f>'WA NG'!R17+'WA ELEC'!R17</f>
        <v>0</v>
      </c>
      <c r="S17" s="60">
        <f>'WA NG'!S17+'WA ELEC'!S17</f>
        <v>26943.485001287532</v>
      </c>
      <c r="T17" s="60">
        <f>'WA NG'!T17+'WA ELEC'!T17</f>
        <v>26943.485001287532</v>
      </c>
      <c r="U17" s="60">
        <f>'WA NG'!U17+'WA ELEC'!U17</f>
        <v>0</v>
      </c>
      <c r="V17" s="51">
        <f t="shared" si="0"/>
        <v>3.8734325098849478</v>
      </c>
      <c r="W17" s="51">
        <f t="shared" si="6"/>
        <v>4.6827192213053701</v>
      </c>
      <c r="X17" s="51">
        <f t="shared" si="7"/>
        <v>24.313069176481697</v>
      </c>
      <c r="Y17" s="51">
        <f t="shared" si="8"/>
        <v>0.51920133558854686</v>
      </c>
    </row>
    <row r="18" spans="1:25" x14ac:dyDescent="0.25">
      <c r="A18" s="67" t="str">
        <f>'WA ELEC'!A18</f>
        <v>Fleet Heat</v>
      </c>
      <c r="B18" s="60">
        <f>'WA NG'!B18+'WA ELEC'!B18</f>
        <v>32000</v>
      </c>
      <c r="C18" s="60">
        <f>'WA NG'!C18+'WA ELEC'!C18</f>
        <v>0</v>
      </c>
      <c r="D18" s="60">
        <f>'WA NG'!D18+'WA ELEC'!D18</f>
        <v>2082</v>
      </c>
      <c r="E18" s="60">
        <f>'WA NG'!E18+'WA ELEC'!E18</f>
        <v>2082</v>
      </c>
      <c r="F18" s="60">
        <f>'WA NG'!F18+'WA ELEC'!F18</f>
        <v>0</v>
      </c>
      <c r="G18" s="60">
        <f>'WA NG'!G18+'WA ELEC'!G18</f>
        <v>17486.759630648623</v>
      </c>
      <c r="H18" s="60">
        <f>'WA NG'!H18+'WA ELEC'!H18</f>
        <v>0</v>
      </c>
      <c r="I18" s="60">
        <f>'WA NG'!I18+'WA ELEC'!I18</f>
        <v>0</v>
      </c>
      <c r="J18" s="60">
        <f>'WA NG'!J18+'WA ELEC'!J18</f>
        <v>0</v>
      </c>
      <c r="K18" s="60">
        <f>'WA NG'!K18+'WA ELEC'!K18</f>
        <v>0</v>
      </c>
      <c r="L18" s="60">
        <f>'WA NG'!L18+'WA ELEC'!L18</f>
        <v>2082</v>
      </c>
      <c r="M18" s="60">
        <f>'WA NG'!M18+'WA ELEC'!M18</f>
        <v>0</v>
      </c>
      <c r="N18" s="60">
        <f>'WA NG'!N18+'WA ELEC'!N18</f>
        <v>29809.885090909087</v>
      </c>
      <c r="O18" s="60">
        <f>'WA NG'!O18+'WA ELEC'!O18</f>
        <v>0</v>
      </c>
      <c r="P18" s="60">
        <f>'WA NG'!P18+'WA ELEC'!P18</f>
        <v>0</v>
      </c>
      <c r="Q18" s="60">
        <f>'WA NG'!Q18+'WA ELEC'!Q18</f>
        <v>0</v>
      </c>
      <c r="R18" s="60">
        <f>'WA NG'!R18+'WA ELEC'!R18</f>
        <v>0</v>
      </c>
      <c r="S18" s="60">
        <f>'WA NG'!S18+'WA ELEC'!S18</f>
        <v>1436.6066061096562</v>
      </c>
      <c r="T18" s="60">
        <f>'WA NG'!T18+'WA ELEC'!T18</f>
        <v>1436.6066061096562</v>
      </c>
      <c r="U18" s="60">
        <f>'WA NG'!U18+'WA ELEC'!U18</f>
        <v>0</v>
      </c>
      <c r="V18" s="51">
        <f t="shared" si="0"/>
        <v>5.4667764109557915</v>
      </c>
      <c r="W18" s="51">
        <f t="shared" si="6"/>
        <v>4.9697967372325378</v>
      </c>
      <c r="X18" s="51" t="s">
        <v>30</v>
      </c>
      <c r="Y18" s="51">
        <f t="shared" si="8"/>
        <v>0.52467899806617491</v>
      </c>
    </row>
    <row r="19" spans="1:25" x14ac:dyDescent="0.25">
      <c r="A19" s="67" t="str">
        <f>'WA ELEC'!A19</f>
        <v>Energy Smart Grocer</v>
      </c>
      <c r="B19" s="60">
        <f>'WA NG'!B19+'WA ELEC'!B19</f>
        <v>1438174.5</v>
      </c>
      <c r="C19" s="60">
        <f>'WA NG'!C19+'WA ELEC'!C19</f>
        <v>14577.5</v>
      </c>
      <c r="D19" s="60">
        <f>'WA NG'!D19+'WA ELEC'!D19</f>
        <v>375413.30910000001</v>
      </c>
      <c r="E19" s="60">
        <f>'WA NG'!E19+'WA ELEC'!E19</f>
        <v>326496.37717621925</v>
      </c>
      <c r="F19" s="60">
        <f>'WA NG'!F19+'WA ELEC'!F19</f>
        <v>48916.931923780772</v>
      </c>
      <c r="G19" s="60">
        <f>'WA NG'!G19+'WA ELEC'!G19</f>
        <v>848968.94742468279</v>
      </c>
      <c r="H19" s="60">
        <f>'WA NG'!H19+'WA ELEC'!H19</f>
        <v>109499.55902011217</v>
      </c>
      <c r="I19" s="60">
        <f>'WA NG'!I19+'WA ELEC'!I19</f>
        <v>0</v>
      </c>
      <c r="J19" s="60">
        <f>'WA NG'!J19+'WA ELEC'!J19</f>
        <v>0</v>
      </c>
      <c r="K19" s="60">
        <f>'WA NG'!K19+'WA ELEC'!K19</f>
        <v>0</v>
      </c>
      <c r="L19" s="60">
        <f>'WA NG'!L19+'WA ELEC'!L19</f>
        <v>216908.35341332259</v>
      </c>
      <c r="M19" s="60">
        <f>'WA NG'!M19+'WA ELEC'!M19</f>
        <v>32221.646586677416</v>
      </c>
      <c r="N19" s="60">
        <f>'WA NG'!N19+'WA ELEC'!N19</f>
        <v>1460203.9955770909</v>
      </c>
      <c r="O19" s="60">
        <f>'WA NG'!O19+'WA ELEC'!O19</f>
        <v>181862.82575999995</v>
      </c>
      <c r="P19" s="60">
        <f>'WA NG'!P19+'WA ELEC'!P19</f>
        <v>133982.20499999999</v>
      </c>
      <c r="Q19" s="60">
        <f>'WA NG'!Q19+'WA ELEC'!Q19</f>
        <v>124151.80753781059</v>
      </c>
      <c r="R19" s="60">
        <f>'WA NG'!R19+'WA ELEC'!R19</f>
        <v>9830.3974621893976</v>
      </c>
      <c r="S19" s="60">
        <f>'WA NG'!S19+'WA ELEC'!S19</f>
        <v>69746.163612533273</v>
      </c>
      <c r="T19" s="60">
        <f>'WA NG'!T19+'WA ELEC'!T19</f>
        <v>69746.163612533273</v>
      </c>
      <c r="U19" s="60">
        <f>'WA NG'!U19+'WA ELEC'!U19</f>
        <v>0</v>
      </c>
      <c r="V19" s="51">
        <f t="shared" si="0"/>
        <v>1.8204791636712458</v>
      </c>
      <c r="W19" s="51">
        <f t="shared" si="6"/>
        <v>2.1164862413415242</v>
      </c>
      <c r="X19" s="51">
        <f>(O19+K19+J19+N19)/(F19+E19-M19-L19)</f>
        <v>13.003039222204627</v>
      </c>
      <c r="Y19" s="51">
        <f t="shared" si="8"/>
        <v>0.45751920452483696</v>
      </c>
    </row>
    <row r="20" spans="1:25" x14ac:dyDescent="0.25">
      <c r="A20" s="67" t="str">
        <f>'WA ELEC'!A20</f>
        <v>Multifamily Market Transformation</v>
      </c>
      <c r="B20" s="60">
        <f>'WA NG'!B20+'WA ELEC'!B20</f>
        <v>3183708</v>
      </c>
      <c r="C20" s="60">
        <f>'WA NG'!C20+'WA ELEC'!C20</f>
        <v>-139836</v>
      </c>
      <c r="D20" s="60">
        <f>'WA NG'!D20+'WA ELEC'!D20</f>
        <v>3252000</v>
      </c>
      <c r="E20" s="60">
        <f>'WA NG'!E20+'WA ELEC'!E20</f>
        <v>3252000</v>
      </c>
      <c r="F20" s="60">
        <f>'WA NG'!F20+'WA ELEC'!F20</f>
        <v>0</v>
      </c>
      <c r="G20" s="60">
        <f>'WA NG'!G20+'WA ELEC'!G20</f>
        <v>4011344.8853483577</v>
      </c>
      <c r="H20" s="60">
        <f>'WA NG'!H20+'WA ELEC'!H20</f>
        <v>-1278896.9480383561</v>
      </c>
      <c r="I20" s="60">
        <f>'WA NG'!I20+'WA ELEC'!I20</f>
        <v>542000</v>
      </c>
      <c r="J20" s="60">
        <f>'WA NG'!J20+'WA ELEC'!J20</f>
        <v>795678.07978042681</v>
      </c>
      <c r="K20" s="60">
        <f>'WA NG'!K20+'WA ELEC'!K20</f>
        <v>-253678.07978042681</v>
      </c>
      <c r="L20" s="60">
        <f>'WA NG'!L20+'WA ELEC'!L20</f>
        <v>1897000</v>
      </c>
      <c r="M20" s="60">
        <f>'WA NG'!M20+'WA ELEC'!M20</f>
        <v>0</v>
      </c>
      <c r="N20" s="60">
        <f>'WA NG'!N20+'WA ELEC'!N20</f>
        <v>4943019.2522399994</v>
      </c>
      <c r="O20" s="60">
        <f>'WA NG'!O20+'WA ELEC'!O20</f>
        <v>-1744535.7642239996</v>
      </c>
      <c r="P20" s="60">
        <f>'WA NG'!P20+'WA ELEC'!P20</f>
        <v>0</v>
      </c>
      <c r="Q20" s="60">
        <f>'WA NG'!Q20+'WA ELEC'!Q20</f>
        <v>0</v>
      </c>
      <c r="R20" s="60">
        <f>'WA NG'!R20+'WA ELEC'!R20</f>
        <v>0</v>
      </c>
      <c r="S20" s="60">
        <f>'WA NG'!S20+'WA ELEC'!S20</f>
        <v>329547.87984707259</v>
      </c>
      <c r="T20" s="60">
        <f>'WA NG'!T20+'WA ELEC'!T20</f>
        <v>329547.87984707259</v>
      </c>
      <c r="U20" s="60">
        <f>'WA NG'!U20+'WA ELEC'!U20</f>
        <v>0</v>
      </c>
      <c r="V20" s="51">
        <f t="shared" si="0"/>
        <v>1.0056804632735492</v>
      </c>
      <c r="W20" s="51">
        <f t="shared" si="6"/>
        <v>1.2272127458124442</v>
      </c>
      <c r="X20" s="51">
        <f>(O20+K20+J20+N20)/(F20+E20-M20-L20)</f>
        <v>2.7605044192000001</v>
      </c>
      <c r="Y20" s="51">
        <f t="shared" si="8"/>
        <v>0.50367412684404755</v>
      </c>
    </row>
    <row r="21" spans="1:25" x14ac:dyDescent="0.25">
      <c r="A21" s="67" t="str">
        <f>'WA ELEC'!A21</f>
        <v>Food Services</v>
      </c>
      <c r="B21" s="60">
        <f>'WA NG'!B21+'WA ELEC'!B21</f>
        <v>109611.04000000001</v>
      </c>
      <c r="C21" s="60">
        <f>'WA NG'!C21+'WA ELEC'!C21</f>
        <v>49563.281275499998</v>
      </c>
      <c r="D21" s="60">
        <f>'WA NG'!D21+'WA ELEC'!D21</f>
        <v>287852.56099999999</v>
      </c>
      <c r="E21" s="60">
        <f>'WA NG'!E21+'WA ELEC'!E21</f>
        <v>14167.404999999999</v>
      </c>
      <c r="F21" s="60">
        <f>'WA NG'!F21+'WA ELEC'!F21</f>
        <v>273685.15600000002</v>
      </c>
      <c r="G21" s="60">
        <f>'WA NG'!G21+'WA ELEC'!G21</f>
        <v>48027.43429437498</v>
      </c>
      <c r="H21" s="60">
        <f>'WA NG'!H21+'WA ELEC'!H21</f>
        <v>232893.55468820399</v>
      </c>
      <c r="I21" s="60">
        <f>'WA NG'!I21+'WA ELEC'!I21</f>
        <v>36135.47165637635</v>
      </c>
      <c r="J21" s="60">
        <f>'WA NG'!J21+'WA ELEC'!J21</f>
        <v>33584.481656376352</v>
      </c>
      <c r="K21" s="60">
        <f>'WA NG'!K21+'WA ELEC'!K21</f>
        <v>2550.9899999999998</v>
      </c>
      <c r="L21" s="60">
        <f>'WA NG'!L21+'WA ELEC'!L21</f>
        <v>6289.1</v>
      </c>
      <c r="M21" s="60">
        <f>'WA NG'!M21+'WA ELEC'!M21</f>
        <v>94050</v>
      </c>
      <c r="N21" s="60">
        <f>'WA NG'!N21+'WA ELEC'!N21</f>
        <v>82637.454323585465</v>
      </c>
      <c r="O21" s="60">
        <f>'WA NG'!O21+'WA ELEC'!O21</f>
        <v>352003.77512706706</v>
      </c>
      <c r="P21" s="60">
        <f>'WA NG'!P21+'WA ELEC'!P21</f>
        <v>0</v>
      </c>
      <c r="Q21" s="60">
        <f>'WA NG'!Q21+'WA ELEC'!Q21</f>
        <v>0</v>
      </c>
      <c r="R21" s="60">
        <f>'WA NG'!R21+'WA ELEC'!R21</f>
        <v>0</v>
      </c>
      <c r="S21" s="60">
        <f>'WA NG'!S21+'WA ELEC'!S21</f>
        <v>26748.352663596328</v>
      </c>
      <c r="T21" s="60">
        <f>'WA NG'!T21+'WA ELEC'!T21</f>
        <v>3945.6440666610406</v>
      </c>
      <c r="U21" s="60">
        <f>'WA NG'!U21+'WA ELEC'!U21</f>
        <v>22802.708596935288</v>
      </c>
      <c r="V21" s="51">
        <f t="shared" si="0"/>
        <v>1.1085858036502183</v>
      </c>
      <c r="W21" s="51">
        <f t="shared" si="6"/>
        <v>2.2104541643948425</v>
      </c>
      <c r="X21" s="51">
        <f>(O21+K21+J21+N21)/(F21+E21-M21-L21)</f>
        <v>2.5106288295058929</v>
      </c>
      <c r="Y21" s="51">
        <f t="shared" si="8"/>
        <v>0.50010084570586877</v>
      </c>
    </row>
    <row r="22" spans="1:25" ht="15.75" thickBot="1" x14ac:dyDescent="0.3">
      <c r="A22" s="64" t="str">
        <f>'WA ELEC'!A22</f>
        <v>AirGuardian</v>
      </c>
      <c r="B22" s="65">
        <f>'WA NG'!B22+'WA ELEC'!B22</f>
        <v>42000</v>
      </c>
      <c r="C22" s="65">
        <f>'WA NG'!C22+'WA ELEC'!C22</f>
        <v>0</v>
      </c>
      <c r="D22" s="65">
        <f>'WA NG'!D22+'WA ELEC'!D22</f>
        <v>10080</v>
      </c>
      <c r="E22" s="65">
        <f>'WA NG'!E22+'WA ELEC'!E22</f>
        <v>10080</v>
      </c>
      <c r="F22" s="65">
        <f>'WA NG'!F22+'WA ELEC'!F22</f>
        <v>0</v>
      </c>
      <c r="G22" s="65">
        <f>'WA NG'!G22+'WA ELEC'!G22</f>
        <v>10080</v>
      </c>
      <c r="H22" s="65">
        <f>'WA NG'!H22+'WA ELEC'!H22</f>
        <v>0</v>
      </c>
      <c r="I22" s="65">
        <f>'WA NG'!I22+'WA ELEC'!I22</f>
        <v>0</v>
      </c>
      <c r="J22" s="65">
        <f>'WA NG'!J22+'WA ELEC'!J22</f>
        <v>0</v>
      </c>
      <c r="K22" s="65">
        <f>'WA NG'!K22+'WA ELEC'!K22</f>
        <v>0</v>
      </c>
      <c r="L22" s="65">
        <f>'WA NG'!L22+'WA ELEC'!L22</f>
        <v>10080</v>
      </c>
      <c r="M22" s="65">
        <f>'WA NG'!M22+'WA ELEC'!M22</f>
        <v>0</v>
      </c>
      <c r="N22" s="65">
        <f>'WA NG'!N22+'WA ELEC'!N22</f>
        <v>0</v>
      </c>
      <c r="O22" s="65">
        <f>'WA NG'!O22+'WA ELEC'!O22</f>
        <v>0</v>
      </c>
      <c r="P22" s="65">
        <f>'WA NG'!P22+'WA ELEC'!P22</f>
        <v>0</v>
      </c>
      <c r="Q22" s="65">
        <f>'WA NG'!Q22+'WA ELEC'!Q22</f>
        <v>0</v>
      </c>
      <c r="R22" s="65">
        <f>'WA NG'!R22+'WA ELEC'!R22</f>
        <v>0</v>
      </c>
      <c r="S22" s="65">
        <f>'WA NG'!S22+'WA ELEC'!S22</f>
        <v>1569.435160784662</v>
      </c>
      <c r="T22" s="65">
        <f>'WA NG'!T22+'WA ELEC'!T22</f>
        <v>1569.435160784662</v>
      </c>
      <c r="U22" s="65">
        <f>'WA NG'!U22+'WA ELEC'!U22</f>
        <v>0</v>
      </c>
      <c r="V22" s="50">
        <f t="shared" si="0"/>
        <v>0.95180580405523751</v>
      </c>
      <c r="W22" s="50">
        <f t="shared" si="6"/>
        <v>0.86527800368657948</v>
      </c>
      <c r="X22" s="50" t="e">
        <f>(O22+K22+J22+N22)/(F22+E22-M22-L22)</f>
        <v>#DIV/0!</v>
      </c>
      <c r="Y22" s="50">
        <f t="shared" si="8"/>
        <v>0.86527800368657948</v>
      </c>
    </row>
    <row r="23" spans="1:25" ht="15.75" thickTop="1" x14ac:dyDescent="0.25">
      <c r="A23" s="71" t="s">
        <v>38</v>
      </c>
      <c r="B23" s="63">
        <f t="shared" ref="B23:H23" si="9">SUM(B11:B22)</f>
        <v>24165015.93074438</v>
      </c>
      <c r="C23" s="63">
        <f t="shared" si="9"/>
        <v>-2455.9283709257215</v>
      </c>
      <c r="D23" s="63">
        <f>SUM(D11:D22)</f>
        <v>12713806.112419885</v>
      </c>
      <c r="E23" s="63">
        <f t="shared" si="9"/>
        <v>11563055.862497505</v>
      </c>
      <c r="F23" s="63">
        <f t="shared" si="9"/>
        <v>1150750.2499223789</v>
      </c>
      <c r="G23" s="63">
        <f t="shared" si="9"/>
        <v>18066927.887904633</v>
      </c>
      <c r="H23" s="63">
        <f t="shared" si="9"/>
        <v>-388469.39262702153</v>
      </c>
      <c r="I23" s="63">
        <f t="shared" si="2"/>
        <v>3635832.5416112565</v>
      </c>
      <c r="J23" s="63">
        <f t="shared" ref="J23:O23" si="10">SUM(J11:J22)</f>
        <v>3989691.7517993567</v>
      </c>
      <c r="K23" s="63">
        <f t="shared" si="10"/>
        <v>-353859.21018810029</v>
      </c>
      <c r="L23" s="63">
        <f t="shared" si="10"/>
        <v>5240418.8510036841</v>
      </c>
      <c r="M23" s="63">
        <f t="shared" si="10"/>
        <v>517980.20964996261</v>
      </c>
      <c r="N23" s="63">
        <f t="shared" si="10"/>
        <v>28511673.169731174</v>
      </c>
      <c r="O23" s="63">
        <f t="shared" si="10"/>
        <v>-296455.58342490875</v>
      </c>
      <c r="P23" s="63">
        <f t="shared" si="4"/>
        <v>138124.40499999997</v>
      </c>
      <c r="Q23" s="63">
        <f>SUM(Q11:Q22)</f>
        <v>128294.00753781058</v>
      </c>
      <c r="R23" s="63">
        <f>SUM(R11:R22)</f>
        <v>9830.3974621893976</v>
      </c>
      <c r="S23" s="63">
        <f t="shared" si="5"/>
        <v>1613080.5860973303</v>
      </c>
      <c r="T23" s="63">
        <f>SUM(T11:T22)</f>
        <v>1485011.0509427935</v>
      </c>
      <c r="U23" s="63">
        <f>SUM(U11:U22)</f>
        <v>128069.53515453695</v>
      </c>
      <c r="V23" s="51">
        <f t="shared" si="0"/>
        <v>1.6208573897932823</v>
      </c>
      <c r="W23" s="51">
        <f t="shared" si="6"/>
        <v>2.3541132626234287</v>
      </c>
      <c r="X23" s="51">
        <f>(O23+K23+J23+N23)/(F23+E23-M23-L23)</f>
        <v>4.5793222295781169</v>
      </c>
      <c r="Y23" s="51">
        <f>(H23+G23)/(M23+O23+R23+S23+L23+N23+Q23)</f>
        <v>0.49485085396325529</v>
      </c>
    </row>
    <row r="24" spans="1:25" x14ac:dyDescent="0.25">
      <c r="A24" s="71"/>
      <c r="B24" s="63"/>
      <c r="C24" s="63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70"/>
      <c r="W24" s="70"/>
      <c r="X24" s="70"/>
      <c r="Y24" s="70"/>
    </row>
    <row r="25" spans="1:25" ht="15.75" thickBot="1" x14ac:dyDescent="0.3">
      <c r="A25" s="72" t="s">
        <v>41</v>
      </c>
      <c r="B25" s="66">
        <f>B23+B9</f>
        <v>44982683.146137066</v>
      </c>
      <c r="C25" s="66">
        <f>C23+C9</f>
        <v>484589.07162907429</v>
      </c>
      <c r="D25" s="81">
        <f>E25+F25</f>
        <v>19043200.680633053</v>
      </c>
      <c r="E25" s="66">
        <f t="shared" ref="E25:U25" si="11">E23+E9</f>
        <v>13893847.959997505</v>
      </c>
      <c r="F25" s="66">
        <f t="shared" si="11"/>
        <v>5149352.7206355482</v>
      </c>
      <c r="G25" s="66">
        <f t="shared" si="11"/>
        <v>29014676.10759712</v>
      </c>
      <c r="H25" s="66">
        <f t="shared" si="11"/>
        <v>4889608.2467518067</v>
      </c>
      <c r="I25" s="66">
        <f t="shared" si="11"/>
        <v>3725739.4676249074</v>
      </c>
      <c r="J25" s="66">
        <f t="shared" si="11"/>
        <v>4072447.8420531251</v>
      </c>
      <c r="K25" s="66">
        <f t="shared" si="11"/>
        <v>-346708.37442821794</v>
      </c>
      <c r="L25" s="66">
        <f t="shared" si="11"/>
        <v>6497743.1510046842</v>
      </c>
      <c r="M25" s="66">
        <f t="shared" si="11"/>
        <v>1588696.992316308</v>
      </c>
      <c r="N25" s="66">
        <f t="shared" si="11"/>
        <v>43970344.521681949</v>
      </c>
      <c r="O25" s="66">
        <f t="shared" si="11"/>
        <v>7574864.4343670886</v>
      </c>
      <c r="P25" s="66">
        <f t="shared" si="11"/>
        <v>494635.77539927902</v>
      </c>
      <c r="Q25" s="66">
        <f t="shared" si="11"/>
        <v>477935.89988781069</v>
      </c>
      <c r="R25" s="66">
        <f t="shared" si="11"/>
        <v>16699.875511468359</v>
      </c>
      <c r="S25" s="66">
        <f t="shared" si="11"/>
        <v>3030776.6481355648</v>
      </c>
      <c r="T25" s="66">
        <f t="shared" si="11"/>
        <v>2384411.954633953</v>
      </c>
      <c r="U25" s="66">
        <f t="shared" si="11"/>
        <v>646364.69350161194</v>
      </c>
      <c r="V25" s="50">
        <f t="shared" si="0"/>
        <v>1.8340970272793098</v>
      </c>
      <c r="W25" s="50">
        <f>(H25+G25)/(M25+R25+S25+L25+Q25)</f>
        <v>2.9197997614199176</v>
      </c>
      <c r="X25" s="50">
        <f>(O25+K25+J25+N25)/(F25+E25-M25-L25)</f>
        <v>5.0444607450764956</v>
      </c>
      <c r="Y25" s="50">
        <f>(H25+G25)/(M25+O25+R25+S25+L25+N25+Q25)</f>
        <v>0.53682491770224339</v>
      </c>
    </row>
    <row r="26" spans="1:25" ht="15.75" thickTop="1" x14ac:dyDescent="0.25">
      <c r="A26" s="71"/>
      <c r="B26" s="63"/>
      <c r="C26" s="63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70"/>
      <c r="W26" s="70"/>
      <c r="X26" s="70"/>
      <c r="Y26" s="70"/>
    </row>
    <row r="27" spans="1:25" ht="15.75" thickBot="1" x14ac:dyDescent="0.3">
      <c r="A27" s="19" t="s">
        <v>42</v>
      </c>
      <c r="B27" s="65">
        <f>B25+B4</f>
        <v>45714051.258505806</v>
      </c>
      <c r="C27" s="65">
        <f>C25+C4</f>
        <v>499912.25875589001</v>
      </c>
      <c r="D27" s="81">
        <f>E27+F27</f>
        <v>20572319.508346245</v>
      </c>
      <c r="E27" s="65">
        <f t="shared" ref="E27:U27" si="12">E25+E4</f>
        <v>14711984.059997505</v>
      </c>
      <c r="F27" s="65">
        <f t="shared" si="12"/>
        <v>5860335.448348742</v>
      </c>
      <c r="G27" s="65">
        <f t="shared" si="12"/>
        <v>30090263.545137033</v>
      </c>
      <c r="H27" s="65">
        <f t="shared" si="12"/>
        <v>5101230.7065048115</v>
      </c>
      <c r="I27" s="65">
        <f t="shared" si="12"/>
        <v>4294253.7725561075</v>
      </c>
      <c r="J27" s="65">
        <f t="shared" si="12"/>
        <v>4300605.4469843246</v>
      </c>
      <c r="K27" s="65">
        <f t="shared" si="12"/>
        <v>-6351.6744282179279</v>
      </c>
      <c r="L27" s="65">
        <f t="shared" si="12"/>
        <v>7315879.2510046838</v>
      </c>
      <c r="M27" s="65">
        <f t="shared" si="12"/>
        <v>2137806.4623223492</v>
      </c>
      <c r="N27" s="65">
        <f t="shared" si="12"/>
        <v>45263920.501953371</v>
      </c>
      <c r="O27" s="65">
        <f t="shared" si="12"/>
        <v>7937332.2268382087</v>
      </c>
      <c r="P27" s="65">
        <f t="shared" si="12"/>
        <v>691788.22590018529</v>
      </c>
      <c r="Q27" s="65">
        <f t="shared" si="12"/>
        <v>592721.94488781074</v>
      </c>
      <c r="R27" s="65">
        <f t="shared" si="12"/>
        <v>99066.281012374544</v>
      </c>
      <c r="S27" s="65">
        <f t="shared" si="12"/>
        <v>3139860.4653299348</v>
      </c>
      <c r="T27" s="65">
        <f t="shared" si="12"/>
        <v>2472775.7253299356</v>
      </c>
      <c r="U27" s="65">
        <f t="shared" si="12"/>
        <v>667084.73999999987</v>
      </c>
      <c r="V27" s="73">
        <f t="shared" si="0"/>
        <v>1.7798057459922334</v>
      </c>
      <c r="W27" s="73">
        <f>(H27+G27)/(M27+R27+S27+L27+Q27)</f>
        <v>2.6488978884543855</v>
      </c>
      <c r="X27" s="73">
        <f>(O27+K27+J27+N27)/(F27+E27-M27-L27)</f>
        <v>5.1710945392503014</v>
      </c>
      <c r="Y27" s="73">
        <f>(H27+G27)/(M27+O27+R27+S27+L27+N27+Q27)</f>
        <v>0.52930216106686412</v>
      </c>
    </row>
    <row r="28" spans="1:25" ht="15.75" thickTop="1" x14ac:dyDescent="0.25">
      <c r="A28" s="71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70"/>
      <c r="W28" s="70"/>
      <c r="X28" s="70"/>
      <c r="Y28" s="70"/>
    </row>
    <row r="29" spans="1:25" ht="15.75" thickBot="1" x14ac:dyDescent="0.3">
      <c r="A29" s="19" t="s">
        <v>43</v>
      </c>
      <c r="B29" s="65">
        <f>'WA ELEC'!B29+'WA NG'!B29</f>
        <v>12511037.666666666</v>
      </c>
      <c r="C29" s="65">
        <f>'WA ELEC'!C29+'WA NG'!C29</f>
        <v>-601771.05263157899</v>
      </c>
      <c r="D29" s="65">
        <f>'WA ELEC'!D29+'WA NG'!D29</f>
        <v>7354143.0037878798</v>
      </c>
      <c r="E29" s="65">
        <f>'WA ELEC'!E29+'WA NG'!E29</f>
        <v>7354143.0037878798</v>
      </c>
      <c r="F29" s="65">
        <f>'WA ELEC'!F29+'WA NG'!F29</f>
        <v>0</v>
      </c>
      <c r="G29" s="65">
        <f>'WA ELEC'!G29+'WA NG'!G29</f>
        <v>15763407.62236486</v>
      </c>
      <c r="H29" s="65">
        <f>'WA ELEC'!H29+'WA NG'!H29</f>
        <v>-5503612.5363165094</v>
      </c>
      <c r="I29" s="65">
        <f>'WA ELEC'!I29+'WA NG'!I29</f>
        <v>0</v>
      </c>
      <c r="J29" s="65">
        <f>'WA ELEC'!J29+'WA NG'!J29</f>
        <v>0</v>
      </c>
      <c r="K29" s="65">
        <f>'WA ELEC'!K29+'WA NG'!K29</f>
        <v>0</v>
      </c>
      <c r="L29" s="65">
        <f>'WA ELEC'!L29+'WA NG'!L29</f>
        <v>2471450</v>
      </c>
      <c r="M29" s="65">
        <f>'WA ELEC'!M29+'WA NG'!M29</f>
        <v>0</v>
      </c>
      <c r="N29" s="65">
        <f>'WA ELEC'!N29+'WA NG'!N29</f>
        <v>19424614.333925452</v>
      </c>
      <c r="O29" s="65">
        <f>'WA ELEC'!O29+'WA NG'!O29</f>
        <v>-7507445.3158736825</v>
      </c>
      <c r="P29" s="65">
        <f>'WA ELEC'!P29+'WA NG'!P29</f>
        <v>0</v>
      </c>
      <c r="Q29" s="65">
        <f>'WA ELEC'!Q29+'WA NG'!Q29</f>
        <v>0</v>
      </c>
      <c r="R29" s="65">
        <f>'WA ELEC'!R29+'WA NG'!R29</f>
        <v>0</v>
      </c>
      <c r="S29" s="65">
        <f>'WA ELEC'!S29+'WA NG'!S29</f>
        <v>1295026.4087463005</v>
      </c>
      <c r="T29" s="65">
        <f>'WA ELEC'!T29+'WA NG'!T29</f>
        <v>1295026.4087463005</v>
      </c>
      <c r="U29" s="65">
        <f>'WA ELEC'!U29+'WA NG'!U29</f>
        <v>0</v>
      </c>
      <c r="V29" s="50">
        <f t="shared" si="0"/>
        <v>1.3048391188058006</v>
      </c>
      <c r="W29" s="50">
        <f>(H29+G29)/(M29+R29+S29+L29+Q29)</f>
        <v>2.7239769940477072</v>
      </c>
      <c r="X29" s="50">
        <f>(O29+K29+J29+N29)/(F29+E29-M29-L29)</f>
        <v>2.4406959456199084</v>
      </c>
      <c r="Y29" s="50">
        <f>(H29+G29)/(M29+O29+R29+S29+L29+N29+Q29)</f>
        <v>0.65417157853605989</v>
      </c>
    </row>
    <row r="30" spans="1:25" ht="15.75" thickTop="1" x14ac:dyDescent="0.25">
      <c r="A30" s="71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70"/>
      <c r="W30" s="70"/>
      <c r="X30" s="70"/>
      <c r="Y30" s="70"/>
    </row>
    <row r="31" spans="1:25" s="15" customFormat="1" ht="15.75" thickBot="1" x14ac:dyDescent="0.3">
      <c r="A31" s="10" t="s">
        <v>39</v>
      </c>
      <c r="B31" s="55">
        <f>'WA ELEC'!B31</f>
        <v>116562</v>
      </c>
      <c r="C31" s="55">
        <f>'WA ELEC'!C31</f>
        <v>-5038.5</v>
      </c>
      <c r="D31" s="55">
        <f>'WA ELEC'!D31</f>
        <v>197489.1</v>
      </c>
      <c r="E31" s="55">
        <f>'WA ELEC'!E31</f>
        <v>197489.1</v>
      </c>
      <c r="F31" s="55">
        <f>'WA ELEC'!F31</f>
        <v>0</v>
      </c>
      <c r="G31" s="55">
        <f>'WA ELEC'!G31</f>
        <v>150263.30382794773</v>
      </c>
      <c r="H31" s="55">
        <f>'WA ELEC'!H31</f>
        <v>-43270.680727329411</v>
      </c>
      <c r="I31" s="55">
        <f>'WA ELEC'!I31</f>
        <v>45500</v>
      </c>
      <c r="J31" s="55">
        <f>'WA ELEC'!J31</f>
        <v>45500</v>
      </c>
      <c r="K31" s="55">
        <f>'WA ELEC'!K31</f>
        <v>0</v>
      </c>
      <c r="L31" s="55">
        <f>'WA ELEC'!L31</f>
        <v>128987.98006975214</v>
      </c>
      <c r="M31" s="55">
        <f>'WA ELEC'!M31</f>
        <v>0</v>
      </c>
      <c r="N31" s="55">
        <f>'WA ELEC'!N31</f>
        <v>189281.12584090905</v>
      </c>
      <c r="O31" s="55">
        <f>'WA ELEC'!O31</f>
        <v>-62759.984759999992</v>
      </c>
      <c r="P31" s="55">
        <f>'WA ELEC'!P31</f>
        <v>19348.19701046282</v>
      </c>
      <c r="Q31" s="55">
        <f>'WA ELEC'!Q31</f>
        <v>19348.19701046282</v>
      </c>
      <c r="R31" s="55">
        <f>'WA ELEC'!R31</f>
        <v>0</v>
      </c>
      <c r="S31" s="55">
        <f>'WA ELEC'!S31</f>
        <v>12344.725923763672</v>
      </c>
      <c r="T31" s="55">
        <f>'WA ELEC'!T31</f>
        <v>12344.725923763672</v>
      </c>
      <c r="U31" s="55">
        <f>'WA ELEC'!U31</f>
        <v>0</v>
      </c>
      <c r="V31" s="74">
        <f t="shared" si="0"/>
        <v>0.73191554583153673</v>
      </c>
      <c r="W31" s="74">
        <f>(H31+G31)/(M31+R31+S31+L31+Q31)</f>
        <v>0.66587018805818554</v>
      </c>
      <c r="X31" s="74">
        <f>(O31+K31+J31+N31)/(F31+E31-M31-L31)</f>
        <v>2.5112164772790835</v>
      </c>
      <c r="Y31" s="74">
        <f>(H31+G31)/(M31+O31+R31+S31+L31+N31+Q31)</f>
        <v>0.37253433707802841</v>
      </c>
    </row>
    <row r="32" spans="1:25" ht="15.75" thickTop="1" x14ac:dyDescent="0.25">
      <c r="A32" s="18"/>
      <c r="V32" s="11"/>
      <c r="W32" s="11"/>
      <c r="X32" s="11"/>
      <c r="Y32" s="11"/>
    </row>
    <row r="33" spans="1:25" ht="15.75" thickBot="1" x14ac:dyDescent="0.3">
      <c r="A33" s="19" t="s">
        <v>40</v>
      </c>
      <c r="B33" s="75">
        <v>4993200</v>
      </c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73"/>
      <c r="W33" s="73"/>
      <c r="X33" s="73"/>
      <c r="Y33" s="73"/>
    </row>
    <row r="34" spans="1:25" ht="15.75" thickTop="1" x14ac:dyDescent="0.25">
      <c r="A34" s="18"/>
      <c r="V34" s="11"/>
      <c r="W34" s="11"/>
      <c r="X34" s="11"/>
      <c r="Y34" s="11"/>
    </row>
    <row r="35" spans="1:25" s="15" customFormat="1" ht="15.75" thickBot="1" x14ac:dyDescent="0.3">
      <c r="A35" s="10" t="s">
        <v>78</v>
      </c>
      <c r="B35" s="13">
        <f>B31+B27+B29+B33</f>
        <v>63334850.925172471</v>
      </c>
      <c r="C35" s="13">
        <f t="shared" ref="C35:U35" si="13">C31+C27+C29</f>
        <v>-106897.29387568898</v>
      </c>
      <c r="D35" s="13">
        <f t="shared" si="13"/>
        <v>28123951.612134125</v>
      </c>
      <c r="E35" s="13">
        <f t="shared" si="13"/>
        <v>22263616.163785383</v>
      </c>
      <c r="F35" s="13">
        <f t="shared" si="13"/>
        <v>5860335.448348742</v>
      </c>
      <c r="G35" s="13">
        <f t="shared" si="13"/>
        <v>46003934.471329838</v>
      </c>
      <c r="H35" s="13">
        <f t="shared" si="13"/>
        <v>-445652.51053902693</v>
      </c>
      <c r="I35" s="13">
        <f t="shared" si="13"/>
        <v>4339753.7725561075</v>
      </c>
      <c r="J35" s="13">
        <f t="shared" si="13"/>
        <v>4346105.4469843246</v>
      </c>
      <c r="K35" s="13">
        <f t="shared" si="13"/>
        <v>-6351.6744282179279</v>
      </c>
      <c r="L35" s="13">
        <f t="shared" si="13"/>
        <v>9916317.2310744356</v>
      </c>
      <c r="M35" s="13">
        <f t="shared" si="13"/>
        <v>2137806.4623223492</v>
      </c>
      <c r="N35" s="13">
        <f t="shared" si="13"/>
        <v>64877815.961719736</v>
      </c>
      <c r="O35" s="13">
        <f t="shared" si="13"/>
        <v>367126.92620452587</v>
      </c>
      <c r="P35" s="13">
        <f t="shared" si="13"/>
        <v>711136.42291064817</v>
      </c>
      <c r="Q35" s="13">
        <f t="shared" si="13"/>
        <v>612070.14189827361</v>
      </c>
      <c r="R35" s="13">
        <f t="shared" si="13"/>
        <v>99066.281012374544</v>
      </c>
      <c r="S35" s="13">
        <f t="shared" si="13"/>
        <v>4447231.5999999987</v>
      </c>
      <c r="T35" s="13">
        <f t="shared" si="13"/>
        <v>3780146.8599999994</v>
      </c>
      <c r="U35" s="13">
        <f t="shared" si="13"/>
        <v>667084.73999999987</v>
      </c>
      <c r="V35" s="17">
        <f t="shared" si="0"/>
        <v>1.6491590702977088</v>
      </c>
      <c r="W35" s="17">
        <f>(H35+G35)/(M35+R35+S35+L35+Q35)</f>
        <v>2.64681504059218</v>
      </c>
      <c r="X35" s="17">
        <f>(O35+K35+J35+N35)/(F35+E35-M35-L35)</f>
        <v>4.3301457247930424</v>
      </c>
      <c r="Y35" s="17">
        <f>(H35+G35)/(M35+O35+R35+S35+L35+N35+Q35)</f>
        <v>0.55250666212762312</v>
      </c>
    </row>
    <row r="36" spans="1:25" s="15" customFormat="1" ht="15.75" thickTop="1" x14ac:dyDescent="0.25">
      <c r="V36" s="16"/>
      <c r="W36" s="16"/>
      <c r="X36" s="16"/>
      <c r="Y36" s="16"/>
    </row>
    <row r="37" spans="1:25" x14ac:dyDescent="0.25">
      <c r="B37" s="12"/>
    </row>
  </sheetData>
  <pageMargins left="0.7" right="0.7" top="0.75" bottom="0.75" header="0.3" footer="0.3"/>
  <pageSetup scale="94" fitToWidth="7" orientation="landscape" r:id="rId1"/>
  <headerFooter>
    <oddFooter>&amp;L&amp;F
&amp;A&amp;RPage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2:AB38"/>
  <sheetViews>
    <sheetView workbookViewId="0"/>
  </sheetViews>
  <sheetFormatPr defaultColWidth="9.140625" defaultRowHeight="15" x14ac:dyDescent="0.25"/>
  <cols>
    <col min="1" max="1" width="32.7109375" style="56" bestFit="1" customWidth="1"/>
    <col min="2" max="2" width="11.5703125" style="18" bestFit="1" customWidth="1"/>
    <col min="3" max="3" width="11" style="18" customWidth="1"/>
    <col min="4" max="4" width="11.85546875" style="18" customWidth="1"/>
    <col min="5" max="5" width="12" style="18" customWidth="1"/>
    <col min="6" max="6" width="13.140625" style="18" customWidth="1"/>
    <col min="7" max="7" width="12.5703125" style="18" bestFit="1" customWidth="1"/>
    <col min="8" max="8" width="12.42578125" style="18" customWidth="1"/>
    <col min="9" max="10" width="11.5703125" style="18" bestFit="1" customWidth="1"/>
    <col min="11" max="11" width="10.85546875" style="18" customWidth="1"/>
    <col min="12" max="12" width="11.42578125" style="18" customWidth="1"/>
    <col min="13" max="13" width="11.85546875" style="18" customWidth="1"/>
    <col min="14" max="14" width="16.85546875" style="18" customWidth="1"/>
    <col min="15" max="15" width="12.85546875" style="18" customWidth="1"/>
    <col min="16" max="17" width="11.5703125" style="18" bestFit="1" customWidth="1"/>
    <col min="18" max="18" width="9.28515625" style="18" bestFit="1" customWidth="1"/>
    <col min="19" max="21" width="11.42578125" style="18" customWidth="1"/>
    <col min="22" max="23" width="9.140625" style="18"/>
    <col min="24" max="24" width="11.140625" style="18" customWidth="1"/>
    <col min="25" max="27" width="9.140625" style="18"/>
    <col min="28" max="28" width="13.28515625" style="18" bestFit="1" customWidth="1"/>
    <col min="29" max="16384" width="9.140625" style="18"/>
  </cols>
  <sheetData>
    <row r="2" spans="1:28" ht="30" x14ac:dyDescent="0.25">
      <c r="A2" s="56" t="s">
        <v>11</v>
      </c>
      <c r="B2" s="57" t="s">
        <v>12</v>
      </c>
      <c r="C2" s="57" t="s">
        <v>13</v>
      </c>
      <c r="D2" s="57" t="s">
        <v>14</v>
      </c>
      <c r="E2" s="57" t="s">
        <v>15</v>
      </c>
      <c r="F2" s="57" t="s">
        <v>16</v>
      </c>
      <c r="G2" s="58" t="s">
        <v>17</v>
      </c>
      <c r="H2" s="57" t="s">
        <v>18</v>
      </c>
      <c r="I2" s="57" t="s">
        <v>19</v>
      </c>
      <c r="J2" s="57" t="s">
        <v>72</v>
      </c>
      <c r="K2" s="57" t="s">
        <v>73</v>
      </c>
      <c r="L2" s="58" t="s">
        <v>20</v>
      </c>
      <c r="M2" s="58" t="s">
        <v>21</v>
      </c>
      <c r="N2" s="58" t="s">
        <v>22</v>
      </c>
      <c r="O2" s="58" t="s">
        <v>23</v>
      </c>
      <c r="P2" s="58" t="s">
        <v>24</v>
      </c>
      <c r="Q2" s="58" t="s">
        <v>74</v>
      </c>
      <c r="R2" s="58" t="s">
        <v>75</v>
      </c>
      <c r="S2" s="58" t="s">
        <v>25</v>
      </c>
      <c r="T2" s="58" t="s">
        <v>76</v>
      </c>
      <c r="U2" s="58" t="s">
        <v>77</v>
      </c>
      <c r="V2" s="58" t="s">
        <v>26</v>
      </c>
      <c r="W2" s="58" t="s">
        <v>27</v>
      </c>
      <c r="X2" s="58" t="s">
        <v>28</v>
      </c>
      <c r="Y2" s="58" t="s">
        <v>29</v>
      </c>
    </row>
    <row r="3" spans="1:28" x14ac:dyDescent="0.25">
      <c r="B3" s="57"/>
      <c r="C3" s="57"/>
      <c r="D3" s="57"/>
      <c r="E3" s="57"/>
      <c r="F3" s="57"/>
      <c r="G3" s="58"/>
      <c r="H3" s="57"/>
      <c r="I3" s="57"/>
      <c r="J3" s="57"/>
      <c r="K3" s="57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</row>
    <row r="4" spans="1:28" ht="15.75" thickBot="1" x14ac:dyDescent="0.3">
      <c r="A4" s="64" t="s">
        <v>80</v>
      </c>
      <c r="B4" s="65">
        <v>731368.11236873851</v>
      </c>
      <c r="C4" s="65">
        <v>0</v>
      </c>
      <c r="D4" s="65">
        <v>818136.09999999986</v>
      </c>
      <c r="E4" s="65">
        <v>818136.09999999986</v>
      </c>
      <c r="F4" s="65">
        <v>0</v>
      </c>
      <c r="G4" s="65">
        <v>1075587.4375399125</v>
      </c>
      <c r="H4" s="65">
        <v>0</v>
      </c>
      <c r="I4" s="65">
        <v>228157.60493119975</v>
      </c>
      <c r="J4" s="65">
        <v>228157.60493119975</v>
      </c>
      <c r="K4" s="65">
        <v>0</v>
      </c>
      <c r="L4" s="65">
        <v>818136.09999999986</v>
      </c>
      <c r="M4" s="65">
        <v>0</v>
      </c>
      <c r="N4" s="65">
        <v>1293575.9802714181</v>
      </c>
      <c r="O4" s="65">
        <v>0</v>
      </c>
      <c r="P4" s="65">
        <v>114786.04500000001</v>
      </c>
      <c r="Q4" s="65">
        <v>114786.04500000001</v>
      </c>
      <c r="R4" s="65">
        <v>0</v>
      </c>
      <c r="S4" s="65">
        <v>88363.770695982341</v>
      </c>
      <c r="T4" s="65">
        <v>88363.770695982341</v>
      </c>
      <c r="U4" s="65">
        <v>0</v>
      </c>
      <c r="V4" s="73">
        <v>1.4042292414665336</v>
      </c>
      <c r="W4" s="73">
        <v>1.0531697549230619</v>
      </c>
      <c r="X4" s="73" t="s">
        <v>30</v>
      </c>
      <c r="Y4" s="73">
        <v>0.46464432258945432</v>
      </c>
      <c r="AA4" s="12"/>
      <c r="AB4" s="88"/>
    </row>
    <row r="5" spans="1:28" ht="15.75" thickTop="1" x14ac:dyDescent="0.25">
      <c r="A5" s="59"/>
      <c r="B5" s="60"/>
      <c r="C5" s="60"/>
      <c r="D5" s="61"/>
      <c r="E5" s="61"/>
      <c r="F5" s="61"/>
      <c r="G5" s="61"/>
      <c r="H5" s="61"/>
      <c r="I5" s="61"/>
      <c r="J5" s="61"/>
      <c r="K5" s="61"/>
      <c r="L5" s="61"/>
      <c r="M5" s="62"/>
      <c r="N5" s="62"/>
      <c r="O5" s="62"/>
      <c r="P5" s="62"/>
      <c r="Q5" s="62"/>
      <c r="R5" s="62"/>
      <c r="S5" s="62"/>
      <c r="T5" s="62"/>
      <c r="U5" s="62"/>
      <c r="V5" s="70"/>
      <c r="W5" s="70"/>
      <c r="X5" s="70"/>
      <c r="Y5" s="70"/>
    </row>
    <row r="6" spans="1:28" x14ac:dyDescent="0.25">
      <c r="A6" s="67" t="s">
        <v>92</v>
      </c>
      <c r="B6" s="60">
        <v>1194742.2173926868</v>
      </c>
      <c r="C6" s="60">
        <v>0</v>
      </c>
      <c r="D6" s="60">
        <v>897851.25999999989</v>
      </c>
      <c r="E6" s="60">
        <v>897851.25999999989</v>
      </c>
      <c r="F6" s="60">
        <v>0</v>
      </c>
      <c r="G6" s="60">
        <v>1362391.947875422</v>
      </c>
      <c r="H6" s="60">
        <v>0</v>
      </c>
      <c r="I6" s="60">
        <v>82756.090253768678</v>
      </c>
      <c r="J6" s="60">
        <v>82756.090253768678</v>
      </c>
      <c r="K6" s="60">
        <v>0</v>
      </c>
      <c r="L6" s="60">
        <v>164196</v>
      </c>
      <c r="M6" s="60">
        <v>0</v>
      </c>
      <c r="N6" s="60">
        <v>1695412.3130329009</v>
      </c>
      <c r="O6" s="60">
        <v>0</v>
      </c>
      <c r="P6" s="60">
        <v>0</v>
      </c>
      <c r="Q6" s="60">
        <v>0</v>
      </c>
      <c r="R6" s="60">
        <v>0</v>
      </c>
      <c r="S6" s="60">
        <v>111925.89786606657</v>
      </c>
      <c r="T6" s="60">
        <v>111925.89786606657</v>
      </c>
      <c r="U6" s="60">
        <v>0</v>
      </c>
      <c r="V6" s="84">
        <v>1.5742709463754354</v>
      </c>
      <c r="W6" s="84">
        <v>4.9340235541052699</v>
      </c>
      <c r="X6" s="84">
        <v>2.6660822190729432</v>
      </c>
      <c r="Y6" s="84">
        <v>0.69103135027730878</v>
      </c>
    </row>
    <row r="7" spans="1:28" x14ac:dyDescent="0.25">
      <c r="A7" s="67" t="s">
        <v>67</v>
      </c>
      <c r="B7" s="60">
        <v>11929924.998000002</v>
      </c>
      <c r="C7" s="60">
        <v>0</v>
      </c>
      <c r="D7" s="60">
        <v>1432940.8275000001</v>
      </c>
      <c r="E7" s="60">
        <v>1432940.8275000001</v>
      </c>
      <c r="F7" s="60">
        <v>0</v>
      </c>
      <c r="G7" s="60">
        <v>9147545.8637385983</v>
      </c>
      <c r="H7" s="60">
        <v>0</v>
      </c>
      <c r="I7" s="60">
        <v>0</v>
      </c>
      <c r="J7" s="60">
        <v>0</v>
      </c>
      <c r="K7" s="60">
        <v>0</v>
      </c>
      <c r="L7" s="60">
        <v>1093128.3000000003</v>
      </c>
      <c r="M7" s="60">
        <v>0</v>
      </c>
      <c r="N7" s="60">
        <v>12568845.257645145</v>
      </c>
      <c r="O7" s="60">
        <v>0</v>
      </c>
      <c r="P7" s="60">
        <v>349641.8923500001</v>
      </c>
      <c r="Q7" s="60">
        <v>349641.8923500001</v>
      </c>
      <c r="R7" s="60">
        <v>0</v>
      </c>
      <c r="S7" s="60">
        <v>751507.14569812431</v>
      </c>
      <c r="T7" s="60">
        <v>751507.14569812431</v>
      </c>
      <c r="U7" s="60">
        <v>0</v>
      </c>
      <c r="V7" s="84">
        <v>3.9707749069648637</v>
      </c>
      <c r="W7" s="84">
        <v>4.1688193671432678</v>
      </c>
      <c r="X7" s="84">
        <v>40.68634515956645</v>
      </c>
      <c r="Y7" s="84">
        <v>0.61962134395653801</v>
      </c>
    </row>
    <row r="8" spans="1:28" ht="15.75" thickBot="1" x14ac:dyDescent="0.3">
      <c r="A8" s="64" t="s">
        <v>91</v>
      </c>
      <c r="B8" s="65">
        <v>7693000</v>
      </c>
      <c r="C8" s="65">
        <v>0</v>
      </c>
      <c r="D8" s="65">
        <v>0.01</v>
      </c>
      <c r="E8" s="65">
        <v>0.01</v>
      </c>
      <c r="F8" s="65">
        <v>0</v>
      </c>
      <c r="G8" s="65">
        <v>437810.408078468</v>
      </c>
      <c r="H8" s="65">
        <v>0</v>
      </c>
      <c r="I8" s="65">
        <v>0</v>
      </c>
      <c r="J8" s="65">
        <v>0</v>
      </c>
      <c r="K8" s="65">
        <v>0</v>
      </c>
      <c r="L8" s="65">
        <v>9.9999999999999995E-7</v>
      </c>
      <c r="M8" s="65">
        <v>0</v>
      </c>
      <c r="N8" s="65">
        <v>1194413.7812727271</v>
      </c>
      <c r="O8" s="65">
        <v>0</v>
      </c>
      <c r="P8" s="65">
        <v>0</v>
      </c>
      <c r="Q8" s="65">
        <v>0</v>
      </c>
      <c r="R8" s="65">
        <v>0</v>
      </c>
      <c r="S8" s="65">
        <v>35967.860126968641</v>
      </c>
      <c r="T8" s="65">
        <v>35967.860126968641</v>
      </c>
      <c r="U8" s="65">
        <v>0</v>
      </c>
      <c r="V8" s="73">
        <v>13.389490319728953</v>
      </c>
      <c r="W8" s="73">
        <v>12.172267310893655</v>
      </c>
      <c r="X8" s="73" t="s">
        <v>30</v>
      </c>
      <c r="Y8" s="73">
        <v>0.355833014202044</v>
      </c>
    </row>
    <row r="9" spans="1:28" ht="15.75" thickTop="1" x14ac:dyDescent="0.25">
      <c r="A9" s="67" t="s">
        <v>32</v>
      </c>
      <c r="B9" s="60">
        <f t="shared" ref="B9:T9" si="0">SUM(B6:B8)</f>
        <v>20817667.215392686</v>
      </c>
      <c r="C9" s="60">
        <f t="shared" si="0"/>
        <v>0</v>
      </c>
      <c r="D9" s="60">
        <f t="shared" si="0"/>
        <v>2330792.0974999997</v>
      </c>
      <c r="E9" s="60">
        <f t="shared" si="0"/>
        <v>2330792.0974999997</v>
      </c>
      <c r="F9" s="60">
        <f t="shared" si="0"/>
        <v>0</v>
      </c>
      <c r="G9" s="60">
        <f t="shared" si="0"/>
        <v>10947748.219692487</v>
      </c>
      <c r="H9" s="60">
        <f t="shared" si="0"/>
        <v>0</v>
      </c>
      <c r="I9" s="60">
        <f t="shared" si="0"/>
        <v>82756.090253768678</v>
      </c>
      <c r="J9" s="60">
        <f t="shared" si="0"/>
        <v>82756.090253768678</v>
      </c>
      <c r="K9" s="60">
        <f t="shared" si="0"/>
        <v>0</v>
      </c>
      <c r="L9" s="60">
        <f t="shared" si="0"/>
        <v>1257324.3000010003</v>
      </c>
      <c r="M9" s="63">
        <f t="shared" si="0"/>
        <v>0</v>
      </c>
      <c r="N9" s="63">
        <f t="shared" si="0"/>
        <v>15458671.351950772</v>
      </c>
      <c r="O9" s="63">
        <f t="shared" si="0"/>
        <v>0</v>
      </c>
      <c r="P9" s="63">
        <f t="shared" si="0"/>
        <v>349641.8923500001</v>
      </c>
      <c r="Q9" s="63">
        <f t="shared" si="0"/>
        <v>349641.8923500001</v>
      </c>
      <c r="R9" s="63">
        <f t="shared" si="0"/>
        <v>0</v>
      </c>
      <c r="S9" s="63">
        <f t="shared" si="0"/>
        <v>899400.90369115944</v>
      </c>
      <c r="T9" s="63">
        <f t="shared" si="0"/>
        <v>899400.90369115944</v>
      </c>
      <c r="U9" s="63">
        <f>U6+U7+U8</f>
        <v>0</v>
      </c>
      <c r="V9" s="51">
        <f>((H9+K9+G9+J9)*1.1)/(F9+E9+R9+S9+Q9)</f>
        <v>3.3894174177788448</v>
      </c>
      <c r="W9" s="51">
        <f>(H9+G9)/(M9+R9+S9+L9+Q9)</f>
        <v>4.3679747619493696</v>
      </c>
      <c r="X9" s="51">
        <f>(O9+K9+J9+N9)/(F9+E9-M9-L9)</f>
        <v>14.477777049682786</v>
      </c>
      <c r="Y9" s="51">
        <f>(H9+G9)/(M9+O9+R9+S9+L9+N9+Q9)</f>
        <v>0.60939186138594537</v>
      </c>
    </row>
    <row r="10" spans="1:28" x14ac:dyDescent="0.25">
      <c r="A10" s="59"/>
      <c r="B10" s="60"/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2"/>
      <c r="N10" s="62"/>
      <c r="O10" s="62"/>
      <c r="P10" s="62"/>
      <c r="Q10" s="62"/>
      <c r="R10" s="62"/>
      <c r="S10" s="62"/>
      <c r="T10" s="62"/>
      <c r="U10" s="62"/>
      <c r="V10" s="70"/>
      <c r="W10" s="70"/>
      <c r="X10" s="70"/>
      <c r="Y10" s="70"/>
    </row>
    <row r="11" spans="1:28" x14ac:dyDescent="0.25">
      <c r="A11" s="67" t="s">
        <v>81</v>
      </c>
      <c r="B11" s="60">
        <v>7302626.5569943786</v>
      </c>
      <c r="C11" s="60">
        <v>-79702.469646425714</v>
      </c>
      <c r="D11" s="60">
        <v>2939177.2803212851</v>
      </c>
      <c r="E11" s="60">
        <v>2939177.2803212851</v>
      </c>
      <c r="F11" s="60">
        <v>0</v>
      </c>
      <c r="G11" s="60">
        <v>4830074.9717671312</v>
      </c>
      <c r="H11" s="60">
        <v>-527099.47598610469</v>
      </c>
      <c r="I11" s="60">
        <v>1100214.1238717488</v>
      </c>
      <c r="J11" s="60">
        <v>1202946.2442794223</v>
      </c>
      <c r="K11" s="60">
        <v>-102732.12040767347</v>
      </c>
      <c r="L11" s="60">
        <v>1167149.3975903615</v>
      </c>
      <c r="M11" s="60">
        <v>0</v>
      </c>
      <c r="N11" s="60">
        <v>7994367.0153024383</v>
      </c>
      <c r="O11" s="60">
        <v>-690064.28343824774</v>
      </c>
      <c r="P11" s="60">
        <v>0</v>
      </c>
      <c r="Q11" s="60">
        <v>0</v>
      </c>
      <c r="R11" s="60">
        <v>0</v>
      </c>
      <c r="S11" s="60">
        <v>396809.80118717352</v>
      </c>
      <c r="T11" s="60">
        <v>396809.80118717352</v>
      </c>
      <c r="U11" s="60">
        <v>0</v>
      </c>
      <c r="V11" s="84">
        <v>1.7816341719556457</v>
      </c>
      <c r="W11" s="84">
        <v>2.7513348808232578</v>
      </c>
      <c r="X11" s="84">
        <v>5.2171687767473749</v>
      </c>
      <c r="Y11" s="84">
        <v>0.48521069059917299</v>
      </c>
    </row>
    <row r="12" spans="1:28" x14ac:dyDescent="0.25">
      <c r="A12" s="67" t="s">
        <v>82</v>
      </c>
      <c r="B12" s="60">
        <v>2517896.8337500002</v>
      </c>
      <c r="C12" s="60">
        <v>0</v>
      </c>
      <c r="D12" s="60">
        <v>878688.64</v>
      </c>
      <c r="E12" s="60">
        <v>878688.64</v>
      </c>
      <c r="F12" s="60">
        <v>0</v>
      </c>
      <c r="G12" s="60">
        <v>1361096.3906188693</v>
      </c>
      <c r="H12" s="60">
        <v>0</v>
      </c>
      <c r="I12" s="60">
        <v>1957482.9460831312</v>
      </c>
      <c r="J12" s="60">
        <v>1957482.9460831312</v>
      </c>
      <c r="K12" s="60">
        <v>0</v>
      </c>
      <c r="L12" s="60">
        <v>439855</v>
      </c>
      <c r="M12" s="60">
        <v>0</v>
      </c>
      <c r="N12" s="60">
        <v>2200013.1481061494</v>
      </c>
      <c r="O12" s="60">
        <v>0</v>
      </c>
      <c r="P12" s="60">
        <v>0</v>
      </c>
      <c r="Q12" s="60">
        <v>0</v>
      </c>
      <c r="R12" s="60">
        <v>0</v>
      </c>
      <c r="S12" s="60">
        <v>111819.46270296781</v>
      </c>
      <c r="T12" s="60">
        <v>111819.46270296781</v>
      </c>
      <c r="U12" s="60">
        <v>0</v>
      </c>
      <c r="V12" s="84">
        <v>3.6854188879531948</v>
      </c>
      <c r="W12" s="84">
        <v>2.467209346523096</v>
      </c>
      <c r="X12" s="84">
        <v>10.42136538030268</v>
      </c>
      <c r="Y12" s="84">
        <v>0.49464059265748089</v>
      </c>
    </row>
    <row r="13" spans="1:28" x14ac:dyDescent="0.25">
      <c r="A13" s="67" t="s">
        <v>83</v>
      </c>
      <c r="B13" s="60">
        <v>9000000</v>
      </c>
      <c r="C13" s="60">
        <v>0</v>
      </c>
      <c r="D13" s="60">
        <v>4060222</v>
      </c>
      <c r="E13" s="60">
        <v>4060222</v>
      </c>
      <c r="F13" s="60">
        <v>0</v>
      </c>
      <c r="G13" s="60">
        <v>6574152.0667701429</v>
      </c>
      <c r="H13" s="60">
        <v>0</v>
      </c>
      <c r="I13" s="60">
        <v>0</v>
      </c>
      <c r="J13" s="60">
        <v>0</v>
      </c>
      <c r="K13" s="60">
        <v>0</v>
      </c>
      <c r="L13" s="60">
        <v>1450000</v>
      </c>
      <c r="M13" s="60">
        <v>0</v>
      </c>
      <c r="N13" s="60">
        <v>11178706.909090908</v>
      </c>
      <c r="O13" s="60">
        <v>0</v>
      </c>
      <c r="P13" s="60">
        <v>0</v>
      </c>
      <c r="Q13" s="60">
        <v>0</v>
      </c>
      <c r="R13" s="60">
        <v>0</v>
      </c>
      <c r="S13" s="60">
        <v>540092.64656090667</v>
      </c>
      <c r="T13" s="60">
        <v>540092.64656090667</v>
      </c>
      <c r="U13" s="60">
        <v>0</v>
      </c>
      <c r="V13" s="84">
        <v>1.5719723169051747</v>
      </c>
      <c r="W13" s="84">
        <v>3.3034402082390395</v>
      </c>
      <c r="X13" s="84">
        <v>4.7109317138542242</v>
      </c>
      <c r="Y13" s="84">
        <v>0.49922181888998629</v>
      </c>
    </row>
    <row r="14" spans="1:28" x14ac:dyDescent="0.25">
      <c r="A14" s="67" t="s">
        <v>84</v>
      </c>
      <c r="B14" s="60">
        <v>7853</v>
      </c>
      <c r="C14" s="60">
        <v>0</v>
      </c>
      <c r="D14" s="60">
        <v>2096</v>
      </c>
      <c r="E14" s="60">
        <v>2096</v>
      </c>
      <c r="F14" s="60">
        <v>0</v>
      </c>
      <c r="G14" s="60">
        <v>11204.008486354951</v>
      </c>
      <c r="H14" s="60">
        <v>0</v>
      </c>
      <c r="I14" s="60">
        <v>0</v>
      </c>
      <c r="J14" s="60">
        <v>0</v>
      </c>
      <c r="K14" s="60">
        <v>0</v>
      </c>
      <c r="L14" s="60">
        <v>1085</v>
      </c>
      <c r="M14" s="60">
        <v>0</v>
      </c>
      <c r="N14" s="60">
        <v>13411.808873999998</v>
      </c>
      <c r="O14" s="60">
        <v>0</v>
      </c>
      <c r="P14" s="60">
        <v>0</v>
      </c>
      <c r="Q14" s="60">
        <v>0</v>
      </c>
      <c r="R14" s="60">
        <v>0</v>
      </c>
      <c r="S14" s="60">
        <v>920.45370019243217</v>
      </c>
      <c r="T14" s="60">
        <v>920.45370019243217</v>
      </c>
      <c r="U14" s="60">
        <v>0</v>
      </c>
      <c r="V14" s="84">
        <v>4.0857279971524907</v>
      </c>
      <c r="W14" s="84">
        <v>5.5867699589773006</v>
      </c>
      <c r="X14" s="84">
        <v>14.592472563204748</v>
      </c>
      <c r="Y14" s="84">
        <v>0.72671840623054484</v>
      </c>
    </row>
    <row r="15" spans="1:28" x14ac:dyDescent="0.25">
      <c r="A15" s="67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84"/>
      <c r="W15" s="84"/>
      <c r="X15" s="84"/>
      <c r="Y15" s="84"/>
    </row>
    <row r="16" spans="1:28" x14ac:dyDescent="0.25">
      <c r="A16" s="67" t="s">
        <v>37</v>
      </c>
      <c r="B16" s="60">
        <v>78975</v>
      </c>
      <c r="C16" s="60">
        <v>0</v>
      </c>
      <c r="D16" s="60">
        <v>12046.16</v>
      </c>
      <c r="E16" s="60">
        <v>12046.16</v>
      </c>
      <c r="F16" s="60">
        <v>0</v>
      </c>
      <c r="G16" s="60">
        <v>26529.121832227436</v>
      </c>
      <c r="H16" s="60">
        <v>0</v>
      </c>
      <c r="I16" s="60">
        <v>0</v>
      </c>
      <c r="J16" s="60">
        <v>0</v>
      </c>
      <c r="K16" s="60">
        <v>0</v>
      </c>
      <c r="L16" s="60">
        <v>7070</v>
      </c>
      <c r="M16" s="60">
        <v>0</v>
      </c>
      <c r="N16" s="60">
        <v>47871.80314936363</v>
      </c>
      <c r="O16" s="60">
        <v>0</v>
      </c>
      <c r="P16" s="60">
        <v>3948.75</v>
      </c>
      <c r="Q16" s="60">
        <v>3948.75</v>
      </c>
      <c r="R16" s="60">
        <v>0</v>
      </c>
      <c r="S16" s="60">
        <v>2179.4724971039236</v>
      </c>
      <c r="T16" s="60">
        <v>2179.4724971039236</v>
      </c>
      <c r="U16" s="60">
        <v>0</v>
      </c>
      <c r="V16" s="84">
        <v>1.6056685293214406</v>
      </c>
      <c r="W16" s="84">
        <v>2.0100526292876713</v>
      </c>
      <c r="X16" s="84">
        <v>10.582252874565931</v>
      </c>
      <c r="Y16" s="84">
        <v>0.43440495646430022</v>
      </c>
    </row>
    <row r="17" spans="1:25" x14ac:dyDescent="0.25">
      <c r="A17" s="67" t="s">
        <v>85</v>
      </c>
      <c r="B17" s="60">
        <v>452171</v>
      </c>
      <c r="C17" s="60">
        <v>0</v>
      </c>
      <c r="D17" s="60">
        <v>66000</v>
      </c>
      <c r="E17" s="60">
        <v>66000</v>
      </c>
      <c r="F17" s="60">
        <v>0</v>
      </c>
      <c r="G17" s="60">
        <v>327963.30173184397</v>
      </c>
      <c r="H17" s="60">
        <v>0</v>
      </c>
      <c r="I17" s="60">
        <v>0</v>
      </c>
      <c r="J17" s="60">
        <v>0</v>
      </c>
      <c r="K17" s="60">
        <v>0</v>
      </c>
      <c r="L17" s="60">
        <v>42900</v>
      </c>
      <c r="M17" s="60">
        <v>0</v>
      </c>
      <c r="N17" s="60">
        <v>561631.89797672722</v>
      </c>
      <c r="O17" s="60">
        <v>0</v>
      </c>
      <c r="P17" s="60">
        <v>193.45000000000002</v>
      </c>
      <c r="Q17" s="60">
        <v>193.45000000000002</v>
      </c>
      <c r="R17" s="60">
        <v>0</v>
      </c>
      <c r="S17" s="60">
        <v>26943.485001287532</v>
      </c>
      <c r="T17" s="60">
        <v>26943.485001287532</v>
      </c>
      <c r="U17" s="60">
        <v>0</v>
      </c>
      <c r="V17" s="84">
        <v>3.8734325098849478</v>
      </c>
      <c r="W17" s="84">
        <v>4.6827192213053701</v>
      </c>
      <c r="X17" s="84">
        <v>26.744376094129869</v>
      </c>
      <c r="Y17" s="84">
        <v>0.51920133558854686</v>
      </c>
    </row>
    <row r="18" spans="1:25" x14ac:dyDescent="0.25">
      <c r="A18" s="67" t="s">
        <v>86</v>
      </c>
      <c r="B18" s="60">
        <v>32000</v>
      </c>
      <c r="C18" s="60">
        <v>0</v>
      </c>
      <c r="D18" s="60">
        <v>2082</v>
      </c>
      <c r="E18" s="60">
        <v>2082</v>
      </c>
      <c r="F18" s="60">
        <v>0</v>
      </c>
      <c r="G18" s="60">
        <v>17486.759630648623</v>
      </c>
      <c r="H18" s="60">
        <v>0</v>
      </c>
      <c r="I18" s="60">
        <v>0</v>
      </c>
      <c r="J18" s="60">
        <v>0</v>
      </c>
      <c r="K18" s="60">
        <v>0</v>
      </c>
      <c r="L18" s="60">
        <v>2082</v>
      </c>
      <c r="M18" s="60">
        <v>0</v>
      </c>
      <c r="N18" s="60">
        <v>29809.885090909087</v>
      </c>
      <c r="O18" s="60">
        <v>0</v>
      </c>
      <c r="P18" s="60">
        <v>0</v>
      </c>
      <c r="Q18" s="60">
        <v>0</v>
      </c>
      <c r="R18" s="60">
        <v>0</v>
      </c>
      <c r="S18" s="60">
        <v>1436.6066061096562</v>
      </c>
      <c r="T18" s="60">
        <v>1436.6066061096562</v>
      </c>
      <c r="U18" s="60">
        <v>0</v>
      </c>
      <c r="V18" s="84">
        <v>5.4667764109557915</v>
      </c>
      <c r="W18" s="84">
        <v>4.9697967372325378</v>
      </c>
      <c r="X18" s="84" t="s">
        <v>30</v>
      </c>
      <c r="Y18" s="84">
        <v>0.52467899806617491</v>
      </c>
    </row>
    <row r="19" spans="1:25" x14ac:dyDescent="0.25">
      <c r="A19" s="67" t="s">
        <v>87</v>
      </c>
      <c r="B19" s="60">
        <v>1438174.5</v>
      </c>
      <c r="C19" s="60">
        <v>14577.5</v>
      </c>
      <c r="D19" s="60">
        <v>375413.30910000001</v>
      </c>
      <c r="E19" s="60">
        <v>326496.37717621925</v>
      </c>
      <c r="F19" s="60">
        <v>48916.931923780772</v>
      </c>
      <c r="G19" s="60">
        <v>848968.94742468279</v>
      </c>
      <c r="H19" s="60">
        <v>109499.55902011217</v>
      </c>
      <c r="I19" s="60">
        <v>0</v>
      </c>
      <c r="J19" s="60">
        <v>0</v>
      </c>
      <c r="K19" s="60">
        <v>0</v>
      </c>
      <c r="L19" s="60">
        <v>216908.35341332259</v>
      </c>
      <c r="M19" s="60">
        <v>32221.646586677416</v>
      </c>
      <c r="N19" s="60">
        <v>1460203.9955770909</v>
      </c>
      <c r="O19" s="60">
        <v>181862.82575999995</v>
      </c>
      <c r="P19" s="60">
        <v>133982.20499999999</v>
      </c>
      <c r="Q19" s="60">
        <v>124151.80753781059</v>
      </c>
      <c r="R19" s="60">
        <v>9830.3974621893976</v>
      </c>
      <c r="S19" s="60">
        <v>69746.163612533273</v>
      </c>
      <c r="T19" s="60">
        <v>69746.163612533273</v>
      </c>
      <c r="U19" s="60">
        <v>0</v>
      </c>
      <c r="V19" s="84">
        <v>1.8204791636712458</v>
      </c>
      <c r="W19" s="84">
        <v>2.1164862413415242</v>
      </c>
      <c r="X19" s="84">
        <v>14.303343144425092</v>
      </c>
      <c r="Y19" s="84">
        <v>0.45751920452483696</v>
      </c>
    </row>
    <row r="20" spans="1:25" x14ac:dyDescent="0.25">
      <c r="A20" s="67" t="s">
        <v>88</v>
      </c>
      <c r="B20" s="60">
        <v>3183708</v>
      </c>
      <c r="C20" s="60">
        <v>-139836</v>
      </c>
      <c r="D20" s="60">
        <v>3252000</v>
      </c>
      <c r="E20" s="60">
        <v>3252000</v>
      </c>
      <c r="F20" s="60">
        <v>0</v>
      </c>
      <c r="G20" s="60">
        <v>4011344.8853483577</v>
      </c>
      <c r="H20" s="60">
        <v>-1278896.9480383561</v>
      </c>
      <c r="I20" s="60">
        <v>542000</v>
      </c>
      <c r="J20" s="60">
        <v>795678.07978042681</v>
      </c>
      <c r="K20" s="60">
        <v>-253678.07978042681</v>
      </c>
      <c r="L20" s="60">
        <v>1897000</v>
      </c>
      <c r="M20" s="60">
        <v>0</v>
      </c>
      <c r="N20" s="60">
        <v>4943019.2522399994</v>
      </c>
      <c r="O20" s="60">
        <v>-1744535.7642239996</v>
      </c>
      <c r="P20" s="60">
        <v>0</v>
      </c>
      <c r="Q20" s="60">
        <v>0</v>
      </c>
      <c r="R20" s="60">
        <v>0</v>
      </c>
      <c r="S20" s="60">
        <v>329547.87984707259</v>
      </c>
      <c r="T20" s="60">
        <v>329547.87984707259</v>
      </c>
      <c r="U20" s="60">
        <v>0</v>
      </c>
      <c r="V20" s="84">
        <v>1.0056804632735492</v>
      </c>
      <c r="W20" s="84">
        <v>1.2272127458124442</v>
      </c>
      <c r="X20" s="84">
        <v>3.0365548611200004</v>
      </c>
      <c r="Y20" s="84">
        <v>0.50367412684404755</v>
      </c>
    </row>
    <row r="21" spans="1:25" x14ac:dyDescent="0.25">
      <c r="A21" s="67" t="s">
        <v>89</v>
      </c>
      <c r="B21" s="60">
        <v>109611.04000000001</v>
      </c>
      <c r="C21" s="60">
        <v>0</v>
      </c>
      <c r="D21" s="60">
        <v>14167.404999999999</v>
      </c>
      <c r="E21" s="60">
        <v>14167.404999999999</v>
      </c>
      <c r="F21" s="60">
        <v>0</v>
      </c>
      <c r="G21" s="60">
        <v>48027.43429437498</v>
      </c>
      <c r="H21" s="60">
        <v>0</v>
      </c>
      <c r="I21" s="60">
        <v>33584.481656376352</v>
      </c>
      <c r="J21" s="60">
        <v>33584.481656376352</v>
      </c>
      <c r="K21" s="60">
        <v>0</v>
      </c>
      <c r="L21" s="60">
        <v>6289.1</v>
      </c>
      <c r="M21" s="60">
        <v>0</v>
      </c>
      <c r="N21" s="60">
        <v>82637.454323585465</v>
      </c>
      <c r="O21" s="60">
        <v>0</v>
      </c>
      <c r="P21" s="60">
        <v>0</v>
      </c>
      <c r="Q21" s="60">
        <v>0</v>
      </c>
      <c r="R21" s="60">
        <v>0</v>
      </c>
      <c r="S21" s="60">
        <v>3945.6440666610406</v>
      </c>
      <c r="T21" s="60">
        <v>3945.6440666610406</v>
      </c>
      <c r="U21" s="60">
        <v>0</v>
      </c>
      <c r="V21" s="84">
        <v>4.9562670103435691</v>
      </c>
      <c r="W21" s="84">
        <v>4.6925877170510759</v>
      </c>
      <c r="X21" s="84">
        <v>16.227364842813021</v>
      </c>
      <c r="Y21" s="84">
        <v>0.51713467675832303</v>
      </c>
    </row>
    <row r="22" spans="1:25" ht="15.75" thickBot="1" x14ac:dyDescent="0.3">
      <c r="A22" s="64" t="s">
        <v>90</v>
      </c>
      <c r="B22" s="65">
        <v>42000</v>
      </c>
      <c r="C22" s="65">
        <v>0</v>
      </c>
      <c r="D22" s="65">
        <v>10080</v>
      </c>
      <c r="E22" s="65">
        <v>10080</v>
      </c>
      <c r="F22" s="65">
        <v>0</v>
      </c>
      <c r="G22" s="65">
        <v>10080</v>
      </c>
      <c r="H22" s="65">
        <v>0</v>
      </c>
      <c r="I22" s="65">
        <v>0</v>
      </c>
      <c r="J22" s="65">
        <v>0</v>
      </c>
      <c r="K22" s="65">
        <v>0</v>
      </c>
      <c r="L22" s="65">
        <v>10080</v>
      </c>
      <c r="M22" s="65">
        <v>0</v>
      </c>
      <c r="N22" s="65">
        <v>0</v>
      </c>
      <c r="O22" s="65">
        <v>0</v>
      </c>
      <c r="P22" s="65">
        <v>0</v>
      </c>
      <c r="Q22" s="65">
        <v>0</v>
      </c>
      <c r="R22" s="65">
        <v>0</v>
      </c>
      <c r="S22" s="65">
        <v>1569.435160784662</v>
      </c>
      <c r="T22" s="65">
        <v>1569.435160784662</v>
      </c>
      <c r="U22" s="65">
        <v>0</v>
      </c>
      <c r="V22" s="73">
        <v>0.95180580405523751</v>
      </c>
      <c r="W22" s="73">
        <v>0.86527800368657948</v>
      </c>
      <c r="X22" s="73" t="e">
        <v>#DIV/0!</v>
      </c>
      <c r="Y22" s="73">
        <v>0.86527800368657948</v>
      </c>
    </row>
    <row r="23" spans="1:25" ht="15.75" thickTop="1" x14ac:dyDescent="0.25">
      <c r="A23" s="71" t="s">
        <v>38</v>
      </c>
      <c r="B23" s="63">
        <f t="shared" ref="B23:U23" si="1">SUM(B11:B22)</f>
        <v>24165015.93074438</v>
      </c>
      <c r="C23" s="63">
        <f t="shared" si="1"/>
        <v>-204960.96964642571</v>
      </c>
      <c r="D23" s="63">
        <f t="shared" si="1"/>
        <v>11611972.794421285</v>
      </c>
      <c r="E23" s="63">
        <f t="shared" si="1"/>
        <v>11563055.862497505</v>
      </c>
      <c r="F23" s="63">
        <f t="shared" si="1"/>
        <v>48916.931923780772</v>
      </c>
      <c r="G23" s="63">
        <f t="shared" si="1"/>
        <v>18066927.887904633</v>
      </c>
      <c r="H23" s="63">
        <f t="shared" si="1"/>
        <v>-1696496.8650043486</v>
      </c>
      <c r="I23" s="63">
        <f t="shared" si="1"/>
        <v>3633281.5516112563</v>
      </c>
      <c r="J23" s="63">
        <f t="shared" si="1"/>
        <v>3989691.7517993567</v>
      </c>
      <c r="K23" s="63">
        <f t="shared" si="1"/>
        <v>-356410.20018810028</v>
      </c>
      <c r="L23" s="63">
        <f t="shared" si="1"/>
        <v>5240418.8510036841</v>
      </c>
      <c r="M23" s="63">
        <f t="shared" si="1"/>
        <v>32221.646586677416</v>
      </c>
      <c r="N23" s="63">
        <f t="shared" si="1"/>
        <v>28511673.169731174</v>
      </c>
      <c r="O23" s="63">
        <f t="shared" si="1"/>
        <v>-2252737.2219022475</v>
      </c>
      <c r="P23" s="63">
        <f t="shared" si="1"/>
        <v>138124.405</v>
      </c>
      <c r="Q23" s="63">
        <f t="shared" si="1"/>
        <v>128294.00753781058</v>
      </c>
      <c r="R23" s="63">
        <f t="shared" si="1"/>
        <v>9830.3974621893976</v>
      </c>
      <c r="S23" s="63">
        <f t="shared" si="1"/>
        <v>1485011.0509427935</v>
      </c>
      <c r="T23" s="63">
        <f t="shared" si="1"/>
        <v>1485011.0509427935</v>
      </c>
      <c r="U23" s="63">
        <f t="shared" si="1"/>
        <v>0</v>
      </c>
      <c r="V23" s="51">
        <f>((H23+K23+G23+J23)*1.1)/(F23+E23+R23+S23+Q23)</f>
        <v>1.6625541261710037</v>
      </c>
      <c r="W23" s="51">
        <f>(H23+G23)/(M23+R23+S23+L23+Q23)</f>
        <v>2.3739795395342926</v>
      </c>
      <c r="X23" s="51">
        <f>(O23+K23+J23+N23)/(F23+E23-M23-L23)</f>
        <v>4.7153574067072501</v>
      </c>
      <c r="Y23" s="51">
        <f>(H23+G23)/(M23+O23+R23+S23+L23+N23+Q23)</f>
        <v>0.49375880784618559</v>
      </c>
    </row>
    <row r="24" spans="1:25" x14ac:dyDescent="0.25">
      <c r="A24" s="71"/>
      <c r="B24" s="63"/>
      <c r="C24" s="63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70"/>
      <c r="W24" s="70"/>
      <c r="X24" s="70"/>
      <c r="Y24" s="70"/>
    </row>
    <row r="25" spans="1:25" ht="15.75" thickBot="1" x14ac:dyDescent="0.3">
      <c r="A25" s="72" t="s">
        <v>41</v>
      </c>
      <c r="B25" s="66">
        <f>B23+B9</f>
        <v>44982683.146137066</v>
      </c>
      <c r="C25" s="66">
        <f t="shared" ref="C25:U25" si="2">C23+C9</f>
        <v>-204960.96964642571</v>
      </c>
      <c r="D25" s="66">
        <f t="shared" si="2"/>
        <v>13942764.891921286</v>
      </c>
      <c r="E25" s="66">
        <f t="shared" si="2"/>
        <v>13893847.959997505</v>
      </c>
      <c r="F25" s="66">
        <f t="shared" si="2"/>
        <v>48916.931923780772</v>
      </c>
      <c r="G25" s="66">
        <f t="shared" si="2"/>
        <v>29014676.10759712</v>
      </c>
      <c r="H25" s="66">
        <f t="shared" si="2"/>
        <v>-1696496.8650043486</v>
      </c>
      <c r="I25" s="66">
        <f t="shared" si="2"/>
        <v>3716037.6418650248</v>
      </c>
      <c r="J25" s="66">
        <f t="shared" si="2"/>
        <v>4072447.8420531251</v>
      </c>
      <c r="K25" s="66">
        <f t="shared" si="2"/>
        <v>-356410.20018810028</v>
      </c>
      <c r="L25" s="66">
        <f t="shared" si="2"/>
        <v>6497743.1510046842</v>
      </c>
      <c r="M25" s="66">
        <f t="shared" si="2"/>
        <v>32221.646586677416</v>
      </c>
      <c r="N25" s="66">
        <f t="shared" si="2"/>
        <v>43970344.521681949</v>
      </c>
      <c r="O25" s="66">
        <f t="shared" si="2"/>
        <v>-2252737.2219022475</v>
      </c>
      <c r="P25" s="66">
        <f t="shared" si="2"/>
        <v>487766.29735000012</v>
      </c>
      <c r="Q25" s="66">
        <f t="shared" si="2"/>
        <v>477935.89988781069</v>
      </c>
      <c r="R25" s="66">
        <f t="shared" si="2"/>
        <v>9830.3974621893976</v>
      </c>
      <c r="S25" s="66">
        <f t="shared" si="2"/>
        <v>2384411.954633953</v>
      </c>
      <c r="T25" s="66">
        <f t="shared" si="2"/>
        <v>2384411.954633953</v>
      </c>
      <c r="U25" s="66">
        <f t="shared" si="2"/>
        <v>0</v>
      </c>
      <c r="V25" s="50">
        <f>((H25+K25+G25+J25)*1.1)/(F25+E25+R25+S25+Q25)</f>
        <v>2.0301964913438999</v>
      </c>
      <c r="W25" s="50">
        <f>(H25+G25)/(M25+R25+S25+L25+Q25)</f>
        <v>2.9055268674971608</v>
      </c>
      <c r="X25" s="50">
        <f>(O25+K25+J25+N25)/(F25+E25-M25-L25)</f>
        <v>6.1290800188173256</v>
      </c>
      <c r="Y25" s="50">
        <f>(H25+G25)/(M25+O25+R25+S25+L25+N25+Q25)</f>
        <v>0.53439578745785976</v>
      </c>
    </row>
    <row r="26" spans="1:25" ht="15.75" thickTop="1" x14ac:dyDescent="0.25">
      <c r="A26" s="71"/>
      <c r="B26" s="63"/>
      <c r="C26" s="63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70"/>
      <c r="W26" s="70"/>
      <c r="X26" s="70"/>
      <c r="Y26" s="70"/>
    </row>
    <row r="27" spans="1:25" ht="15.75" thickBot="1" x14ac:dyDescent="0.3">
      <c r="A27" s="19" t="s">
        <v>42</v>
      </c>
      <c r="B27" s="65">
        <f t="shared" ref="B27:U27" si="3">B25+B4</f>
        <v>45714051.258505806</v>
      </c>
      <c r="C27" s="65">
        <f t="shared" si="3"/>
        <v>-204960.96964642571</v>
      </c>
      <c r="D27" s="65">
        <f t="shared" si="3"/>
        <v>14760900.991921285</v>
      </c>
      <c r="E27" s="65">
        <f t="shared" si="3"/>
        <v>14711984.059997505</v>
      </c>
      <c r="F27" s="65">
        <f t="shared" si="3"/>
        <v>48916.931923780772</v>
      </c>
      <c r="G27" s="65">
        <f t="shared" si="3"/>
        <v>30090263.545137033</v>
      </c>
      <c r="H27" s="65">
        <f t="shared" si="3"/>
        <v>-1696496.8650043486</v>
      </c>
      <c r="I27" s="65">
        <f t="shared" si="3"/>
        <v>3944195.2467962247</v>
      </c>
      <c r="J27" s="65">
        <f t="shared" si="3"/>
        <v>4300605.4469843246</v>
      </c>
      <c r="K27" s="65">
        <f t="shared" si="3"/>
        <v>-356410.20018810028</v>
      </c>
      <c r="L27" s="65">
        <f t="shared" si="3"/>
        <v>7315879.2510046838</v>
      </c>
      <c r="M27" s="65">
        <f t="shared" si="3"/>
        <v>32221.646586677416</v>
      </c>
      <c r="N27" s="65">
        <f t="shared" si="3"/>
        <v>45263920.501953371</v>
      </c>
      <c r="O27" s="65">
        <f t="shared" si="3"/>
        <v>-2252737.2219022475</v>
      </c>
      <c r="P27" s="65">
        <f t="shared" si="3"/>
        <v>602552.34235000017</v>
      </c>
      <c r="Q27" s="65">
        <f t="shared" si="3"/>
        <v>592721.94488781074</v>
      </c>
      <c r="R27" s="65">
        <f t="shared" si="3"/>
        <v>9830.3974621893976</v>
      </c>
      <c r="S27" s="65">
        <f t="shared" si="3"/>
        <v>2472775.7253299356</v>
      </c>
      <c r="T27" s="65">
        <f t="shared" si="3"/>
        <v>2472775.7253299356</v>
      </c>
      <c r="U27" s="65">
        <f t="shared" si="3"/>
        <v>0</v>
      </c>
      <c r="V27" s="73">
        <f>((H27+K27+G27+J27)*1.1)/(F27+E27+R27+S27+Q27)</f>
        <v>1.9943541878025821</v>
      </c>
      <c r="W27" s="73">
        <f>(H27+G27)/(M27+R27+S27+L27+Q27)</f>
        <v>2.7240332115981047</v>
      </c>
      <c r="X27" s="73">
        <f>(O27+K27+J27+N27)/(F27+E27-M27-L27)</f>
        <v>6.3343646030281695</v>
      </c>
      <c r="Y27" s="73">
        <f>(H27+G27)/(M27+O27+R27+S27+L27+N27+Q27)</f>
        <v>0.53137405675884219</v>
      </c>
    </row>
    <row r="28" spans="1:25" ht="15.75" thickTop="1" x14ac:dyDescent="0.25">
      <c r="A28" s="71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70"/>
      <c r="W28" s="70"/>
      <c r="X28" s="70"/>
      <c r="Y28" s="70"/>
    </row>
    <row r="29" spans="1:25" ht="15.75" thickBot="1" x14ac:dyDescent="0.3">
      <c r="A29" s="19" t="s">
        <v>43</v>
      </c>
      <c r="B29" s="65">
        <v>12511037.666666666</v>
      </c>
      <c r="C29" s="65">
        <v>-601771.05263157899</v>
      </c>
      <c r="D29" s="65">
        <v>7354143.0037878798</v>
      </c>
      <c r="E29" s="65">
        <v>7354143.0037878798</v>
      </c>
      <c r="F29" s="65">
        <v>0</v>
      </c>
      <c r="G29" s="65">
        <v>15763407.62236486</v>
      </c>
      <c r="H29" s="65">
        <v>-5503612.5363165094</v>
      </c>
      <c r="I29" s="65">
        <v>0</v>
      </c>
      <c r="J29" s="65">
        <v>0</v>
      </c>
      <c r="K29" s="65">
        <v>0</v>
      </c>
      <c r="L29" s="65">
        <v>2471450</v>
      </c>
      <c r="M29" s="65">
        <v>0</v>
      </c>
      <c r="N29" s="65">
        <v>19424614.333925452</v>
      </c>
      <c r="O29" s="65">
        <v>-7507445.3158736825</v>
      </c>
      <c r="P29" s="65">
        <v>0</v>
      </c>
      <c r="Q29" s="65">
        <v>0</v>
      </c>
      <c r="R29" s="65">
        <v>0</v>
      </c>
      <c r="S29" s="65">
        <v>1295026.4087463005</v>
      </c>
      <c r="T29" s="65">
        <v>1295026.4087463005</v>
      </c>
      <c r="U29" s="65">
        <v>0</v>
      </c>
      <c r="V29" s="73">
        <v>1.3048391188058006</v>
      </c>
      <c r="W29" s="73">
        <v>2.7239769940477072</v>
      </c>
      <c r="X29" s="73">
        <v>2.6847655401818993</v>
      </c>
      <c r="Y29" s="73">
        <v>0.65417157853605989</v>
      </c>
    </row>
    <row r="30" spans="1:25" ht="15.75" thickTop="1" x14ac:dyDescent="0.25">
      <c r="A30" s="71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70"/>
      <c r="W30" s="70"/>
      <c r="X30" s="70"/>
      <c r="Y30" s="70"/>
    </row>
    <row r="31" spans="1:25" s="15" customFormat="1" ht="15.75" thickBot="1" x14ac:dyDescent="0.3">
      <c r="A31" s="10" t="s">
        <v>39</v>
      </c>
      <c r="B31" s="55">
        <v>116562</v>
      </c>
      <c r="C31" s="55">
        <v>-5038.5</v>
      </c>
      <c r="D31" s="55">
        <v>197489.1</v>
      </c>
      <c r="E31" s="55">
        <v>197489.1</v>
      </c>
      <c r="F31" s="55">
        <v>0</v>
      </c>
      <c r="G31" s="55">
        <v>150263.30382794773</v>
      </c>
      <c r="H31" s="55">
        <v>-43270.680727329411</v>
      </c>
      <c r="I31" s="55">
        <v>45500</v>
      </c>
      <c r="J31" s="55">
        <v>45500</v>
      </c>
      <c r="K31" s="55">
        <v>0</v>
      </c>
      <c r="L31" s="55">
        <v>128987.98006975214</v>
      </c>
      <c r="M31" s="55">
        <v>0</v>
      </c>
      <c r="N31" s="55">
        <v>189281.12584090905</v>
      </c>
      <c r="O31" s="55">
        <v>-62759.984759999992</v>
      </c>
      <c r="P31" s="55">
        <v>19348.19701046282</v>
      </c>
      <c r="Q31" s="55">
        <v>19348.19701046282</v>
      </c>
      <c r="R31" s="55">
        <v>0</v>
      </c>
      <c r="S31" s="55">
        <v>12344.725923763672</v>
      </c>
      <c r="T31" s="55">
        <v>12344.725923763672</v>
      </c>
      <c r="U31" s="55">
        <v>0</v>
      </c>
      <c r="V31" s="74">
        <v>0.73191554583153673</v>
      </c>
      <c r="W31" s="74">
        <v>0.66587018805818554</v>
      </c>
      <c r="X31" s="74" t="s">
        <v>30</v>
      </c>
      <c r="Y31" s="74">
        <v>0.37253433707802841</v>
      </c>
    </row>
    <row r="32" spans="1:25" s="15" customFormat="1" ht="15.75" thickTop="1" x14ac:dyDescent="0.25">
      <c r="V32" s="16"/>
      <c r="W32" s="16"/>
      <c r="X32" s="16"/>
      <c r="Y32" s="16"/>
    </row>
    <row r="33" spans="1:25" s="15" customFormat="1" ht="15.75" thickBot="1" x14ac:dyDescent="0.3">
      <c r="A33" s="10" t="s">
        <v>44</v>
      </c>
      <c r="B33" s="13">
        <f>+B29+B31+B27</f>
        <v>58341650.925172471</v>
      </c>
      <c r="C33" s="13">
        <f t="shared" ref="C33:T33" si="4">+C29+C31+C27</f>
        <v>-811770.52227800468</v>
      </c>
      <c r="D33" s="13">
        <f t="shared" si="4"/>
        <v>22312533.095709164</v>
      </c>
      <c r="E33" s="13">
        <f t="shared" si="4"/>
        <v>22263616.163785383</v>
      </c>
      <c r="F33" s="13">
        <f t="shared" si="4"/>
        <v>48916.931923780772</v>
      </c>
      <c r="G33" s="13">
        <f t="shared" si="4"/>
        <v>46003934.471329838</v>
      </c>
      <c r="H33" s="13">
        <f t="shared" si="4"/>
        <v>-7243380.082048187</v>
      </c>
      <c r="I33" s="13">
        <f t="shared" si="4"/>
        <v>3989695.2467962247</v>
      </c>
      <c r="J33" s="13">
        <f t="shared" si="4"/>
        <v>4346105.4469843246</v>
      </c>
      <c r="K33" s="13">
        <f t="shared" si="4"/>
        <v>-356410.20018810028</v>
      </c>
      <c r="L33" s="13">
        <f t="shared" si="4"/>
        <v>9916317.2310744356</v>
      </c>
      <c r="M33" s="13">
        <f t="shared" si="4"/>
        <v>32221.646586677416</v>
      </c>
      <c r="N33" s="13">
        <f t="shared" si="4"/>
        <v>64877815.961719736</v>
      </c>
      <c r="O33" s="13">
        <f t="shared" si="4"/>
        <v>-9822942.5225359313</v>
      </c>
      <c r="P33" s="13">
        <f t="shared" si="4"/>
        <v>621900.53936046304</v>
      </c>
      <c r="Q33" s="13">
        <f t="shared" si="4"/>
        <v>612070.14189827361</v>
      </c>
      <c r="R33" s="13">
        <f t="shared" si="4"/>
        <v>9830.3974621893976</v>
      </c>
      <c r="S33" s="13">
        <f t="shared" si="4"/>
        <v>3780146.8599999994</v>
      </c>
      <c r="T33" s="13">
        <f t="shared" si="4"/>
        <v>3780146.8599999994</v>
      </c>
      <c r="U33" s="13">
        <f>U31+U27</f>
        <v>0</v>
      </c>
      <c r="V33" s="17">
        <f>((H33+K33+G33+J33)*1.1)/(F33+E33+R33+S33+Q33)</f>
        <v>1.7602849727834782</v>
      </c>
      <c r="W33" s="17">
        <f>(H33+G33)/(M33+R33+S33+L33+Q33)</f>
        <v>2.700973579828287</v>
      </c>
      <c r="X33" s="17">
        <f>(O33+K33+J33+N33)/(F33+E33-M33-L33)</f>
        <v>4.7755254204010473</v>
      </c>
      <c r="Y33" s="17">
        <f>(H33+G33)/(M33+O33+R33+S33+L33+N33+Q33)</f>
        <v>0.55846549461340866</v>
      </c>
    </row>
    <row r="34" spans="1:25" s="15" customFormat="1" ht="15.75" thickTop="1" x14ac:dyDescent="0.25">
      <c r="V34" s="16"/>
      <c r="W34" s="16"/>
      <c r="X34" s="16"/>
      <c r="Y34" s="16"/>
    </row>
    <row r="35" spans="1:25" s="15" customFormat="1" ht="15.75" thickBot="1" x14ac:dyDescent="0.3">
      <c r="A35" s="10" t="s">
        <v>45</v>
      </c>
      <c r="B35" s="13">
        <f>B33-B31</f>
        <v>58225088.925172471</v>
      </c>
      <c r="C35" s="13">
        <f t="shared" ref="C35:U35" si="5">C33-C31</f>
        <v>-806732.02227800468</v>
      </c>
      <c r="D35" s="13">
        <f t="shared" si="5"/>
        <v>22115043.995709162</v>
      </c>
      <c r="E35" s="13">
        <f t="shared" si="5"/>
        <v>22066127.063785382</v>
      </c>
      <c r="F35" s="13">
        <f t="shared" si="5"/>
        <v>48916.931923780772</v>
      </c>
      <c r="G35" s="13">
        <f t="shared" si="5"/>
        <v>45853671.167501889</v>
      </c>
      <c r="H35" s="13">
        <f t="shared" si="5"/>
        <v>-7200109.4013208579</v>
      </c>
      <c r="I35" s="13">
        <f t="shared" si="5"/>
        <v>3944195.2467962247</v>
      </c>
      <c r="J35" s="13">
        <f t="shared" si="5"/>
        <v>4300605.4469843246</v>
      </c>
      <c r="K35" s="13">
        <f t="shared" si="5"/>
        <v>-356410.20018810028</v>
      </c>
      <c r="L35" s="13">
        <f t="shared" si="5"/>
        <v>9787329.2510046829</v>
      </c>
      <c r="M35" s="13">
        <f t="shared" si="5"/>
        <v>32221.646586677416</v>
      </c>
      <c r="N35" s="13">
        <f t="shared" si="5"/>
        <v>64688534.835878827</v>
      </c>
      <c r="O35" s="13">
        <f t="shared" si="5"/>
        <v>-9760182.5377759319</v>
      </c>
      <c r="P35" s="13">
        <f t="shared" si="5"/>
        <v>602552.34235000017</v>
      </c>
      <c r="Q35" s="13">
        <f t="shared" si="5"/>
        <v>592721.94488781074</v>
      </c>
      <c r="R35" s="13">
        <f t="shared" si="5"/>
        <v>9830.3974621893976</v>
      </c>
      <c r="S35" s="13">
        <f t="shared" si="5"/>
        <v>3767802.1340762358</v>
      </c>
      <c r="T35" s="13">
        <f t="shared" si="5"/>
        <v>3767802.1340762358</v>
      </c>
      <c r="U35" s="13">
        <f t="shared" si="5"/>
        <v>0</v>
      </c>
      <c r="V35" s="17">
        <f>((H35+K35+G35+J35)*1.1)/(F35+E35+R35+S35+Q35)</f>
        <v>1.7691836036966779</v>
      </c>
      <c r="W35" s="17">
        <f>(H35+G35)/(M35+R35+S35+L35+Q35)</f>
        <v>2.7240182895763048</v>
      </c>
      <c r="X35" s="17">
        <f>(O35+K35+J35+N35)/(F35+E35-M35-L35)</f>
        <v>4.7881404247147561</v>
      </c>
      <c r="Y35" s="17">
        <f>(H35+G35)/(M35+O35+R35+S35+L35+N35+Q35)</f>
        <v>0.55923808076215886</v>
      </c>
    </row>
    <row r="36" spans="1:25" s="15" customFormat="1" ht="15.75" thickTop="1" x14ac:dyDescent="0.25">
      <c r="V36" s="16"/>
      <c r="W36" s="16"/>
      <c r="X36" s="16"/>
      <c r="Y36" s="16"/>
    </row>
    <row r="37" spans="1:25" s="15" customFormat="1" ht="15.75" thickBot="1" x14ac:dyDescent="0.3">
      <c r="A37" s="10" t="s">
        <v>46</v>
      </c>
      <c r="B37" s="13">
        <f t="shared" ref="B37:U37" si="6">B4+B31</f>
        <v>847930.11236873851</v>
      </c>
      <c r="C37" s="13">
        <f t="shared" si="6"/>
        <v>-5038.5</v>
      </c>
      <c r="D37" s="13">
        <f t="shared" si="6"/>
        <v>1015625.1999999998</v>
      </c>
      <c r="E37" s="13">
        <f t="shared" si="6"/>
        <v>1015625.1999999998</v>
      </c>
      <c r="F37" s="13">
        <f t="shared" si="6"/>
        <v>0</v>
      </c>
      <c r="G37" s="13">
        <f t="shared" si="6"/>
        <v>1225850.7413678602</v>
      </c>
      <c r="H37" s="13">
        <f t="shared" si="6"/>
        <v>-43270.680727329411</v>
      </c>
      <c r="I37" s="13">
        <f t="shared" si="6"/>
        <v>273657.60493119975</v>
      </c>
      <c r="J37" s="13">
        <f t="shared" si="6"/>
        <v>273657.60493119975</v>
      </c>
      <c r="K37" s="13">
        <f t="shared" si="6"/>
        <v>0</v>
      </c>
      <c r="L37" s="13">
        <f t="shared" si="6"/>
        <v>947124.08006975194</v>
      </c>
      <c r="M37" s="13">
        <f t="shared" si="6"/>
        <v>0</v>
      </c>
      <c r="N37" s="13">
        <f t="shared" si="6"/>
        <v>1482857.1061123272</v>
      </c>
      <c r="O37" s="13">
        <f t="shared" si="6"/>
        <v>-62759.984759999992</v>
      </c>
      <c r="P37" s="13">
        <f t="shared" si="6"/>
        <v>134134.24201046283</v>
      </c>
      <c r="Q37" s="13">
        <f t="shared" si="6"/>
        <v>134134.24201046283</v>
      </c>
      <c r="R37" s="13">
        <f t="shared" si="6"/>
        <v>0</v>
      </c>
      <c r="S37" s="13">
        <f t="shared" si="6"/>
        <v>100708.49661974602</v>
      </c>
      <c r="T37" s="13">
        <f t="shared" si="6"/>
        <v>100708.49661974602</v>
      </c>
      <c r="U37" s="13">
        <f t="shared" si="6"/>
        <v>0</v>
      </c>
      <c r="V37" s="17">
        <f>((H37+K37+G37+J37)*1.1)/(F37+E37+R37+S37+Q37)</f>
        <v>1.2810095986016399</v>
      </c>
      <c r="W37" s="17">
        <f>(H37+G37)/(M37+R37+S37+L37+Q37)</f>
        <v>1.0005188317733358</v>
      </c>
      <c r="X37" s="17">
        <f>(O37+K37+J37+N37)/(F37+E37-M37-L37)</f>
        <v>24.725942116102825</v>
      </c>
      <c r="Y37" s="17">
        <f>(H37+G37)/(M37+O37+R37+S37+L37+N37+Q37)</f>
        <v>0.45447770995849052</v>
      </c>
    </row>
    <row r="38" spans="1:25" ht="15.75" thickTop="1" x14ac:dyDescent="0.25">
      <c r="B38" s="12"/>
    </row>
  </sheetData>
  <pageMargins left="0.7" right="0.7" top="0.75" bottom="0.75" header="0.3" footer="0.3"/>
  <pageSetup scale="89" fitToWidth="7" orientation="landscape" r:id="rId1"/>
  <headerFooter>
    <oddFooter>&amp;L&amp;F
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2:Y30"/>
  <sheetViews>
    <sheetView workbookViewId="0">
      <selection activeCell="A20" sqref="A20"/>
    </sheetView>
  </sheetViews>
  <sheetFormatPr defaultRowHeight="15" x14ac:dyDescent="0.25"/>
  <cols>
    <col min="1" max="1" width="33.7109375" style="45" customWidth="1"/>
    <col min="2" max="3" width="9" style="18" bestFit="1" customWidth="1"/>
    <col min="4" max="4" width="12.28515625" style="18" bestFit="1" customWidth="1"/>
    <col min="5" max="5" width="8.85546875" style="18" bestFit="1" customWidth="1"/>
    <col min="6" max="6" width="11.5703125" style="18" bestFit="1" customWidth="1"/>
    <col min="7" max="7" width="10.28515625" style="18" bestFit="1" customWidth="1"/>
    <col min="8" max="8" width="11.5703125" style="18" bestFit="1" customWidth="1"/>
    <col min="9" max="9" width="10" style="18" bestFit="1" customWidth="1"/>
    <col min="10" max="10" width="9.42578125" style="18" bestFit="1" customWidth="1"/>
    <col min="11" max="11" width="10" style="18" bestFit="1" customWidth="1"/>
    <col min="12" max="12" width="10.28515625" style="18" bestFit="1" customWidth="1"/>
    <col min="13" max="13" width="11.5703125" style="18" bestFit="1" customWidth="1"/>
    <col min="14" max="14" width="9" style="18" bestFit="1" customWidth="1"/>
    <col min="15" max="15" width="12.5703125" style="18" bestFit="1" customWidth="1"/>
    <col min="16" max="16" width="9" style="18" bestFit="1" customWidth="1"/>
    <col min="17" max="17" width="7.85546875" style="18" bestFit="1" customWidth="1"/>
    <col min="18" max="18" width="9" style="18" bestFit="1" customWidth="1"/>
    <col min="19" max="19" width="10" style="18" bestFit="1" customWidth="1"/>
    <col min="20" max="20" width="10.42578125" style="18" bestFit="1" customWidth="1"/>
    <col min="21" max="21" width="10" style="18" bestFit="1" customWidth="1"/>
    <col min="22" max="25" width="7.7109375" style="18" bestFit="1" customWidth="1"/>
    <col min="26" max="16384" width="9.140625" style="18"/>
  </cols>
  <sheetData>
    <row r="2" spans="1:25" s="53" customFormat="1" ht="30" x14ac:dyDescent="0.25">
      <c r="A2" s="45" t="s">
        <v>11</v>
      </c>
      <c r="B2" s="53" t="s">
        <v>12</v>
      </c>
      <c r="C2" s="53" t="s">
        <v>13</v>
      </c>
      <c r="D2" s="53" t="s">
        <v>14</v>
      </c>
      <c r="E2" s="53" t="s">
        <v>15</v>
      </c>
      <c r="F2" s="53" t="s">
        <v>16</v>
      </c>
      <c r="G2" s="54" t="s">
        <v>17</v>
      </c>
      <c r="H2" s="53" t="s">
        <v>18</v>
      </c>
      <c r="I2" s="53" t="s">
        <v>19</v>
      </c>
      <c r="J2" s="53" t="s">
        <v>72</v>
      </c>
      <c r="K2" s="53" t="s">
        <v>73</v>
      </c>
      <c r="L2" s="54" t="s">
        <v>20</v>
      </c>
      <c r="M2" s="54" t="s">
        <v>21</v>
      </c>
      <c r="N2" s="54" t="s">
        <v>22</v>
      </c>
      <c r="O2" s="54" t="s">
        <v>23</v>
      </c>
      <c r="P2" s="54" t="s">
        <v>24</v>
      </c>
      <c r="Q2" s="54" t="s">
        <v>74</v>
      </c>
      <c r="R2" s="54" t="s">
        <v>75</v>
      </c>
      <c r="S2" s="54" t="s">
        <v>25</v>
      </c>
      <c r="T2" s="54" t="s">
        <v>76</v>
      </c>
      <c r="U2" s="54" t="s">
        <v>77</v>
      </c>
      <c r="V2" s="54" t="s">
        <v>26</v>
      </c>
      <c r="W2" s="54" t="s">
        <v>27</v>
      </c>
      <c r="X2" s="54" t="s">
        <v>28</v>
      </c>
      <c r="Y2" s="54" t="s">
        <v>29</v>
      </c>
    </row>
    <row r="3" spans="1:25" s="46" customFormat="1" x14ac:dyDescent="0.25">
      <c r="A3" s="45"/>
      <c r="G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</row>
    <row r="4" spans="1:25" ht="15.75" thickBot="1" x14ac:dyDescent="0.3">
      <c r="A4" s="48" t="s">
        <v>66</v>
      </c>
      <c r="B4" s="49">
        <v>0</v>
      </c>
      <c r="C4" s="49">
        <v>15323.187126815723</v>
      </c>
      <c r="D4" s="49">
        <f>F4</f>
        <v>710982.72771319386</v>
      </c>
      <c r="E4" s="49">
        <v>0</v>
      </c>
      <c r="F4" s="49">
        <v>710982.72771319386</v>
      </c>
      <c r="G4" s="49">
        <v>0</v>
      </c>
      <c r="H4" s="49">
        <v>211622.45975300457</v>
      </c>
      <c r="I4" s="49">
        <v>340356.7</v>
      </c>
      <c r="J4" s="49">
        <v>0</v>
      </c>
      <c r="K4" s="49">
        <v>340356.7</v>
      </c>
      <c r="L4" s="49">
        <v>0</v>
      </c>
      <c r="M4" s="49">
        <v>549109.47000604123</v>
      </c>
      <c r="N4" s="49">
        <v>0</v>
      </c>
      <c r="O4" s="49">
        <v>362467.7924711206</v>
      </c>
      <c r="P4" s="49">
        <v>82366.405500906185</v>
      </c>
      <c r="Q4" s="49">
        <v>0</v>
      </c>
      <c r="R4" s="49">
        <v>82366.405500906185</v>
      </c>
      <c r="S4" s="49">
        <v>20720.046498387888</v>
      </c>
      <c r="T4" s="49">
        <v>0</v>
      </c>
      <c r="U4" s="49">
        <v>20720.046498387888</v>
      </c>
      <c r="V4" s="14">
        <v>0.6780494502297113</v>
      </c>
      <c r="W4" s="14">
        <v>0.32447682147769297</v>
      </c>
      <c r="X4" s="14" t="s">
        <v>30</v>
      </c>
      <c r="Y4" s="14">
        <v>0.20856413482983088</v>
      </c>
    </row>
    <row r="5" spans="1:25" ht="15.75" thickTop="1" x14ac:dyDescent="0.25">
      <c r="B5" s="7"/>
      <c r="C5" s="7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11"/>
      <c r="W5" s="11"/>
      <c r="X5" s="11"/>
      <c r="Y5" s="11"/>
    </row>
    <row r="6" spans="1:25" x14ac:dyDescent="0.25">
      <c r="A6" s="45" t="s">
        <v>31</v>
      </c>
      <c r="B6" s="7">
        <v>0</v>
      </c>
      <c r="C6" s="7">
        <v>477504</v>
      </c>
      <c r="D6" s="7">
        <f>F6</f>
        <v>3994005</v>
      </c>
      <c r="E6" s="7">
        <v>0</v>
      </c>
      <c r="F6" s="7">
        <v>3994005</v>
      </c>
      <c r="G6" s="7">
        <v>0</v>
      </c>
      <c r="H6" s="5">
        <v>5237796.1962007582</v>
      </c>
      <c r="I6" s="5">
        <v>0</v>
      </c>
      <c r="J6" s="5">
        <v>0</v>
      </c>
      <c r="K6" s="5">
        <v>0</v>
      </c>
      <c r="L6" s="5">
        <v>0</v>
      </c>
      <c r="M6" s="5">
        <v>1067550</v>
      </c>
      <c r="N6" s="5">
        <v>0</v>
      </c>
      <c r="O6" s="5">
        <v>7811805.2443199977</v>
      </c>
      <c r="P6" s="5">
        <v>0</v>
      </c>
      <c r="Q6" s="5">
        <v>0</v>
      </c>
      <c r="R6" s="5">
        <v>0</v>
      </c>
      <c r="S6" s="20">
        <v>512834.88936394936</v>
      </c>
      <c r="T6" s="5">
        <v>0</v>
      </c>
      <c r="U6" s="5">
        <v>512834.88936394936</v>
      </c>
      <c r="V6" s="51">
        <v>1.1621882127567591</v>
      </c>
      <c r="W6" s="51">
        <v>3.3142535286507271</v>
      </c>
      <c r="X6" s="51">
        <v>2.6693748047791606</v>
      </c>
      <c r="Y6" s="51">
        <v>0.55767569881449042</v>
      </c>
    </row>
    <row r="7" spans="1:25" s="83" customFormat="1" x14ac:dyDescent="0.25">
      <c r="A7" s="52" t="s">
        <v>67</v>
      </c>
      <c r="B7" s="82">
        <v>0</v>
      </c>
      <c r="C7" s="82">
        <v>9541</v>
      </c>
      <c r="D7" s="20">
        <f>F7</f>
        <v>4597.4707131696978</v>
      </c>
      <c r="E7" s="20">
        <v>0</v>
      </c>
      <c r="F7" s="20">
        <v>4597.4707131696978</v>
      </c>
      <c r="G7" s="20">
        <v>0</v>
      </c>
      <c r="H7" s="20">
        <v>40281.443178070076</v>
      </c>
      <c r="I7" s="20">
        <f>K7</f>
        <v>7150.8357598823413</v>
      </c>
      <c r="J7" s="20">
        <v>0</v>
      </c>
      <c r="K7" s="20">
        <v>7150.8357598823413</v>
      </c>
      <c r="L7" s="20">
        <v>0</v>
      </c>
      <c r="M7" s="20">
        <v>3166.7826663453761</v>
      </c>
      <c r="N7" s="20">
        <v>0</v>
      </c>
      <c r="O7" s="20">
        <v>59514.773471999986</v>
      </c>
      <c r="P7" s="20">
        <v>6869.4780492789614</v>
      </c>
      <c r="Q7" s="20">
        <v>0</v>
      </c>
      <c r="R7" s="20">
        <v>6869.4780492789614</v>
      </c>
      <c r="S7" s="20">
        <v>5460.2689831256903</v>
      </c>
      <c r="T7" s="20">
        <v>0</v>
      </c>
      <c r="U7" s="20">
        <v>5460.2689831256903</v>
      </c>
      <c r="V7" s="51">
        <v>2.8021308434077223</v>
      </c>
      <c r="W7" s="51">
        <v>2.5993847629846596</v>
      </c>
      <c r="X7" s="51">
        <v>46.596886987249981</v>
      </c>
      <c r="Y7" s="51">
        <v>0.53700497758819721</v>
      </c>
    </row>
    <row r="8" spans="1:25" ht="15.75" thickBot="1" x14ac:dyDescent="0.3">
      <c r="A8" s="48" t="str">
        <f>'WA E and G Combined'!A8</f>
        <v>Behavioral Program</v>
      </c>
      <c r="B8" s="49"/>
      <c r="C8" s="49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50"/>
      <c r="W8" s="50"/>
      <c r="X8" s="50"/>
      <c r="Y8" s="50"/>
    </row>
    <row r="9" spans="1:25" ht="15.75" thickTop="1" x14ac:dyDescent="0.25">
      <c r="A9" s="52" t="s">
        <v>32</v>
      </c>
      <c r="B9" s="7">
        <v>0</v>
      </c>
      <c r="C9" s="7">
        <v>487045</v>
      </c>
      <c r="D9" s="7">
        <f>F9</f>
        <v>3998602.4707131698</v>
      </c>
      <c r="E9" s="7">
        <v>0</v>
      </c>
      <c r="F9" s="7">
        <v>3998602.4707131698</v>
      </c>
      <c r="G9" s="7">
        <v>0</v>
      </c>
      <c r="H9" s="7">
        <v>5278077.639378828</v>
      </c>
      <c r="I9" s="7">
        <f>K9</f>
        <v>7150.8357598823413</v>
      </c>
      <c r="J9" s="7">
        <v>0</v>
      </c>
      <c r="K9" s="7">
        <v>7150.8357598823413</v>
      </c>
      <c r="L9" s="7">
        <v>0</v>
      </c>
      <c r="M9" s="7">
        <v>1070716.7826663454</v>
      </c>
      <c r="N9" s="7">
        <v>0</v>
      </c>
      <c r="O9" s="7">
        <v>7871320.0177919976</v>
      </c>
      <c r="P9" s="7">
        <v>6869.4780492789614</v>
      </c>
      <c r="Q9" s="7">
        <v>0</v>
      </c>
      <c r="R9" s="7">
        <v>6869.4780492789614</v>
      </c>
      <c r="S9" s="7">
        <v>518295.15834707505</v>
      </c>
      <c r="T9" s="7">
        <v>0</v>
      </c>
      <c r="U9" s="7">
        <v>518295.15834707505</v>
      </c>
      <c r="V9" s="51">
        <v>1.1683246175145661</v>
      </c>
      <c r="W9" s="51">
        <v>3.0066471995478397</v>
      </c>
      <c r="X9" s="51">
        <v>2.6908396341141181</v>
      </c>
      <c r="Y9" s="51">
        <v>0.55751191886885332</v>
      </c>
    </row>
    <row r="10" spans="1:25" x14ac:dyDescent="0.25">
      <c r="B10" s="7"/>
      <c r="C10" s="7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11"/>
      <c r="W10" s="11"/>
      <c r="X10" s="11"/>
      <c r="Y10" s="11"/>
    </row>
    <row r="11" spans="1:25" x14ac:dyDescent="0.25">
      <c r="A11" s="45" t="str">
        <f>'WA E and G Combined'!A11</f>
        <v>Interior Pres Lighting</v>
      </c>
      <c r="B11" s="7"/>
      <c r="C11" s="7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11"/>
      <c r="W11" s="11"/>
      <c r="X11" s="11"/>
      <c r="Y11" s="11"/>
    </row>
    <row r="12" spans="1:25" x14ac:dyDescent="0.25">
      <c r="A12" s="45" t="s">
        <v>33</v>
      </c>
      <c r="B12" s="7">
        <v>0</v>
      </c>
      <c r="C12" s="7">
        <v>0</v>
      </c>
      <c r="D12" s="5">
        <f t="shared" ref="D12:D21" si="0">F12</f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1"/>
      <c r="W12" s="51"/>
      <c r="X12" s="51"/>
      <c r="Y12" s="51"/>
    </row>
    <row r="13" spans="1:25" x14ac:dyDescent="0.25">
      <c r="A13" s="45" t="s">
        <v>68</v>
      </c>
      <c r="B13" s="7">
        <v>0</v>
      </c>
      <c r="C13" s="7">
        <v>100000</v>
      </c>
      <c r="D13" s="7">
        <v>670000</v>
      </c>
      <c r="E13" s="7">
        <v>0</v>
      </c>
      <c r="F13" s="7">
        <v>670000</v>
      </c>
      <c r="G13" s="7">
        <v>0</v>
      </c>
      <c r="H13" s="7">
        <v>627014.90187845298</v>
      </c>
      <c r="I13" s="7">
        <v>0</v>
      </c>
      <c r="J13" s="7">
        <v>0</v>
      </c>
      <c r="K13" s="7">
        <v>0</v>
      </c>
      <c r="L13" s="7">
        <v>0</v>
      </c>
      <c r="M13" s="7">
        <v>300000</v>
      </c>
      <c r="N13" s="7">
        <v>0</v>
      </c>
      <c r="O13" s="7">
        <v>998046.71999999974</v>
      </c>
      <c r="P13" s="7">
        <v>0</v>
      </c>
      <c r="Q13" s="7">
        <v>0</v>
      </c>
      <c r="R13" s="7">
        <v>0</v>
      </c>
      <c r="S13" s="7">
        <v>61391.300040964627</v>
      </c>
      <c r="T13" s="7">
        <v>0</v>
      </c>
      <c r="U13" s="7">
        <v>61391.300040964627</v>
      </c>
      <c r="V13" s="11">
        <v>0.85729062109890342</v>
      </c>
      <c r="W13" s="11">
        <v>1.7350027568659767</v>
      </c>
      <c r="X13" s="11">
        <v>2.6974235675675668</v>
      </c>
      <c r="Y13" s="11">
        <v>0.46123095914263079</v>
      </c>
    </row>
    <row r="14" spans="1:25" x14ac:dyDescent="0.25">
      <c r="A14" s="45" t="s">
        <v>35</v>
      </c>
      <c r="B14" s="7">
        <v>0</v>
      </c>
      <c r="C14" s="7">
        <v>20800</v>
      </c>
      <c r="D14" s="7">
        <v>56893.151998597983</v>
      </c>
      <c r="E14" s="7">
        <v>0</v>
      </c>
      <c r="F14" s="7">
        <v>56893.151998597983</v>
      </c>
      <c r="G14" s="7">
        <v>0</v>
      </c>
      <c r="H14" s="7">
        <v>206037.86448290225</v>
      </c>
      <c r="I14" s="7">
        <v>0</v>
      </c>
      <c r="J14" s="7">
        <v>0</v>
      </c>
      <c r="K14" s="7">
        <v>0</v>
      </c>
      <c r="L14" s="7">
        <v>0</v>
      </c>
      <c r="M14" s="7">
        <v>29709.063063285204</v>
      </c>
      <c r="N14" s="7">
        <v>0</v>
      </c>
      <c r="O14" s="7">
        <v>285441.36191999994</v>
      </c>
      <c r="P14" s="7">
        <v>0</v>
      </c>
      <c r="Q14" s="7">
        <v>0</v>
      </c>
      <c r="R14" s="7">
        <v>0</v>
      </c>
      <c r="S14" s="7">
        <v>20173.256361810458</v>
      </c>
      <c r="T14" s="7">
        <v>0</v>
      </c>
      <c r="U14" s="7">
        <v>20173.256361810458</v>
      </c>
      <c r="V14" s="11">
        <v>2.6735106626397642</v>
      </c>
      <c r="W14" s="11">
        <v>4.1304788321299499</v>
      </c>
      <c r="X14" s="11">
        <v>10.500310037950355</v>
      </c>
      <c r="Y14" s="11">
        <v>0.61444471698633207</v>
      </c>
    </row>
    <row r="15" spans="1:25" x14ac:dyDescent="0.25">
      <c r="A15" s="45" t="s">
        <v>34</v>
      </c>
      <c r="B15" s="7">
        <v>0</v>
      </c>
      <c r="C15" s="7">
        <v>32141.759999999998</v>
      </c>
      <c r="D15" s="5">
        <f t="shared" si="0"/>
        <v>101255.01</v>
      </c>
      <c r="E15" s="5">
        <v>0</v>
      </c>
      <c r="F15" s="5">
        <v>101255.01</v>
      </c>
      <c r="G15" s="5">
        <v>0</v>
      </c>
      <c r="H15" s="5">
        <v>242081.15132776805</v>
      </c>
      <c r="I15" s="5">
        <v>0</v>
      </c>
      <c r="J15" s="5">
        <v>0</v>
      </c>
      <c r="K15" s="5">
        <v>0</v>
      </c>
      <c r="L15" s="5">
        <v>0</v>
      </c>
      <c r="M15" s="5">
        <v>61999.5</v>
      </c>
      <c r="N15" s="5">
        <v>0</v>
      </c>
      <c r="O15" s="5">
        <v>320789.78143027192</v>
      </c>
      <c r="P15" s="5">
        <v>0</v>
      </c>
      <c r="Q15" s="5">
        <v>0</v>
      </c>
      <c r="R15" s="5">
        <v>0</v>
      </c>
      <c r="S15" s="5">
        <v>23702.270154826576</v>
      </c>
      <c r="T15" s="5">
        <v>0</v>
      </c>
      <c r="U15" s="5">
        <v>23702.270154826576</v>
      </c>
      <c r="V15" s="51">
        <v>1.9373113037337304</v>
      </c>
      <c r="W15" s="51">
        <v>2.8246925459116023</v>
      </c>
      <c r="X15" s="51">
        <v>8.1718408811978733</v>
      </c>
      <c r="Y15" s="51">
        <v>0.5955379647714244</v>
      </c>
    </row>
    <row r="16" spans="1:25" x14ac:dyDescent="0.25">
      <c r="A16" s="45" t="str">
        <f>'WA E and G Combined'!A16</f>
        <v>Green Motors</v>
      </c>
      <c r="B16" s="7"/>
      <c r="C16" s="7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1"/>
      <c r="W16" s="51"/>
      <c r="X16" s="51"/>
      <c r="Y16" s="51"/>
    </row>
    <row r="17" spans="1:25" x14ac:dyDescent="0.25">
      <c r="A17" s="45" t="str">
        <f>'WA E and G Combined'!A17</f>
        <v>Variable Frequency Drives</v>
      </c>
      <c r="B17" s="7"/>
      <c r="C17" s="7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1"/>
      <c r="W17" s="51"/>
      <c r="X17" s="51"/>
      <c r="Y17" s="51"/>
    </row>
    <row r="18" spans="1:25" x14ac:dyDescent="0.25">
      <c r="A18" s="45" t="str">
        <f>'WA E and G Combined'!A18</f>
        <v>Fleet Heat</v>
      </c>
      <c r="B18" s="7"/>
      <c r="C18" s="7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1"/>
      <c r="W18" s="51"/>
      <c r="X18" s="51"/>
      <c r="Y18" s="51"/>
    </row>
    <row r="19" spans="1:25" x14ac:dyDescent="0.25">
      <c r="A19" s="45" t="s">
        <v>36</v>
      </c>
      <c r="B19" s="7"/>
      <c r="C19" s="7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1"/>
      <c r="W19" s="51"/>
      <c r="X19" s="51"/>
      <c r="Y19" s="51"/>
    </row>
    <row r="20" spans="1:25" x14ac:dyDescent="0.25">
      <c r="A20" s="45" t="str">
        <f>'WA E and G Combined'!A20</f>
        <v>Multifamily Market Transformation</v>
      </c>
      <c r="B20" s="7"/>
      <c r="C20" s="7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1"/>
      <c r="W20" s="51"/>
      <c r="X20" s="51"/>
      <c r="Y20" s="51"/>
    </row>
    <row r="21" spans="1:25" x14ac:dyDescent="0.25">
      <c r="A21" s="45" t="s">
        <v>96</v>
      </c>
      <c r="B21" s="7">
        <v>0</v>
      </c>
      <c r="C21" s="7">
        <v>49563.281275499998</v>
      </c>
      <c r="D21" s="5">
        <f t="shared" si="0"/>
        <v>273685.15600000002</v>
      </c>
      <c r="E21" s="5">
        <v>0</v>
      </c>
      <c r="F21" s="5">
        <v>273685.15600000002</v>
      </c>
      <c r="G21" s="5">
        <v>0</v>
      </c>
      <c r="H21" s="5">
        <v>232893.55468820399</v>
      </c>
      <c r="I21" s="5">
        <v>2550.9899999999998</v>
      </c>
      <c r="J21" s="5">
        <v>0</v>
      </c>
      <c r="K21" s="5">
        <v>2550.9899999999998</v>
      </c>
      <c r="L21" s="5">
        <v>0</v>
      </c>
      <c r="M21" s="5">
        <v>94050</v>
      </c>
      <c r="N21" s="5">
        <v>0</v>
      </c>
      <c r="O21" s="5">
        <v>352003.77512706706</v>
      </c>
      <c r="P21" s="5">
        <v>0</v>
      </c>
      <c r="Q21" s="5">
        <v>0</v>
      </c>
      <c r="R21" s="5">
        <v>0</v>
      </c>
      <c r="S21" s="5">
        <v>22802.708596935288</v>
      </c>
      <c r="T21" s="5">
        <v>0</v>
      </c>
      <c r="U21" s="5">
        <v>22802.708596935288</v>
      </c>
      <c r="V21" s="51">
        <v>0.79411191081389609</v>
      </c>
      <c r="W21" s="51">
        <v>1.993052257706178</v>
      </c>
      <c r="X21" s="51">
        <v>1.9737493095564602</v>
      </c>
      <c r="Y21" s="51">
        <v>0.49672674426594776</v>
      </c>
    </row>
    <row r="22" spans="1:25" ht="15.75" thickBot="1" x14ac:dyDescent="0.3">
      <c r="A22" s="48" t="str">
        <f>'WA E and G Combined'!A22</f>
        <v>AirGuardian</v>
      </c>
      <c r="B22" s="49"/>
      <c r="C22" s="49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50"/>
      <c r="W22" s="50"/>
      <c r="X22" s="50"/>
      <c r="Y22" s="50"/>
    </row>
    <row r="23" spans="1:25" ht="15.75" thickTop="1" x14ac:dyDescent="0.25">
      <c r="A23" s="52" t="s">
        <v>69</v>
      </c>
      <c r="B23" s="7">
        <v>0</v>
      </c>
      <c r="C23" s="7">
        <f>SUM(C11:C22)</f>
        <v>202505.0412755</v>
      </c>
      <c r="D23" s="7">
        <f>F23</f>
        <v>1101833.3179985979</v>
      </c>
      <c r="E23" s="7">
        <v>0</v>
      </c>
      <c r="F23" s="7">
        <v>1101833.3179985979</v>
      </c>
      <c r="G23" s="7">
        <v>0</v>
      </c>
      <c r="H23" s="7">
        <v>1308027.4723773273</v>
      </c>
      <c r="I23" s="7">
        <f>K23</f>
        <v>2550.9899999999998</v>
      </c>
      <c r="J23" s="7">
        <v>0</v>
      </c>
      <c r="K23" s="7">
        <v>2550.9899999999998</v>
      </c>
      <c r="L23" s="7">
        <v>0</v>
      </c>
      <c r="M23" s="7">
        <v>485758.5630632852</v>
      </c>
      <c r="N23" s="7">
        <v>0</v>
      </c>
      <c r="O23" s="7">
        <v>1956281.6384773387</v>
      </c>
      <c r="P23" s="7">
        <v>0</v>
      </c>
      <c r="Q23" s="7">
        <v>0</v>
      </c>
      <c r="R23" s="7">
        <v>0</v>
      </c>
      <c r="S23" s="5">
        <v>128069.53515453695</v>
      </c>
      <c r="T23" s="7">
        <v>0</v>
      </c>
      <c r="U23" s="7">
        <v>128069.53515453695</v>
      </c>
      <c r="V23" s="51">
        <v>1.06559510697724</v>
      </c>
      <c r="W23" s="51">
        <v>2.1309345013286807</v>
      </c>
      <c r="X23" s="51">
        <v>3.1795372441174194</v>
      </c>
      <c r="Y23" s="51">
        <v>0.50893837477122161</v>
      </c>
    </row>
    <row r="24" spans="1:25" x14ac:dyDescent="0.25">
      <c r="A24" s="52"/>
      <c r="B24" s="7"/>
      <c r="C24" s="7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11"/>
      <c r="W24" s="11"/>
      <c r="X24" s="11"/>
      <c r="Y24" s="11"/>
    </row>
    <row r="25" spans="1:25" ht="15.75" thickBot="1" x14ac:dyDescent="0.3">
      <c r="A25" s="48" t="s">
        <v>70</v>
      </c>
      <c r="B25" s="49">
        <v>0</v>
      </c>
      <c r="C25" s="49">
        <v>624425.07162907429</v>
      </c>
      <c r="D25" s="49">
        <f>F25</f>
        <v>5100435.7887117676</v>
      </c>
      <c r="E25" s="49">
        <v>0</v>
      </c>
      <c r="F25" s="49">
        <v>5100435.7887117676</v>
      </c>
      <c r="G25" s="49">
        <v>0</v>
      </c>
      <c r="H25" s="49">
        <v>6586105.1117561553</v>
      </c>
      <c r="I25" s="49">
        <f>K25</f>
        <v>9701.8257598823402</v>
      </c>
      <c r="J25" s="49">
        <v>0</v>
      </c>
      <c r="K25" s="49">
        <v>9701.8257598823402</v>
      </c>
      <c r="L25" s="49">
        <v>0</v>
      </c>
      <c r="M25" s="49">
        <v>1556475.3457296304</v>
      </c>
      <c r="N25" s="49">
        <v>0</v>
      </c>
      <c r="O25" s="49">
        <v>9827601.6562693361</v>
      </c>
      <c r="P25" s="49">
        <v>6869.4780492789614</v>
      </c>
      <c r="Q25" s="49">
        <v>0</v>
      </c>
      <c r="R25" s="49">
        <v>6869.4780492789614</v>
      </c>
      <c r="S25" s="49">
        <v>646364.69350161194</v>
      </c>
      <c r="T25" s="49">
        <v>0</v>
      </c>
      <c r="U25" s="49">
        <v>646364.69350161194</v>
      </c>
      <c r="V25" s="50">
        <v>1.146365186579964</v>
      </c>
      <c r="W25" s="50">
        <v>2.9805298208886941</v>
      </c>
      <c r="X25" s="50">
        <v>2.7757938160707631</v>
      </c>
      <c r="Y25" s="50">
        <v>0.54714088693063867</v>
      </c>
    </row>
    <row r="26" spans="1:25" ht="15.75" thickTop="1" x14ac:dyDescent="0.25">
      <c r="A26" s="52"/>
    </row>
    <row r="27" spans="1:25" ht="15.75" thickBot="1" x14ac:dyDescent="0.3">
      <c r="A27" s="48" t="s">
        <v>71</v>
      </c>
      <c r="B27" s="49">
        <v>0</v>
      </c>
      <c r="C27" s="49">
        <f>C25+C4</f>
        <v>639748.25875588995</v>
      </c>
      <c r="D27" s="49">
        <f>F27</f>
        <v>5811418.5164249614</v>
      </c>
      <c r="E27" s="49">
        <v>0</v>
      </c>
      <c r="F27" s="49">
        <v>5811418.5164249614</v>
      </c>
      <c r="G27" s="49">
        <v>0</v>
      </c>
      <c r="H27" s="49">
        <v>6797727.5715091601</v>
      </c>
      <c r="I27" s="49">
        <v>350058.52575988235</v>
      </c>
      <c r="J27" s="49">
        <v>0</v>
      </c>
      <c r="K27" s="49">
        <v>350058.52575988235</v>
      </c>
      <c r="L27" s="49">
        <v>0</v>
      </c>
      <c r="M27" s="49">
        <v>2105584.8157356717</v>
      </c>
      <c r="N27" s="49">
        <v>0</v>
      </c>
      <c r="O27" s="49">
        <v>10190069.448740456</v>
      </c>
      <c r="P27" s="49">
        <v>89235.883550185143</v>
      </c>
      <c r="Q27" s="49">
        <v>0</v>
      </c>
      <c r="R27" s="49">
        <v>89235.883550185143</v>
      </c>
      <c r="S27" s="49">
        <v>667084.73999999987</v>
      </c>
      <c r="T27" s="49">
        <v>0</v>
      </c>
      <c r="U27" s="49">
        <v>667084.73999999987</v>
      </c>
      <c r="V27" s="50">
        <v>1.0883175998515817</v>
      </c>
      <c r="W27" s="50">
        <v>2.3752453446559105</v>
      </c>
      <c r="X27" s="50">
        <v>2.8441988566674921</v>
      </c>
      <c r="Y27" s="50">
        <v>0.52081984755772814</v>
      </c>
    </row>
    <row r="28" spans="1:25" ht="15.75" thickTop="1" x14ac:dyDescent="0.25">
      <c r="B28" s="7"/>
      <c r="C28" s="7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11"/>
      <c r="W28" s="11"/>
      <c r="X28" s="11"/>
      <c r="Y28" s="11"/>
    </row>
    <row r="29" spans="1:25" ht="15.75" thickBot="1" x14ac:dyDescent="0.3">
      <c r="A29" s="48" t="s">
        <v>43</v>
      </c>
      <c r="B29" s="49">
        <v>0</v>
      </c>
      <c r="C29" s="49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14">
        <v>0</v>
      </c>
      <c r="W29" s="14">
        <v>0</v>
      </c>
      <c r="X29" s="14">
        <v>0</v>
      </c>
      <c r="Y29" s="14">
        <v>0</v>
      </c>
    </row>
    <row r="30" spans="1:25" ht="15.75" thickTop="1" x14ac:dyDescent="0.25"/>
  </sheetData>
  <pageMargins left="0.7" right="0.7" top="0.75" bottom="0.75" header="0.3" footer="0.3"/>
  <pageSetup fitToWidth="7" orientation="landscape" r:id="rId1"/>
  <headerFooter>
    <oddFooter>&amp;L&amp;F
&amp;A&amp;RPage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2017-11-01T07:00:00+00:00</OpenedDate>
    <Date1 xmlns="dc463f71-b30c-4ab2-9473-d307f9d35888">2017-11-01T07:00:00+00:00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171091</DocketNumber>
    <DelegatedOrder xmlns="dc463f71-b30c-4ab2-9473-d307f9d35888">false</DelegatedOrder>
    <SignificantOrder xmlns="dc463f71-b30c-4ab2-9473-d307f9d35888">false</Significant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E19956C76CA024588BF50755657D23D" ma:contentTypeVersion="104" ma:contentTypeDescription="" ma:contentTypeScope="" ma:versionID="0ef36183366847ea17253d72375140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D16EDC-83F4-44BB-A41D-AE762E6FE931}"/>
</file>

<file path=customXml/itemProps2.xml><?xml version="1.0" encoding="utf-8"?>
<ds:datastoreItem xmlns:ds="http://schemas.openxmlformats.org/officeDocument/2006/customXml" ds:itemID="{012D8BB8-8A7C-4E90-9EBA-91243FFE87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6A8B39-3370-46D4-9170-9D8EC1451E1E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6a7bd91e-004b-490a-8704-e368d63d59a0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2F08F734-FC37-44C7-A0C1-C882F492AA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WA 2 Year Plan</vt:lpstr>
      <vt:lpstr>WA E and G Combined</vt:lpstr>
      <vt:lpstr>WA ELEC</vt:lpstr>
      <vt:lpstr>WA NG</vt:lpstr>
      <vt:lpstr>'WA 2 Year Plan'!Print_Area</vt:lpstr>
      <vt:lpstr>'WA E and G Combined'!Print_Titles</vt:lpstr>
      <vt:lpstr>'WA ELEC'!Print_Titles</vt:lpstr>
      <vt:lpstr>'WA NG'!Print_Titles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mrd0036</dc:creator>
  <cp:lastModifiedBy>Huey, Lorilyn (UTC)</cp:lastModifiedBy>
  <cp:lastPrinted>2017-10-31T22:09:49Z</cp:lastPrinted>
  <dcterms:created xsi:type="dcterms:W3CDTF">2015-09-23T15:32:31Z</dcterms:created>
  <dcterms:modified xsi:type="dcterms:W3CDTF">2017-11-01T21:54:39Z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0x0101006E56B4D1795A2E4DB2F0B01679ED314A00CE19956C76CA024588BF50755657D23D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