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firstSheet="1" activeTab="3"/>
  </bookViews>
  <sheets>
    <sheet name="Power Supply Normalization" sheetId="6" r:id="rId1"/>
    <sheet name="Capital Structure" sheetId="5" r:id="rId2"/>
    <sheet name="Earnings Test Differences" sheetId="2" r:id="rId3"/>
    <sheet name="Earnings Test Calculation" sheetId="4" r:id="rId4"/>
  </sheets>
  <definedNames>
    <definedName name="_xlnm.Print_Area" localSheetId="3">'Earnings Test Calculation'!$A$1:$F$24</definedName>
    <definedName name="_xlnm.Print_Area" localSheetId="0">'Power Supply Normalization'!$A$1:$O$46</definedName>
    <definedName name="_xlnm.Print_Titles" localSheetId="0">'Power Supply Normalization'!$A:$A</definedName>
  </definedNames>
  <calcPr calcId="152511"/>
</workbook>
</file>

<file path=xl/calcChain.xml><?xml version="1.0" encoding="utf-8"?>
<calcChain xmlns="http://schemas.openxmlformats.org/spreadsheetml/2006/main">
  <c r="C30" i="4" l="1"/>
  <c r="O29" i="6" l="1"/>
  <c r="E15" i="4" l="1"/>
  <c r="C15" i="4" l="1"/>
  <c r="C23" i="6"/>
  <c r="C22" i="6"/>
  <c r="C21" i="6"/>
  <c r="C9" i="6"/>
  <c r="C10" i="6"/>
  <c r="C11" i="6"/>
  <c r="C12" i="6"/>
  <c r="C13" i="6"/>
  <c r="C14" i="6"/>
  <c r="C8" i="6"/>
  <c r="G21" i="6"/>
  <c r="E32" i="6"/>
  <c r="G18" i="6"/>
  <c r="N35" i="6"/>
  <c r="N33" i="6"/>
  <c r="N34" i="6" s="1"/>
  <c r="O33" i="6"/>
  <c r="O34" i="6" s="1"/>
  <c r="P16" i="6"/>
  <c r="P18" i="6"/>
  <c r="P17" i="6"/>
  <c r="P15" i="6"/>
  <c r="P33" i="6" l="1"/>
  <c r="P34" i="6"/>
  <c r="G43" i="6" l="1"/>
  <c r="E43" i="6"/>
  <c r="E39" i="6"/>
  <c r="G38" i="6"/>
  <c r="E38" i="6"/>
  <c r="L30" i="6"/>
  <c r="L32" i="6" s="1"/>
  <c r="M29" i="6"/>
  <c r="M30" i="6" s="1"/>
  <c r="M32" i="6" s="1"/>
  <c r="O26" i="6"/>
  <c r="O22" i="6"/>
  <c r="M19" i="6"/>
  <c r="M21" i="6" s="1"/>
  <c r="L19" i="6"/>
  <c r="L21" i="6" s="1"/>
  <c r="L25" i="6" s="1"/>
  <c r="E19" i="6"/>
  <c r="E21" i="6" s="1"/>
  <c r="E25" i="6" s="1"/>
  <c r="G39" i="6"/>
  <c r="O14" i="6"/>
  <c r="O13" i="6"/>
  <c r="O12" i="6"/>
  <c r="O11" i="6"/>
  <c r="O10" i="6"/>
  <c r="O9" i="6"/>
  <c r="O8" i="6"/>
  <c r="M4" i="6"/>
  <c r="L4" i="6"/>
  <c r="D37" i="5"/>
  <c r="D39" i="5" s="1"/>
  <c r="G36" i="5"/>
  <c r="F35" i="5"/>
  <c r="D21" i="5"/>
  <c r="F19" i="5"/>
  <c r="G18" i="5"/>
  <c r="F17" i="5"/>
  <c r="F21" i="5" s="1"/>
  <c r="D10" i="5"/>
  <c r="F8" i="5"/>
  <c r="F6" i="5"/>
  <c r="G7" i="5" s="1"/>
  <c r="N31" i="6" l="1"/>
  <c r="O30" i="6"/>
  <c r="O32" i="6" s="1"/>
  <c r="N30" i="6"/>
  <c r="N12" i="6"/>
  <c r="P12" i="6" s="1"/>
  <c r="G19" i="6"/>
  <c r="J38" i="6"/>
  <c r="J43" i="6"/>
  <c r="G40" i="6"/>
  <c r="N8" i="6"/>
  <c r="P8" i="6" s="1"/>
  <c r="O19" i="6"/>
  <c r="O21" i="6" s="1"/>
  <c r="O25" i="6" s="1"/>
  <c r="J39" i="6"/>
  <c r="J40" i="6" s="1"/>
  <c r="E34" i="6"/>
  <c r="M25" i="6"/>
  <c r="N10" i="6"/>
  <c r="N14" i="6"/>
  <c r="P14" i="6" s="1"/>
  <c r="N21" i="6"/>
  <c r="N22" i="6"/>
  <c r="P22" i="6" s="1"/>
  <c r="N23" i="6"/>
  <c r="P23" i="6" s="1"/>
  <c r="C29" i="6"/>
  <c r="E40" i="6"/>
  <c r="N9" i="6"/>
  <c r="P9" i="6" s="1"/>
  <c r="N13" i="6"/>
  <c r="P13" i="6" s="1"/>
  <c r="C26" i="6"/>
  <c r="N27" i="6"/>
  <c r="N29" i="6"/>
  <c r="P29" i="6" s="1"/>
  <c r="N11" i="6"/>
  <c r="P11" i="6" s="1"/>
  <c r="N26" i="6"/>
  <c r="P26" i="6" s="1"/>
  <c r="F37" i="5"/>
  <c r="F39" i="5" s="1"/>
  <c r="F10" i="5"/>
  <c r="O35" i="6" l="1"/>
  <c r="C32" i="6"/>
  <c r="C31" i="6" s="1"/>
  <c r="G25" i="6"/>
  <c r="G34" i="6" s="1"/>
  <c r="G42" i="6" s="1"/>
  <c r="G44" i="6" s="1"/>
  <c r="G46" i="6" s="1"/>
  <c r="P30" i="6"/>
  <c r="C25" i="6"/>
  <c r="C27" i="6" s="1"/>
  <c r="N19" i="6"/>
  <c r="N20" i="6" s="1"/>
  <c r="P10" i="6"/>
  <c r="P19" i="6" s="1"/>
  <c r="N32" i="6"/>
  <c r="C30" i="6"/>
  <c r="C19" i="6"/>
  <c r="C20" i="6" s="1"/>
  <c r="N25" i="6"/>
  <c r="E42" i="6"/>
  <c r="O27" i="6"/>
  <c r="P32" i="6" l="1"/>
  <c r="P35" i="6" s="1"/>
  <c r="P21" i="6"/>
  <c r="P25" i="6" s="1"/>
  <c r="P27" i="6" s="1"/>
  <c r="C38" i="6"/>
  <c r="I38" i="6" s="1"/>
  <c r="C39" i="6"/>
  <c r="I39" i="6" s="1"/>
  <c r="C34" i="6"/>
  <c r="D34" i="6" s="1"/>
  <c r="E44" i="6"/>
  <c r="E46" i="6" s="1"/>
  <c r="J42" i="6"/>
  <c r="J44" i="6" s="1"/>
  <c r="J46" i="6" s="1"/>
  <c r="C43" i="6"/>
  <c r="I43" i="6" s="1"/>
  <c r="C40" i="6" l="1"/>
  <c r="C42" i="6" s="1"/>
  <c r="I40" i="6"/>
  <c r="I42" i="6" l="1"/>
  <c r="I44" i="6" s="1"/>
  <c r="I46" i="6" s="1"/>
  <c r="C44" i="6"/>
  <c r="C46" i="6" s="1"/>
  <c r="D28" i="2" l="1"/>
  <c r="D30" i="2" s="1"/>
  <c r="D32" i="2" s="1"/>
  <c r="F26" i="2"/>
  <c r="F28" i="2" s="1"/>
  <c r="F30" i="2" s="1"/>
  <c r="F32" i="2" s="1"/>
  <c r="D26" i="2"/>
  <c r="E14" i="4" l="1"/>
  <c r="E16" i="4" s="1"/>
  <c r="C14" i="4"/>
  <c r="C16" i="4" s="1"/>
  <c r="C18" i="4" s="1"/>
  <c r="C20" i="4" s="1"/>
  <c r="C22" i="4" s="1"/>
  <c r="C24" i="4" s="1"/>
  <c r="E18" i="4" l="1"/>
  <c r="E20" i="4" s="1"/>
  <c r="E22" i="4" s="1"/>
  <c r="E24" i="4" s="1"/>
  <c r="E32" i="4"/>
  <c r="F28" i="4" s="1"/>
  <c r="C32" i="4"/>
  <c r="D28" i="4" s="1"/>
  <c r="C35" i="4" s="1"/>
  <c r="E35" i="4" l="1"/>
  <c r="D30" i="4"/>
  <c r="C36" i="4" s="1"/>
  <c r="C37" i="4" s="1"/>
  <c r="F30" i="4"/>
  <c r="E36" i="4" s="1"/>
  <c r="D32" i="4" l="1"/>
  <c r="E37" i="4"/>
  <c r="F32" i="4"/>
</calcChain>
</file>

<file path=xl/comments1.xml><?xml version="1.0" encoding="utf-8"?>
<comments xmlns="http://schemas.openxmlformats.org/spreadsheetml/2006/main">
  <authors>
    <author>Author</author>
  </authors>
  <commentList>
    <comment ref="C20" authorId="0" shapeId="0">
      <text>
        <r>
          <rPr>
            <b/>
            <sz val="9"/>
            <color indexed="81"/>
            <rFont val="Tahoma"/>
            <family val="2"/>
          </rPr>
          <t>tlk:</t>
        </r>
        <r>
          <rPr>
            <sz val="9"/>
            <color indexed="81"/>
            <rFont val="Tahoma"/>
            <family val="2"/>
          </rPr>
          <t xml:space="preserve">
10 days at 2015 authorized per Docket No. UE-140188 + 355 days at 2016 authorized per Docket No. UE-150204</t>
        </r>
      </text>
    </comment>
    <comment ref="L20" authorId="0" shapeId="0">
      <text>
        <r>
          <rPr>
            <b/>
            <sz val="9"/>
            <color indexed="81"/>
            <rFont val="Tahoma"/>
            <family val="2"/>
          </rPr>
          <t>tlk:</t>
        </r>
        <r>
          <rPr>
            <sz val="9"/>
            <color indexed="81"/>
            <rFont val="Tahoma"/>
            <family val="2"/>
          </rPr>
          <t xml:space="preserve">
10 days at 2015 authorized per Docket No. UE-140188 </t>
        </r>
      </text>
    </comment>
    <comment ref="M20" authorId="0" shapeId="0">
      <text>
        <r>
          <rPr>
            <b/>
            <sz val="9"/>
            <color indexed="81"/>
            <rFont val="Tahoma"/>
            <family val="2"/>
          </rPr>
          <t>tlk:</t>
        </r>
        <r>
          <rPr>
            <sz val="9"/>
            <color indexed="81"/>
            <rFont val="Tahoma"/>
            <family val="2"/>
          </rPr>
          <t xml:space="preserve">
21 days at 2016 authorized per Docket No. UE-150204</t>
        </r>
      </text>
    </comment>
    <comment ref="O20" authorId="0" shapeId="0">
      <text>
        <r>
          <rPr>
            <b/>
            <sz val="9"/>
            <color indexed="81"/>
            <rFont val="Tahoma"/>
            <family val="2"/>
          </rPr>
          <t>tlk:</t>
        </r>
        <r>
          <rPr>
            <sz val="9"/>
            <color indexed="81"/>
            <rFont val="Tahoma"/>
            <family val="2"/>
          </rPr>
          <t xml:space="preserve">
2016 authorized per Docket No. UE-150204</t>
        </r>
      </text>
    </comment>
    <comment ref="C29" authorId="0" shapeId="0">
      <text>
        <r>
          <rPr>
            <b/>
            <sz val="9"/>
            <color indexed="81"/>
            <rFont val="Tahoma"/>
            <family val="2"/>
          </rPr>
          <t>tlk:</t>
        </r>
        <r>
          <rPr>
            <sz val="9"/>
            <color indexed="81"/>
            <rFont val="Tahoma"/>
            <family val="2"/>
          </rPr>
          <t xml:space="preserve">
Actual MWhs Sold per Form 1 State Supplement page 300-301 column (d) line (10)</t>
        </r>
      </text>
    </comment>
    <comment ref="O29" authorId="0" shapeId="0">
      <text>
        <r>
          <rPr>
            <b/>
            <sz val="9"/>
            <color indexed="81"/>
            <rFont val="Tahoma"/>
            <family val="2"/>
          </rPr>
          <t>tlk:</t>
        </r>
        <r>
          <rPr>
            <sz val="9"/>
            <color indexed="81"/>
            <rFont val="Tahoma"/>
            <family val="2"/>
          </rPr>
          <t xml:space="preserve">
Actual MWhs Sold per Form 1 State Supplement page 300-301 column (d) line (10)</t>
        </r>
      </text>
    </comment>
  </commentList>
</comments>
</file>

<file path=xl/sharedStrings.xml><?xml version="1.0" encoding="utf-8"?>
<sst xmlns="http://schemas.openxmlformats.org/spreadsheetml/2006/main" count="181" uniqueCount="141">
  <si>
    <t>Decoupling Earnings Test</t>
  </si>
  <si>
    <t>Power Supply Normalization</t>
  </si>
  <si>
    <t>Normalize ERM Accounts to Allowed System Amounts Adjusted for Actual Loads</t>
  </si>
  <si>
    <t>Account 555 - Purchased Power</t>
  </si>
  <si>
    <t>Account 501 - Thermal Fuel</t>
  </si>
  <si>
    <t>Account 547 - Natural Gas Fuel</t>
  </si>
  <si>
    <t>Account 447 - Sales for Resale</t>
  </si>
  <si>
    <t>Account 565 - Transmission Expense</t>
  </si>
  <si>
    <t>Account 456 - Transmission Revenue</t>
  </si>
  <si>
    <t>Account 557 - Broker Fees</t>
  </si>
  <si>
    <t>Production/Transmission Ratio</t>
  </si>
  <si>
    <t>Washington Allocation</t>
  </si>
  <si>
    <t>Washington Authorized Sales (MWhs)</t>
  </si>
  <si>
    <t>Retail Revenue Credit at Authorized Sales</t>
  </si>
  <si>
    <t>Actual  Sales (MWhs)</t>
  </si>
  <si>
    <t>Load Difference</t>
  </si>
  <si>
    <t>CB Load Change Adjustment to Authorized</t>
  </si>
  <si>
    <t>Normalized Power Supply Cost</t>
  </si>
  <si>
    <t xml:space="preserve">ERM Accounts </t>
  </si>
  <si>
    <t>Authorized</t>
  </si>
  <si>
    <t>Retail Revenue Adjustment rate for Incremental Sales</t>
  </si>
  <si>
    <t>Actual</t>
  </si>
  <si>
    <t>Account 557 - Resource Opt Expense</t>
  </si>
  <si>
    <t>Account 456 - Resource Opt Revenue</t>
  </si>
  <si>
    <t>Total Washington ERM Cost</t>
  </si>
  <si>
    <t>Adjustment by Account Category</t>
  </si>
  <si>
    <t>Sales for Resale Revenue</t>
  </si>
  <si>
    <t>Other Operating Revenue</t>
  </si>
  <si>
    <t>Total Revenue</t>
  </si>
  <si>
    <t>Production &amp; Transmission Operating Expense</t>
  </si>
  <si>
    <t>Purchased Power</t>
  </si>
  <si>
    <t>Total Production &amp; Transmission Expense</t>
  </si>
  <si>
    <t>Income Before Tax</t>
  </si>
  <si>
    <t>Normalized</t>
  </si>
  <si>
    <t>Adjustment</t>
  </si>
  <si>
    <t>WA Decoupling Earnings Test</t>
  </si>
  <si>
    <t>Account 449100</t>
  </si>
  <si>
    <t>Account 456 - REC Sales</t>
  </si>
  <si>
    <t>Washington EIA REC Purchase/Sales</t>
  </si>
  <si>
    <t>Electric</t>
  </si>
  <si>
    <t>Natural Gas</t>
  </si>
  <si>
    <t>No adjustment to Gas Supply is necessary as cost of gas is 100% normalized through the gas cost deferral which is the amount accounted for by the decoupling mechanism.</t>
  </si>
  <si>
    <t>3.00</t>
  </si>
  <si>
    <t>Eliminate Weather Adjustment</t>
  </si>
  <si>
    <t>3.01</t>
  </si>
  <si>
    <t>Eliminate Provision for Earnings Test Refund</t>
  </si>
  <si>
    <t>Purpose of the Earnings Test is to determine sharing, it is necessary to eliminate the Provision for Rate Refund associated with the Company's estimate of the Decoupling Earnings Test Sharing</t>
  </si>
  <si>
    <t>Decoupling Normalized Power Cost</t>
  </si>
  <si>
    <t>3.02</t>
  </si>
  <si>
    <t>Adjustment Differences from WAC-480-100-257 and WAC-480-90-257 filings</t>
  </si>
  <si>
    <t>Commission Basis</t>
  </si>
  <si>
    <t>Earnings Tests</t>
  </si>
  <si>
    <t>Adjusted Actual</t>
  </si>
  <si>
    <t>Earnings Test PS</t>
  </si>
  <si>
    <t>Earnings Test Normalized</t>
  </si>
  <si>
    <t>Provision For Rate Refund</t>
  </si>
  <si>
    <t>Earnings Test does not include an adjustment for normal weather as the decoupling mechanism captures usage associated with weather.  Reverse Commission Basis Adjustment 2.10</t>
  </si>
  <si>
    <t>Avista Utilities</t>
  </si>
  <si>
    <t>Rate Base</t>
  </si>
  <si>
    <t>Net Income</t>
  </si>
  <si>
    <t xml:space="preserve">Calculated ROR </t>
  </si>
  <si>
    <t xml:space="preserve">Base ROR </t>
  </si>
  <si>
    <t>Excess ROR</t>
  </si>
  <si>
    <t>Excess Earnings</t>
  </si>
  <si>
    <t>Conversion Factor</t>
  </si>
  <si>
    <t>Excess Revenue (Excess Earnings/CF)</t>
  </si>
  <si>
    <t>Sharing %</t>
  </si>
  <si>
    <t>Residential Revenue</t>
  </si>
  <si>
    <t>Non-Residential Revenue</t>
  </si>
  <si>
    <t>Total Normalized Revenue</t>
  </si>
  <si>
    <t>Earnings Test Sharing Adjustment</t>
  </si>
  <si>
    <t xml:space="preserve">  Residential</t>
  </si>
  <si>
    <t xml:space="preserve"> Non-Residential</t>
  </si>
  <si>
    <t>Total</t>
  </si>
  <si>
    <t>Additional Adjustments for Earnings Test Include:</t>
  </si>
  <si>
    <t xml:space="preserve">Decoupling Mechanism Earnings Test </t>
  </si>
  <si>
    <t>12 Months Ended December 2016</t>
  </si>
  <si>
    <t xml:space="preserve">To ensure separation of the Decoupling Earnings Test Sharing from the Energy Recovery Mechanism Sharing without the possibility of double-counting, this adjustment restates variable Power Supply Costs to the amount accounted for by the decoupling mechanism with actual loads.  The Energy Recovery Mechanism provides for sharing power cost differences with customers. </t>
  </si>
  <si>
    <t>3.03</t>
  </si>
  <si>
    <t>Allowed Capital Structure Debt Cost</t>
  </si>
  <si>
    <t>Filed Commission Basis Results reflects actual debt cost and actual capital structure.  This adjustment keeps the actual debt cost but adjusts the debt percentage to the capital structure approved in UE-150204 and UG-150205 effective with rates at 01/11/2016.</t>
  </si>
  <si>
    <t>Commission Basis Rate Base</t>
  </si>
  <si>
    <t>Allowed Debt Percentage</t>
  </si>
  <si>
    <t>Actual Debt Cost</t>
  </si>
  <si>
    <t>Allowed Interest Expense</t>
  </si>
  <si>
    <t>Interest per Commission Basis</t>
  </si>
  <si>
    <t>Increase (Decrease) in Interest Expense</t>
  </si>
  <si>
    <t>FIT Rate</t>
  </si>
  <si>
    <t>Increase (Decrease) in FIT Expense</t>
  </si>
  <si>
    <t>$000s</t>
  </si>
  <si>
    <t>Allowed Capital Structure</t>
  </si>
  <si>
    <t>UE-150204 and UG-150205</t>
  </si>
  <si>
    <t>Capital</t>
  </si>
  <si>
    <t>Weighted</t>
  </si>
  <si>
    <t>Component</t>
  </si>
  <si>
    <t>Structure</t>
  </si>
  <si>
    <t>Cost</t>
  </si>
  <si>
    <t>Total Debt</t>
  </si>
  <si>
    <t>WA wtd debt</t>
  </si>
  <si>
    <t>Common</t>
  </si>
  <si>
    <t>Allowed Capital Structure with 2016 Actual Debt Cost (WA method)</t>
  </si>
  <si>
    <t>Actual Debt Cost keeping allowed return to 7.29% reduces ROE to 9.39%</t>
  </si>
  <si>
    <t>AVISTA UTILITIES</t>
  </si>
  <si>
    <t>Actual Cost of Capital AMA 12/31/2016</t>
  </si>
  <si>
    <t>Washington - Electric System</t>
  </si>
  <si>
    <t>Cap Structure</t>
  </si>
  <si>
    <t>Commission Basis Debt Cost</t>
  </si>
  <si>
    <t>2016 Actual Loads</t>
  </si>
  <si>
    <t>Pro-Rated</t>
  </si>
  <si>
    <t>Jan 1 - 10</t>
  </si>
  <si>
    <t>Jan 11 - 31</t>
  </si>
  <si>
    <t>January</t>
  </si>
  <si>
    <t>Feb - Dec</t>
  </si>
  <si>
    <t>2016 Actual</t>
  </si>
  <si>
    <t>UE-140188</t>
  </si>
  <si>
    <t>UE-150204</t>
  </si>
  <si>
    <t>Power Supply</t>
  </si>
  <si>
    <t>Washington Settlement Adjustment</t>
  </si>
  <si>
    <t>ERM/REC Deferral</t>
  </si>
  <si>
    <t xml:space="preserve">Commission Basis PS </t>
  </si>
  <si>
    <t>Weather Adjustment (MWhs)</t>
  </si>
  <si>
    <t>Weather Adjustment Power Cost</t>
  </si>
  <si>
    <t>Account 557 - REC Expenses (offset to REC Revenue)</t>
  </si>
  <si>
    <t>2016 Deferrals</t>
  </si>
  <si>
    <t>2016 Commission Basis Earnings Test for Decoupling</t>
  </si>
  <si>
    <t>2016 Total Earnings Test Sharing</t>
  </si>
  <si>
    <t>Revenue From 2016 Normalized Loads and Customers at Present Billing Rates</t>
  </si>
  <si>
    <t>Estimated Earnings Sharing</t>
  </si>
  <si>
    <t>Normalized Billed Revenue per 2017 GRC</t>
  </si>
  <si>
    <t>Sch 98</t>
  </si>
  <si>
    <t>Sch 91</t>
  </si>
  <si>
    <t>8/1/2017?%</t>
  </si>
  <si>
    <t>Sch 191</t>
  </si>
  <si>
    <t>9/1/2017?%</t>
  </si>
  <si>
    <t>Sch 93</t>
  </si>
  <si>
    <t>Does not include impact of expected changes to:</t>
  </si>
  <si>
    <t>Washington Jurisdiction</t>
  </si>
  <si>
    <t>True-Up Adjustment</t>
  </si>
  <si>
    <t>Uncollectibles Service Correction</t>
  </si>
  <si>
    <t>A service assignment of actual write-offs error was discovered in the Uncollectible Expense adjustment as filed in the Company's Commission Basis Reports.  This adjustment corrects the service assignment error.</t>
  </si>
  <si>
    <t>Account 904 Uncollectible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</si>
</sst>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44" formatCode="_(&quot;$&quot;* #,##0.00_);_(&quot;$&quot;* \(#,##0.00\);_(&quot;$&quot;* &quot;-&quot;??_);_(@_)"/>
    <numFmt numFmtId="43" formatCode="_(* #,##0.00_);_(* \(#,##0.00\);_(* &quot;-&quot;??_);_(@_)"/>
    <numFmt numFmtId="164" formatCode="_(* #,##0_);_(* \(#,##0\);_(* &quot;-&quot;??_);_(@_)"/>
    <numFmt numFmtId="165" formatCode="&quot;$&quot;#,##0.00"/>
    <numFmt numFmtId="166" formatCode="_(&quot;$&quot;* #,##0_);_(&quot;$&quot;* \(#,##0\);_(&quot;$&quot;* &quot;-&quot;??_);_(@_)"/>
    <numFmt numFmtId="167" formatCode="0.000000"/>
    <numFmt numFmtId="168" formatCode="&quot;$&quot;#,##0.00000"/>
    <numFmt numFmtId="169" formatCode="0.000%"/>
  </numFmts>
  <fonts count="18">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sz val="10"/>
      <name val="Geneva"/>
    </font>
    <font>
      <sz val="10"/>
      <name val="Arial"/>
      <family val="2"/>
    </font>
    <font>
      <sz val="10"/>
      <color rgb="FF0000FF"/>
      <name val="Arial"/>
      <family val="2"/>
    </font>
    <font>
      <sz val="10"/>
      <color rgb="FF0000FF"/>
      <name val="Geneva"/>
    </font>
    <font>
      <sz val="9"/>
      <color indexed="81"/>
      <name val="Tahoma"/>
      <family val="2"/>
    </font>
    <font>
      <b/>
      <sz val="9"/>
      <color indexed="81"/>
      <name val="Tahoma"/>
      <family val="2"/>
    </font>
    <font>
      <sz val="11"/>
      <color rgb="FF0070C0"/>
      <name val="Calibri"/>
      <family val="2"/>
      <scheme val="minor"/>
    </font>
    <font>
      <sz val="10"/>
      <name val="Times New Roman"/>
      <family val="1"/>
    </font>
    <font>
      <b/>
      <sz val="10"/>
      <name val="Times New Roman"/>
      <family val="1"/>
    </font>
    <font>
      <sz val="10"/>
      <name val="Geneva"/>
      <family val="2"/>
    </font>
    <font>
      <sz val="10"/>
      <color indexed="12"/>
      <name val="Times New Roman"/>
      <family val="1"/>
    </font>
    <font>
      <b/>
      <sz val="11"/>
      <name val="Times New Roman"/>
      <family val="1"/>
    </font>
    <font>
      <sz val="10"/>
      <color rgb="FF0070C0"/>
      <name val="Arial"/>
      <family val="2"/>
    </font>
    <font>
      <b/>
      <sz val="11"/>
      <color rgb="FF0070C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right/>
      <top style="thin">
        <color indexed="64"/>
      </top>
      <bottom/>
      <diagonal/>
    </border>
    <border>
      <left style="double">
        <color rgb="FFFF0000"/>
      </left>
      <right style="double">
        <color rgb="FFFF0000"/>
      </right>
      <top style="double">
        <color rgb="FFFF0000"/>
      </top>
      <bottom style="double">
        <color rgb="FFFF0000"/>
      </bottom>
      <diagonal/>
    </border>
    <border>
      <left/>
      <right style="medium">
        <color indexed="64"/>
      </right>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5" fillId="0" borderId="0" applyFont="0" applyFill="0" applyBorder="0" applyAlignment="0" applyProtection="0"/>
    <xf numFmtId="0" fontId="13" fillId="0" borderId="0"/>
  </cellStyleXfs>
  <cellXfs count="91">
    <xf numFmtId="0" fontId="0" fillId="0" borderId="0" xfId="0"/>
    <xf numFmtId="0" fontId="2" fillId="0" borderId="0" xfId="0" applyFont="1"/>
    <xf numFmtId="0" fontId="0" fillId="0" borderId="0" xfId="0" applyFill="1"/>
    <xf numFmtId="164" fontId="0" fillId="0" borderId="0" xfId="1" applyNumberFormat="1" applyFont="1"/>
    <xf numFmtId="164" fontId="0" fillId="0" borderId="1" xfId="1" applyNumberFormat="1" applyFont="1" applyBorder="1"/>
    <xf numFmtId="10" fontId="3" fillId="0" borderId="0" xfId="3" applyNumberFormat="1" applyFont="1" applyBorder="1"/>
    <xf numFmtId="164" fontId="2" fillId="0" borderId="1" xfId="1" applyNumberFormat="1" applyFont="1" applyBorder="1"/>
    <xf numFmtId="3" fontId="4" fillId="0" borderId="0" xfId="4" applyNumberFormat="1" applyFill="1"/>
    <xf numFmtId="164" fontId="6" fillId="0" borderId="0" xfId="5" applyNumberFormat="1" applyFont="1" applyFill="1" applyAlignment="1">
      <alignment vertical="center"/>
    </xf>
    <xf numFmtId="165" fontId="7" fillId="0" borderId="0" xfId="4" applyNumberFormat="1" applyFont="1"/>
    <xf numFmtId="164" fontId="2" fillId="0" borderId="0" xfId="1" applyNumberFormat="1" applyFont="1"/>
    <xf numFmtId="164" fontId="2" fillId="0" borderId="0" xfId="0" applyNumberFormat="1" applyFont="1"/>
    <xf numFmtId="44" fontId="0" fillId="0" borderId="0" xfId="2" applyFont="1"/>
    <xf numFmtId="0" fontId="0" fillId="0" borderId="0" xfId="0" applyAlignment="1">
      <alignment horizontal="center"/>
    </xf>
    <xf numFmtId="164" fontId="0" fillId="0" borderId="0" xfId="0" applyNumberFormat="1"/>
    <xf numFmtId="164" fontId="0" fillId="0" borderId="1" xfId="0" applyNumberFormat="1" applyBorder="1"/>
    <xf numFmtId="0" fontId="0" fillId="0" borderId="0" xfId="0" applyAlignment="1">
      <alignment horizontal="left" wrapText="1"/>
    </xf>
    <xf numFmtId="164" fontId="0" fillId="0" borderId="0" xfId="1" applyNumberFormat="1" applyFont="1" applyFill="1"/>
    <xf numFmtId="0" fontId="0" fillId="0" borderId="0" xfId="0" quotePrefix="1"/>
    <xf numFmtId="0" fontId="0" fillId="0" borderId="0" xfId="0" applyAlignment="1">
      <alignment horizontal="left"/>
    </xf>
    <xf numFmtId="0" fontId="0" fillId="0" borderId="0" xfId="0" applyAlignment="1">
      <alignment vertical="center"/>
    </xf>
    <xf numFmtId="166" fontId="0" fillId="0" borderId="0" xfId="0" applyNumberFormat="1"/>
    <xf numFmtId="10" fontId="0" fillId="0" borderId="0" xfId="3" applyNumberFormat="1" applyFont="1"/>
    <xf numFmtId="10" fontId="0" fillId="0" borderId="0" xfId="0" applyNumberFormat="1"/>
    <xf numFmtId="167" fontId="10" fillId="0" borderId="0" xfId="3" applyNumberFormat="1" applyFont="1" applyBorder="1"/>
    <xf numFmtId="166" fontId="0" fillId="0" borderId="1" xfId="0" applyNumberFormat="1" applyBorder="1"/>
    <xf numFmtId="9" fontId="0" fillId="0" borderId="0" xfId="0" applyNumberFormat="1"/>
    <xf numFmtId="166" fontId="2" fillId="0" borderId="2" xfId="0" applyNumberFormat="1" applyFont="1" applyBorder="1"/>
    <xf numFmtId="166" fontId="2" fillId="0" borderId="0" xfId="0" applyNumberFormat="1" applyFont="1" applyBorder="1"/>
    <xf numFmtId="168" fontId="0" fillId="0" borderId="0" xfId="0" applyNumberFormat="1"/>
    <xf numFmtId="0" fontId="0" fillId="0" borderId="0" xfId="0" applyAlignment="1">
      <alignment horizontal="center"/>
    </xf>
    <xf numFmtId="0" fontId="0" fillId="0" borderId="0" xfId="0" applyAlignment="1">
      <alignment vertical="top"/>
    </xf>
    <xf numFmtId="0" fontId="0" fillId="0" borderId="0" xfId="0" applyAlignment="1">
      <alignment horizontal="center" wrapText="1"/>
    </xf>
    <xf numFmtId="169" fontId="0" fillId="0" borderId="0" xfId="0" applyNumberFormat="1"/>
    <xf numFmtId="9" fontId="1" fillId="0" borderId="0" xfId="3" applyFont="1"/>
    <xf numFmtId="0" fontId="11" fillId="2" borderId="0" xfId="0" applyFont="1" applyFill="1" applyBorder="1"/>
    <xf numFmtId="0" fontId="12" fillId="2" borderId="0" xfId="0" applyFont="1" applyFill="1" applyBorder="1" applyAlignment="1">
      <alignment horizontal="center"/>
    </xf>
    <xf numFmtId="37" fontId="11" fillId="2" borderId="3" xfId="6" applyNumberFormat="1" applyFont="1" applyFill="1" applyBorder="1"/>
    <xf numFmtId="0" fontId="12" fillId="2" borderId="4" xfId="0" applyFont="1" applyFill="1" applyBorder="1" applyAlignment="1">
      <alignment horizontal="center"/>
    </xf>
    <xf numFmtId="37" fontId="11" fillId="2" borderId="0" xfId="6" applyNumberFormat="1" applyFont="1" applyFill="1" applyBorder="1"/>
    <xf numFmtId="37" fontId="14" fillId="2" borderId="0" xfId="6" applyNumberFormat="1" applyFont="1" applyFill="1" applyBorder="1"/>
    <xf numFmtId="0" fontId="11" fillId="2" borderId="3" xfId="0" applyFont="1" applyFill="1" applyBorder="1"/>
    <xf numFmtId="5" fontId="11" fillId="2" borderId="0" xfId="0" applyNumberFormat="1" applyFont="1" applyFill="1" applyBorder="1"/>
    <xf numFmtId="10" fontId="11" fillId="2" borderId="0" xfId="3" applyNumberFormat="1" applyFont="1" applyFill="1" applyBorder="1"/>
    <xf numFmtId="169" fontId="14" fillId="2" borderId="0" xfId="3" applyNumberFormat="1" applyFont="1" applyFill="1" applyBorder="1"/>
    <xf numFmtId="37" fontId="12" fillId="2" borderId="3" xfId="6" applyNumberFormat="1" applyFont="1" applyFill="1" applyBorder="1"/>
    <xf numFmtId="164" fontId="11" fillId="2" borderId="0" xfId="5" applyNumberFormat="1" applyFont="1" applyFill="1" applyBorder="1"/>
    <xf numFmtId="10" fontId="14" fillId="2" borderId="0" xfId="3" applyNumberFormat="1" applyFont="1" applyFill="1" applyBorder="1"/>
    <xf numFmtId="169" fontId="11" fillId="2" borderId="0" xfId="3" applyNumberFormat="1" applyFont="1" applyFill="1" applyBorder="1"/>
    <xf numFmtId="10" fontId="11" fillId="2" borderId="5" xfId="3" applyNumberFormat="1" applyFont="1" applyFill="1" applyBorder="1"/>
    <xf numFmtId="37" fontId="12" fillId="2" borderId="0" xfId="6" applyNumberFormat="1" applyFont="1" applyFill="1" applyBorder="1"/>
    <xf numFmtId="10" fontId="12" fillId="2" borderId="0" xfId="3" applyNumberFormat="1" applyFont="1" applyFill="1" applyBorder="1" applyAlignment="1">
      <alignment horizontal="center"/>
    </xf>
    <xf numFmtId="0" fontId="0" fillId="0" borderId="0" xfId="0" applyBorder="1"/>
    <xf numFmtId="0" fontId="12" fillId="2" borderId="10" xfId="0" applyFont="1" applyFill="1" applyBorder="1" applyAlignment="1">
      <alignment horizontal="left"/>
    </xf>
    <xf numFmtId="0" fontId="12" fillId="2" borderId="11" xfId="0" applyFont="1" applyFill="1" applyBorder="1" applyAlignment="1">
      <alignment horizontal="center"/>
    </xf>
    <xf numFmtId="0" fontId="12" fillId="2" borderId="12" xfId="0" applyFont="1" applyFill="1" applyBorder="1" applyAlignment="1">
      <alignment horizontal="center"/>
    </xf>
    <xf numFmtId="37" fontId="11" fillId="2" borderId="9" xfId="6" applyNumberFormat="1" applyFont="1" applyFill="1" applyBorder="1"/>
    <xf numFmtId="169" fontId="12" fillId="2" borderId="3" xfId="3" applyNumberFormat="1" applyFont="1" applyFill="1" applyBorder="1" applyAlignment="1">
      <alignment horizontal="center"/>
    </xf>
    <xf numFmtId="37" fontId="11" fillId="2" borderId="13" xfId="6" applyNumberFormat="1" applyFont="1" applyFill="1" applyBorder="1"/>
    <xf numFmtId="0" fontId="11" fillId="2" borderId="14" xfId="0" applyFont="1" applyFill="1" applyBorder="1"/>
    <xf numFmtId="164" fontId="11" fillId="2" borderId="14" xfId="5" applyNumberFormat="1" applyFont="1" applyFill="1" applyBorder="1"/>
    <xf numFmtId="10" fontId="11" fillId="2" borderId="14" xfId="3" applyNumberFormat="1" applyFont="1" applyFill="1" applyBorder="1"/>
    <xf numFmtId="10" fontId="14" fillId="2" borderId="14" xfId="3" applyNumberFormat="1" applyFont="1" applyFill="1" applyBorder="1"/>
    <xf numFmtId="37" fontId="11" fillId="2" borderId="15" xfId="6" applyNumberFormat="1" applyFont="1" applyFill="1" applyBorder="1"/>
    <xf numFmtId="10" fontId="0" fillId="0" borderId="0" xfId="3" applyNumberFormat="1" applyFont="1" applyAlignment="1">
      <alignment horizontal="center"/>
    </xf>
    <xf numFmtId="44" fontId="0" fillId="0" borderId="0" xfId="0" applyNumberFormat="1"/>
    <xf numFmtId="166" fontId="0" fillId="0" borderId="0" xfId="2" applyNumberFormat="1" applyFont="1"/>
    <xf numFmtId="10" fontId="3" fillId="0" borderId="0" xfId="3" applyNumberFormat="1" applyFont="1" applyFill="1" applyBorder="1"/>
    <xf numFmtId="164" fontId="16" fillId="0" borderId="0" xfId="1" applyNumberFormat="1" applyFont="1"/>
    <xf numFmtId="164" fontId="17" fillId="0" borderId="0" xfId="1" applyNumberFormat="1" applyFont="1"/>
    <xf numFmtId="2" fontId="10" fillId="0" borderId="0" xfId="3" applyNumberFormat="1" applyFont="1" applyBorder="1"/>
    <xf numFmtId="0" fontId="0" fillId="0" borderId="0" xfId="0" applyAlignment="1">
      <alignment horizontal="center"/>
    </xf>
    <xf numFmtId="166" fontId="0" fillId="0" borderId="0" xfId="2" applyNumberFormat="1" applyFont="1" applyFill="1"/>
    <xf numFmtId="14" fontId="0" fillId="0" borderId="0" xfId="0" applyNumberFormat="1"/>
    <xf numFmtId="0" fontId="0" fillId="0" borderId="0" xfId="0" applyAlignment="1">
      <alignment horizontal="center"/>
    </xf>
    <xf numFmtId="166" fontId="2" fillId="0" borderId="0" xfId="0" applyNumberFormat="1" applyFont="1"/>
    <xf numFmtId="0" fontId="0" fillId="0" borderId="0" xfId="0"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5" fillId="3" borderId="9" xfId="0" applyFont="1" applyFill="1" applyBorder="1" applyAlignment="1">
      <alignment horizontal="center"/>
    </xf>
    <xf numFmtId="0" fontId="15" fillId="3" borderId="0" xfId="0" applyFont="1" applyFill="1" applyBorder="1" applyAlignment="1">
      <alignment horizontal="center"/>
    </xf>
    <xf numFmtId="0" fontId="15" fillId="3" borderId="3" xfId="0" applyFont="1" applyFill="1" applyBorder="1" applyAlignment="1">
      <alignment horizontal="center"/>
    </xf>
    <xf numFmtId="0" fontId="12" fillId="0" borderId="9" xfId="0" applyFont="1" applyFill="1" applyBorder="1" applyAlignment="1">
      <alignment horizontal="center"/>
    </xf>
    <xf numFmtId="0" fontId="12" fillId="0" borderId="0" xfId="0" applyFont="1" applyFill="1" applyBorder="1" applyAlignment="1">
      <alignment horizontal="center"/>
    </xf>
    <xf numFmtId="0" fontId="12" fillId="0" borderId="3" xfId="0" applyFont="1" applyFill="1" applyBorder="1" applyAlignment="1">
      <alignment horizontal="center"/>
    </xf>
    <xf numFmtId="0" fontId="0" fillId="0" borderId="0" xfId="0" applyAlignment="1">
      <alignment horizontal="left" wrapText="1"/>
    </xf>
    <xf numFmtId="0" fontId="0" fillId="0" borderId="0" xfId="0" applyAlignment="1">
      <alignment horizontal="justify" wrapText="1"/>
    </xf>
    <xf numFmtId="0" fontId="0" fillId="0" borderId="0" xfId="0" applyAlignment="1">
      <alignment horizontal="justify" vertical="top" wrapText="1"/>
    </xf>
    <xf numFmtId="0" fontId="2" fillId="0" borderId="0" xfId="0" applyFont="1" applyAlignment="1">
      <alignment horizontal="center"/>
    </xf>
    <xf numFmtId="0" fontId="0" fillId="0" borderId="0" xfId="0" applyAlignment="1">
      <alignment horizontal="center"/>
    </xf>
  </cellXfs>
  <cellStyles count="7">
    <cellStyle name="Comma" xfId="1" builtinId="3"/>
    <cellStyle name="Comma 2" xfId="5"/>
    <cellStyle name="Currency" xfId="2" builtinId="4"/>
    <cellStyle name="Normal" xfId="0" builtinId="0"/>
    <cellStyle name="Normal 2" xfId="4"/>
    <cellStyle name="Normal_WAElec6_97" xfId="6"/>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topLeftCell="A18" workbookViewId="0">
      <selection activeCell="E38" sqref="E38"/>
    </sheetView>
  </sheetViews>
  <sheetFormatPr defaultRowHeight="14.4"/>
  <cols>
    <col min="1" max="1" width="41.44140625" customWidth="1"/>
    <col min="2" max="2" width="4.109375" customWidth="1"/>
    <col min="3" max="3" width="16.6640625" customWidth="1"/>
    <col min="4" max="4" width="7.88671875" customWidth="1"/>
    <col min="5" max="5" width="15.109375" customWidth="1"/>
    <col min="6" max="6" width="4.5546875" customWidth="1"/>
    <col min="7" max="7" width="13.5546875" customWidth="1"/>
    <col min="8" max="8" width="3" customWidth="1"/>
    <col min="9" max="9" width="12.88671875" customWidth="1"/>
    <col min="10" max="10" width="16.33203125" customWidth="1"/>
    <col min="11" max="11" width="24" customWidth="1"/>
    <col min="12" max="12" width="13.88671875" customWidth="1"/>
    <col min="13" max="14" width="13.33203125" customWidth="1"/>
    <col min="15" max="15" width="15.6640625" customWidth="1"/>
    <col min="16" max="16" width="15.33203125" customWidth="1"/>
    <col min="17" max="17" width="16.33203125" customWidth="1"/>
    <col min="18" max="18" width="5.33203125" customWidth="1"/>
    <col min="19" max="19" width="14.33203125" customWidth="1"/>
    <col min="20" max="20" width="15.44140625" customWidth="1"/>
    <col min="21" max="21" width="14.44140625" customWidth="1"/>
  </cols>
  <sheetData>
    <row r="1" spans="1:16">
      <c r="A1" t="s">
        <v>0</v>
      </c>
    </row>
    <row r="2" spans="1:16">
      <c r="A2" t="s">
        <v>1</v>
      </c>
    </row>
    <row r="3" spans="1:16">
      <c r="A3" t="s">
        <v>107</v>
      </c>
    </row>
    <row r="4" spans="1:16">
      <c r="L4" s="22">
        <f>10/31</f>
        <v>0.32258064516129031</v>
      </c>
      <c r="M4" s="22">
        <f>21/31</f>
        <v>0.67741935483870963</v>
      </c>
      <c r="N4" s="64" t="s">
        <v>108</v>
      </c>
    </row>
    <row r="5" spans="1:16" ht="24.6" customHeight="1">
      <c r="A5" s="20" t="s">
        <v>2</v>
      </c>
      <c r="L5" s="30" t="s">
        <v>109</v>
      </c>
      <c r="M5" s="30" t="s">
        <v>110</v>
      </c>
      <c r="N5" s="30" t="s">
        <v>111</v>
      </c>
      <c r="O5" s="30" t="s">
        <v>112</v>
      </c>
    </row>
    <row r="6" spans="1:16">
      <c r="A6" t="s">
        <v>89</v>
      </c>
      <c r="C6" s="30" t="s">
        <v>51</v>
      </c>
      <c r="E6" s="30" t="s">
        <v>50</v>
      </c>
      <c r="G6" s="30" t="s">
        <v>113</v>
      </c>
      <c r="L6" s="30" t="s">
        <v>114</v>
      </c>
      <c r="M6" s="30" t="s">
        <v>115</v>
      </c>
      <c r="N6" s="30"/>
      <c r="O6" s="30" t="s">
        <v>115</v>
      </c>
      <c r="P6" s="30">
        <v>2016</v>
      </c>
    </row>
    <row r="7" spans="1:16">
      <c r="A7" t="s">
        <v>18</v>
      </c>
      <c r="C7" s="30" t="s">
        <v>33</v>
      </c>
      <c r="E7" s="30" t="s">
        <v>52</v>
      </c>
      <c r="G7" s="30" t="s">
        <v>116</v>
      </c>
      <c r="L7" s="30" t="s">
        <v>19</v>
      </c>
      <c r="M7" s="30" t="s">
        <v>19</v>
      </c>
      <c r="N7" s="30"/>
      <c r="O7" s="30" t="s">
        <v>19</v>
      </c>
      <c r="P7" s="30" t="s">
        <v>33</v>
      </c>
    </row>
    <row r="8" spans="1:16">
      <c r="A8" t="s">
        <v>3</v>
      </c>
      <c r="C8" s="3">
        <f>ROUND((L8*$L$4+M8*$M$4+O8)/1000,0)</f>
        <v>119877</v>
      </c>
      <c r="E8" s="3">
        <v>119877</v>
      </c>
      <c r="G8" s="3">
        <v>147228</v>
      </c>
      <c r="L8" s="3">
        <v>14241308</v>
      </c>
      <c r="M8" s="3">
        <v>12127251</v>
      </c>
      <c r="N8" s="3">
        <f>L8*$L$4+M8*$M$4</f>
        <v>12809204.870967742</v>
      </c>
      <c r="O8" s="3">
        <f>119195328-M8</f>
        <v>107068077</v>
      </c>
      <c r="P8" s="14">
        <f>N8+O8</f>
        <v>119877281.87096775</v>
      </c>
    </row>
    <row r="9" spans="1:16">
      <c r="A9" t="s">
        <v>4</v>
      </c>
      <c r="C9" s="3">
        <f t="shared" ref="C9:C14" si="0">ROUND((L9*$L$4+M9*$M$4+O9)/1000,0)</f>
        <v>29122</v>
      </c>
      <c r="E9" s="3">
        <v>29122</v>
      </c>
      <c r="G9" s="3">
        <v>28902</v>
      </c>
      <c r="L9" s="3">
        <v>2663532</v>
      </c>
      <c r="M9" s="3">
        <v>2667343</v>
      </c>
      <c r="N9" s="3">
        <f t="shared" ref="N9:N14" si="1">L9*$L$4+M9*$M$4</f>
        <v>2666113.6451612902</v>
      </c>
      <c r="O9" s="3">
        <f>29123409-M9</f>
        <v>26456066</v>
      </c>
      <c r="P9" s="14">
        <f t="shared" ref="P9:P16" si="2">N9+O9</f>
        <v>29122179.64516129</v>
      </c>
    </row>
    <row r="10" spans="1:16">
      <c r="A10" t="s">
        <v>5</v>
      </c>
      <c r="C10" s="3">
        <f t="shared" si="0"/>
        <v>77826</v>
      </c>
      <c r="E10" s="3">
        <v>77826</v>
      </c>
      <c r="G10" s="3">
        <v>77200</v>
      </c>
      <c r="L10" s="3">
        <v>10133311</v>
      </c>
      <c r="M10" s="3">
        <v>8481668</v>
      </c>
      <c r="N10" s="3">
        <f t="shared" si="1"/>
        <v>9014456.064516129</v>
      </c>
      <c r="O10" s="3">
        <f>77293435-M10</f>
        <v>68811767</v>
      </c>
      <c r="P10" s="14">
        <f t="shared" si="2"/>
        <v>77826223.064516127</v>
      </c>
    </row>
    <row r="11" spans="1:16">
      <c r="A11" t="s">
        <v>6</v>
      </c>
      <c r="C11" s="3">
        <f t="shared" si="0"/>
        <v>-88018</v>
      </c>
      <c r="E11" s="3">
        <v>-88018</v>
      </c>
      <c r="G11" s="3">
        <v>-118816</v>
      </c>
      <c r="L11" s="3">
        <v>-5385864</v>
      </c>
      <c r="M11" s="3">
        <v>-7154528</v>
      </c>
      <c r="N11" s="3">
        <f t="shared" si="1"/>
        <v>-6583991.2258064505</v>
      </c>
      <c r="O11" s="3">
        <f>-88588364-M11</f>
        <v>-81433836</v>
      </c>
      <c r="P11" s="14">
        <f t="shared" si="2"/>
        <v>-88017827.225806445</v>
      </c>
    </row>
    <row r="12" spans="1:16">
      <c r="A12" t="s">
        <v>7</v>
      </c>
      <c r="C12" s="3">
        <f t="shared" si="0"/>
        <v>17219</v>
      </c>
      <c r="E12" s="3">
        <v>17219</v>
      </c>
      <c r="G12" s="3">
        <v>17251</v>
      </c>
      <c r="L12" s="3">
        <v>1447542</v>
      </c>
      <c r="M12" s="3">
        <v>1503379</v>
      </c>
      <c r="N12" s="3">
        <f t="shared" si="1"/>
        <v>1485367.064516129</v>
      </c>
      <c r="O12" s="3">
        <f>17237232-M12</f>
        <v>15733853</v>
      </c>
      <c r="P12" s="14">
        <f t="shared" si="2"/>
        <v>17219220.064516127</v>
      </c>
    </row>
    <row r="13" spans="1:16">
      <c r="A13" t="s">
        <v>8</v>
      </c>
      <c r="C13" s="3">
        <f t="shared" si="0"/>
        <v>-15802</v>
      </c>
      <c r="E13" s="17">
        <v>-15802</v>
      </c>
      <c r="G13" s="17">
        <v>-17263</v>
      </c>
      <c r="L13" s="3">
        <v>-1304329</v>
      </c>
      <c r="M13" s="3">
        <v>-1306342</v>
      </c>
      <c r="N13" s="3">
        <f t="shared" si="1"/>
        <v>-1305692.6451612902</v>
      </c>
      <c r="O13" s="3">
        <f>-15802275-M13</f>
        <v>-14495933</v>
      </c>
      <c r="P13" s="14">
        <f t="shared" si="2"/>
        <v>-15801625.64516129</v>
      </c>
    </row>
    <row r="14" spans="1:16">
      <c r="A14" t="s">
        <v>9</v>
      </c>
      <c r="C14" s="3">
        <f t="shared" si="0"/>
        <v>700</v>
      </c>
      <c r="E14" s="3">
        <v>700</v>
      </c>
      <c r="G14" s="3">
        <v>411</v>
      </c>
      <c r="L14" s="3">
        <v>89667</v>
      </c>
      <c r="M14" s="3">
        <v>57500</v>
      </c>
      <c r="N14" s="3">
        <f t="shared" si="1"/>
        <v>67876.451612903213</v>
      </c>
      <c r="O14" s="3">
        <f>690000-M14</f>
        <v>632500</v>
      </c>
      <c r="P14" s="14">
        <f t="shared" si="2"/>
        <v>700376.45161290327</v>
      </c>
    </row>
    <row r="15" spans="1:16">
      <c r="A15" t="s">
        <v>22</v>
      </c>
      <c r="C15" s="3"/>
      <c r="E15" s="3">
        <v>0</v>
      </c>
      <c r="G15" s="3">
        <v>66111</v>
      </c>
      <c r="L15" s="3"/>
      <c r="M15" s="3"/>
      <c r="N15" s="3"/>
      <c r="O15" s="3"/>
      <c r="P15" s="14">
        <f t="shared" si="2"/>
        <v>0</v>
      </c>
    </row>
    <row r="16" spans="1:16">
      <c r="A16" t="s">
        <v>23</v>
      </c>
      <c r="C16" s="3"/>
      <c r="E16" s="3">
        <v>0</v>
      </c>
      <c r="G16" s="3">
        <v>-79528</v>
      </c>
      <c r="L16" s="3"/>
      <c r="M16" s="3"/>
      <c r="N16" s="3"/>
      <c r="O16" s="3"/>
      <c r="P16" s="14">
        <f t="shared" si="2"/>
        <v>0</v>
      </c>
    </row>
    <row r="17" spans="1:16">
      <c r="A17" t="s">
        <v>122</v>
      </c>
      <c r="C17" s="3"/>
      <c r="E17" s="3">
        <v>0</v>
      </c>
      <c r="G17" s="3">
        <v>51</v>
      </c>
      <c r="L17" s="3"/>
      <c r="M17" s="3"/>
      <c r="N17" s="3"/>
      <c r="O17" s="3"/>
      <c r="P17" s="14">
        <f>N16+O16</f>
        <v>0</v>
      </c>
    </row>
    <row r="18" spans="1:16">
      <c r="A18" t="s">
        <v>37</v>
      </c>
      <c r="C18" s="3"/>
      <c r="E18" s="3">
        <v>0</v>
      </c>
      <c r="G18" s="3">
        <f>-5355</f>
        <v>-5355</v>
      </c>
      <c r="L18" s="3"/>
      <c r="M18" s="3"/>
      <c r="N18" s="3"/>
      <c r="O18" s="3"/>
      <c r="P18" s="14">
        <f>N17+O17</f>
        <v>0</v>
      </c>
    </row>
    <row r="19" spans="1:16">
      <c r="C19" s="4">
        <f>SUM(C8:C14)</f>
        <v>140924</v>
      </c>
      <c r="E19" s="4">
        <f>SUM(E8:E18)</f>
        <v>140924</v>
      </c>
      <c r="F19" s="4"/>
      <c r="G19" s="4">
        <f t="shared" ref="G19" si="3">SUM(G8:G18)</f>
        <v>116192</v>
      </c>
      <c r="L19" s="4">
        <f>SUM(L8:L14)</f>
        <v>21885167</v>
      </c>
      <c r="M19" s="4">
        <f>SUM(M8:M14)</f>
        <v>16376271</v>
      </c>
      <c r="N19" s="4">
        <f>SUM(N8:N14)</f>
        <v>18153334.225806449</v>
      </c>
      <c r="O19" s="4">
        <f>SUM(O8:O14)</f>
        <v>122772494</v>
      </c>
      <c r="P19" s="4">
        <f>SUM(P8:P14)</f>
        <v>140925828.22580644</v>
      </c>
    </row>
    <row r="20" spans="1:16">
      <c r="A20" t="s">
        <v>10</v>
      </c>
      <c r="C20" s="5">
        <f>C21/C19</f>
        <v>0.64734892566205893</v>
      </c>
      <c r="E20" s="5">
        <v>0.6573</v>
      </c>
      <c r="G20" s="5">
        <v>0.6573</v>
      </c>
      <c r="L20" s="5">
        <v>0.65190000000000003</v>
      </c>
      <c r="M20" s="5">
        <v>0.64710000000000001</v>
      </c>
      <c r="N20" s="5">
        <f>N21/N19</f>
        <v>0.64896669345543012</v>
      </c>
      <c r="O20" s="5">
        <v>0.64710000000000001</v>
      </c>
      <c r="P20" s="67">
        <v>0.6573</v>
      </c>
    </row>
    <row r="21" spans="1:16">
      <c r="A21" t="s">
        <v>11</v>
      </c>
      <c r="C21" s="3">
        <f t="shared" ref="C21:C23" si="4">ROUND((L21*$L$4+M21*$M$4+O21)/1000,0)</f>
        <v>91227</v>
      </c>
      <c r="E21" s="3">
        <f>E19*E20</f>
        <v>92629.345199999996</v>
      </c>
      <c r="G21" s="3">
        <f>G19*G20</f>
        <v>76373.001600000003</v>
      </c>
      <c r="L21" s="3">
        <f>L19*L20</f>
        <v>14266940.3673</v>
      </c>
      <c r="M21" s="3">
        <f>M19*M20</f>
        <v>10597084.9641</v>
      </c>
      <c r="N21" s="3">
        <f t="shared" ref="N21:N33" si="5">L21*$L$4+M21*$M$4</f>
        <v>11780909.287712902</v>
      </c>
      <c r="O21" s="3">
        <f>O19*O20</f>
        <v>79446080.867400005</v>
      </c>
      <c r="P21" s="3">
        <f>P19*P20</f>
        <v>92630546.892822579</v>
      </c>
    </row>
    <row r="22" spans="1:16">
      <c r="A22" t="s">
        <v>117</v>
      </c>
      <c r="C22" s="3">
        <f t="shared" si="4"/>
        <v>-1460</v>
      </c>
      <c r="E22" s="3">
        <v>-1460</v>
      </c>
      <c r="G22" s="3">
        <v>0</v>
      </c>
      <c r="L22" s="3"/>
      <c r="M22" s="3">
        <v>-125000</v>
      </c>
      <c r="N22" s="3">
        <f t="shared" si="5"/>
        <v>-84677.419354838697</v>
      </c>
      <c r="O22" s="3">
        <f>-1500000-M22</f>
        <v>-1375000</v>
      </c>
      <c r="P22" s="14">
        <f>N22+O22</f>
        <v>-1459677.4193548388</v>
      </c>
    </row>
    <row r="23" spans="1:16">
      <c r="A23" t="s">
        <v>38</v>
      </c>
      <c r="C23" s="3">
        <f t="shared" si="4"/>
        <v>58</v>
      </c>
      <c r="E23" s="3">
        <v>58</v>
      </c>
      <c r="G23" s="3">
        <v>437</v>
      </c>
      <c r="L23" s="3">
        <v>181250</v>
      </c>
      <c r="M23" s="3">
        <v>0</v>
      </c>
      <c r="N23" s="3">
        <f t="shared" si="5"/>
        <v>58467.741935483871</v>
      </c>
      <c r="O23" s="3">
        <v>0</v>
      </c>
      <c r="P23" s="14">
        <f>N23+O23</f>
        <v>58467.741935483871</v>
      </c>
    </row>
    <row r="24" spans="1:16">
      <c r="A24" t="s">
        <v>118</v>
      </c>
      <c r="C24" s="3"/>
      <c r="E24" s="3"/>
      <c r="G24" s="3"/>
      <c r="L24" s="3"/>
      <c r="M24" s="3"/>
      <c r="N24" s="3"/>
      <c r="O24" s="3"/>
    </row>
    <row r="25" spans="1:16">
      <c r="A25" s="1" t="s">
        <v>24</v>
      </c>
      <c r="C25" s="6">
        <f>SUM(C21:C23)</f>
        <v>89825</v>
      </c>
      <c r="E25" s="6">
        <f>E21+E23+E22</f>
        <v>91227.345199999996</v>
      </c>
      <c r="G25" s="6">
        <f>G21+G23+G24</f>
        <v>76810.001600000003</v>
      </c>
      <c r="L25" s="6">
        <f>SUM(L21:L23)</f>
        <v>14448190.3673</v>
      </c>
      <c r="M25" s="6">
        <f>SUM(M21:M23)</f>
        <v>10472084.9641</v>
      </c>
      <c r="N25" s="6">
        <f>SUM(N21:N23)</f>
        <v>11754699.610293547</v>
      </c>
      <c r="O25" s="6">
        <f>SUM(O21:O23)</f>
        <v>78071080.867400005</v>
      </c>
      <c r="P25" s="6">
        <f>SUM(P21:P23)</f>
        <v>91229337.215403214</v>
      </c>
    </row>
    <row r="26" spans="1:16">
      <c r="A26" t="s">
        <v>12</v>
      </c>
      <c r="C26" s="3">
        <f t="shared" ref="C26" si="6">L26*$L$4+M26*$M$4+O26</f>
        <v>5650372.064516129</v>
      </c>
      <c r="E26" s="7"/>
      <c r="L26" s="7">
        <v>545205</v>
      </c>
      <c r="M26" s="7">
        <v>555937</v>
      </c>
      <c r="N26" s="3">
        <f t="shared" si="5"/>
        <v>552475.06451612897</v>
      </c>
      <c r="O26" s="7">
        <f>5653834-M26</f>
        <v>5097897</v>
      </c>
      <c r="P26" s="14">
        <f>N26+O26</f>
        <v>5650372.064516129</v>
      </c>
    </row>
    <row r="27" spans="1:16">
      <c r="A27" t="s">
        <v>13</v>
      </c>
      <c r="C27" s="12">
        <f>C25/C26*1000</f>
        <v>15.897183225170888</v>
      </c>
      <c r="E27" s="12"/>
      <c r="L27" s="12">
        <v>20.12</v>
      </c>
      <c r="M27" s="12">
        <v>15.66</v>
      </c>
      <c r="N27" s="12">
        <f t="shared" si="5"/>
        <v>17.098709677419354</v>
      </c>
      <c r="O27" s="12">
        <f>(O25+M25)/(O26+M26)</f>
        <v>15.66072966265016</v>
      </c>
      <c r="P27" s="12">
        <f>P25/P26</f>
        <v>16.145722117719632</v>
      </c>
    </row>
    <row r="28" spans="1:16">
      <c r="C28" s="3"/>
      <c r="E28" s="3"/>
      <c r="L28" s="3"/>
      <c r="M28" s="3"/>
      <c r="N28" s="3"/>
      <c r="O28" s="3"/>
      <c r="P28" s="12"/>
    </row>
    <row r="29" spans="1:16">
      <c r="A29" t="s">
        <v>14</v>
      </c>
      <c r="C29" s="8">
        <f>L29*$L$4+M29*$M$4+O29</f>
        <v>5578322</v>
      </c>
      <c r="E29" s="8"/>
      <c r="L29" s="8">
        <v>547928</v>
      </c>
      <c r="M29" s="8">
        <f>547928</f>
        <v>547928</v>
      </c>
      <c r="N29" s="3">
        <f t="shared" si="5"/>
        <v>547928</v>
      </c>
      <c r="O29" s="8">
        <f>5578322-M29</f>
        <v>5030394</v>
      </c>
      <c r="P29" s="14">
        <f>N29+O29</f>
        <v>5578322</v>
      </c>
    </row>
    <row r="30" spans="1:16">
      <c r="A30" t="s">
        <v>15</v>
      </c>
      <c r="C30" s="3">
        <f>C29-C26</f>
        <v>-72050.064516128972</v>
      </c>
      <c r="E30" s="3"/>
      <c r="L30" s="3">
        <f>L29-L26</f>
        <v>2723</v>
      </c>
      <c r="M30" s="3">
        <f>M29-M26</f>
        <v>-8009</v>
      </c>
      <c r="N30" s="3">
        <f t="shared" si="5"/>
        <v>-4547.0645161290322</v>
      </c>
      <c r="O30" s="3">
        <f>O29-O26</f>
        <v>-67503</v>
      </c>
      <c r="P30" s="14">
        <f>N30+O30</f>
        <v>-72050.06451612903</v>
      </c>
    </row>
    <row r="31" spans="1:16">
      <c r="A31" s="2" t="s">
        <v>20</v>
      </c>
      <c r="C31" s="9">
        <f>C32/C30*1000</f>
        <v>15.752935234997899</v>
      </c>
      <c r="E31" s="9"/>
      <c r="L31" s="9">
        <v>20.12</v>
      </c>
      <c r="M31" s="9">
        <v>15.66</v>
      </c>
      <c r="N31" s="12">
        <f t="shared" si="5"/>
        <v>17.098709677419354</v>
      </c>
      <c r="O31" s="9">
        <v>15.66</v>
      </c>
    </row>
    <row r="32" spans="1:16">
      <c r="A32" s="1" t="s">
        <v>16</v>
      </c>
      <c r="C32" s="10">
        <f>ROUND((N32+O32)/1000,0)</f>
        <v>-1135</v>
      </c>
      <c r="E32" s="10">
        <f>-1135+1279</f>
        <v>144</v>
      </c>
      <c r="L32" s="10">
        <f>L30*L31</f>
        <v>54786.76</v>
      </c>
      <c r="M32" s="10">
        <f t="shared" ref="M32:O32" si="7">M30*M31</f>
        <v>-125420.94</v>
      </c>
      <c r="N32" s="10">
        <f t="shared" si="7"/>
        <v>-77748.936045785638</v>
      </c>
      <c r="O32" s="10">
        <f t="shared" si="7"/>
        <v>-1057096.98</v>
      </c>
      <c r="P32" s="10">
        <f>N32+O32</f>
        <v>-1134845.9160457856</v>
      </c>
    </row>
    <row r="33" spans="1:16">
      <c r="K33" t="s">
        <v>120</v>
      </c>
      <c r="L33" s="68">
        <v>8597.6749999999993</v>
      </c>
      <c r="M33" s="68">
        <v>8597.6749999999993</v>
      </c>
      <c r="N33" s="3">
        <f t="shared" si="5"/>
        <v>8597.6749999999993</v>
      </c>
      <c r="O33" s="68">
        <f>80859.543-M33</f>
        <v>72261.868000000002</v>
      </c>
      <c r="P33" s="14">
        <f>N33+O33</f>
        <v>80859.543000000005</v>
      </c>
    </row>
    <row r="34" spans="1:16">
      <c r="A34" s="1" t="s">
        <v>17</v>
      </c>
      <c r="C34" s="11">
        <f>C25+C32</f>
        <v>88690</v>
      </c>
      <c r="D34" s="12">
        <f>C34/C29*1000</f>
        <v>15.89904634404396</v>
      </c>
      <c r="E34" s="11">
        <f>E25+E32</f>
        <v>91371.345199999996</v>
      </c>
      <c r="G34" s="11">
        <f>G25+G32</f>
        <v>76810.001600000003</v>
      </c>
      <c r="K34" s="69" t="s">
        <v>121</v>
      </c>
      <c r="L34" s="69"/>
      <c r="M34" s="69"/>
      <c r="N34" s="69">
        <f>N33*N31</f>
        <v>147009.14872580644</v>
      </c>
      <c r="O34" s="69">
        <f>O33*O31</f>
        <v>1131620.8528800001</v>
      </c>
      <c r="P34" s="69">
        <f>N34+O34</f>
        <v>1278630.0016058066</v>
      </c>
    </row>
    <row r="35" spans="1:16" ht="27" customHeight="1">
      <c r="C35" s="12"/>
      <c r="I35" s="32" t="s">
        <v>53</v>
      </c>
      <c r="J35" s="32" t="s">
        <v>119</v>
      </c>
      <c r="K35" s="1" t="s">
        <v>17</v>
      </c>
      <c r="L35" s="11"/>
      <c r="M35" s="11"/>
      <c r="N35" s="11">
        <f>N25+N32+N34</f>
        <v>11823959.822973566</v>
      </c>
      <c r="O35" s="11">
        <f>O25+O32+O34</f>
        <v>78145604.740280002</v>
      </c>
      <c r="P35" s="11">
        <f>P25+P32+P34</f>
        <v>91373121.300963238</v>
      </c>
    </row>
    <row r="36" spans="1:16">
      <c r="A36" s="1" t="s">
        <v>25</v>
      </c>
      <c r="C36" s="30" t="s">
        <v>54</v>
      </c>
      <c r="D36" s="30"/>
      <c r="E36" s="30" t="s">
        <v>50</v>
      </c>
      <c r="F36" s="30"/>
      <c r="G36" s="30" t="s">
        <v>21</v>
      </c>
      <c r="I36" s="30" t="s">
        <v>34</v>
      </c>
      <c r="J36" s="30" t="s">
        <v>34</v>
      </c>
      <c r="L36" s="14"/>
      <c r="M36" s="14"/>
      <c r="N36" s="14"/>
    </row>
    <row r="38" spans="1:16">
      <c r="A38" t="s">
        <v>26</v>
      </c>
      <c r="C38" s="14">
        <f>-C11*$C$20</f>
        <v>56978.3577389231</v>
      </c>
      <c r="E38" s="14">
        <f>-E11*$E$20</f>
        <v>57854.231399999997</v>
      </c>
      <c r="G38" s="14">
        <f>-G11*$G$20</f>
        <v>78097.756800000003</v>
      </c>
      <c r="I38" s="14">
        <f>C38-E38</f>
        <v>-875.87366107689741</v>
      </c>
      <c r="J38" s="14">
        <f>E38-G38</f>
        <v>-20243.525400000006</v>
      </c>
      <c r="L38" s="14"/>
      <c r="M38" s="14"/>
      <c r="N38" s="14"/>
      <c r="O38" s="14"/>
    </row>
    <row r="39" spans="1:16">
      <c r="A39" t="s">
        <v>27</v>
      </c>
      <c r="C39" s="14">
        <f>-C13*$C$20</f>
        <v>10229.407723311855</v>
      </c>
      <c r="E39" s="14">
        <f>-(E13+E16+E18)*$E$20</f>
        <v>10386.6546</v>
      </c>
      <c r="G39" s="14">
        <f>-(G13+G16+G18)*$G$20</f>
        <v>67140.565799999997</v>
      </c>
      <c r="I39" s="14">
        <f>C39-E39</f>
        <v>-157.24687668814477</v>
      </c>
      <c r="J39" s="14">
        <f>E39-G39</f>
        <v>-56753.911199999995</v>
      </c>
      <c r="L39" s="14"/>
      <c r="M39" s="14"/>
      <c r="N39" s="14"/>
      <c r="O39" s="14"/>
    </row>
    <row r="40" spans="1:16">
      <c r="A40" t="s">
        <v>28</v>
      </c>
      <c r="C40" s="15">
        <f>SUM(C38:C39)</f>
        <v>67207.765462234951</v>
      </c>
      <c r="E40" s="15">
        <f>SUM(E38:E39)</f>
        <v>68240.885999999999</v>
      </c>
      <c r="G40" s="15">
        <f>SUM(G38:G39)</f>
        <v>145238.32260000001</v>
      </c>
      <c r="I40" s="15">
        <f>SUM(I38:I39)</f>
        <v>-1033.1205377650422</v>
      </c>
      <c r="J40" s="15">
        <f>SUM(J38:J39)</f>
        <v>-76997.436600000001</v>
      </c>
      <c r="L40" s="3"/>
      <c r="M40" s="3"/>
      <c r="N40" s="3"/>
      <c r="O40" s="14"/>
    </row>
    <row r="41" spans="1:16">
      <c r="L41" s="3"/>
      <c r="M41" s="3"/>
      <c r="N41" s="3"/>
      <c r="O41" s="14"/>
    </row>
    <row r="42" spans="1:16">
      <c r="A42" t="s">
        <v>29</v>
      </c>
      <c r="C42" s="14">
        <f>C34+C40-C43</f>
        <v>78295.518300644326</v>
      </c>
      <c r="E42" s="14">
        <f>E34+E40-E43</f>
        <v>80817.079099999974</v>
      </c>
      <c r="G42" s="14">
        <f>G34+G40-G43</f>
        <v>125275.35980000003</v>
      </c>
      <c r="I42" s="14">
        <f>C42-E42</f>
        <v>-2521.5607993556478</v>
      </c>
      <c r="J42" s="14">
        <f>E42-G42</f>
        <v>-44458.280700000061</v>
      </c>
      <c r="L42" s="12"/>
      <c r="M42" s="12"/>
      <c r="N42" s="12"/>
      <c r="O42" s="65"/>
    </row>
    <row r="43" spans="1:16">
      <c r="A43" t="s">
        <v>30</v>
      </c>
      <c r="C43" s="14">
        <f>C8*$C$20</f>
        <v>77602.24716159064</v>
      </c>
      <c r="E43" s="14">
        <f>E8*$E$20</f>
        <v>78795.152100000007</v>
      </c>
      <c r="G43" s="14">
        <f>G8*$G$20</f>
        <v>96772.964399999997</v>
      </c>
      <c r="I43" s="14">
        <f>C43-E43</f>
        <v>-1192.9049384093669</v>
      </c>
      <c r="J43" s="14">
        <f>E43-G43</f>
        <v>-17977.812299999991</v>
      </c>
      <c r="L43" s="66"/>
      <c r="M43" s="66"/>
      <c r="N43" s="66"/>
      <c r="O43" s="66"/>
    </row>
    <row r="44" spans="1:16">
      <c r="A44" t="s">
        <v>31</v>
      </c>
      <c r="C44" s="15">
        <f>SUM(C42:C43)</f>
        <v>155897.76546223497</v>
      </c>
      <c r="E44" s="15">
        <f>SUM(E42:E43)</f>
        <v>159612.23119999998</v>
      </c>
      <c r="G44" s="15">
        <f>SUM(G42:G43)</f>
        <v>222048.32420000003</v>
      </c>
      <c r="I44" s="15">
        <f>SUM(I42:I43)</f>
        <v>-3714.4657377650146</v>
      </c>
      <c r="J44" s="15">
        <f>SUM(J42:J43)</f>
        <v>-62436.093000000052</v>
      </c>
      <c r="L44" s="66"/>
      <c r="M44" s="66"/>
      <c r="N44" s="66"/>
      <c r="O44" s="66"/>
    </row>
    <row r="45" spans="1:16">
      <c r="O45" s="21"/>
    </row>
    <row r="46" spans="1:16">
      <c r="A46" t="s">
        <v>32</v>
      </c>
      <c r="C46" s="14">
        <f>C40-C44</f>
        <v>-88690.000000000015</v>
      </c>
      <c r="E46" s="14">
        <f>E40-E44</f>
        <v>-91371.345199999982</v>
      </c>
      <c r="G46" s="14">
        <f>G40-G44</f>
        <v>-76810.001600000018</v>
      </c>
      <c r="I46" s="14">
        <f>I40-I44</f>
        <v>2681.3451999999725</v>
      </c>
      <c r="J46" s="14">
        <f>J40-J44</f>
        <v>-14561.343599999949</v>
      </c>
    </row>
  </sheetData>
  <printOptions horizontalCentered="1"/>
  <pageMargins left="0.7" right="0.7" top="0.5" bottom="0.75" header="0.3" footer="0.3"/>
  <pageSetup scale="75" orientation="landscape" r:id="rId1"/>
  <colBreaks count="1" manualBreakCount="1">
    <brk id="10" max="4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1" workbookViewId="0">
      <selection activeCell="I36" sqref="I36"/>
    </sheetView>
  </sheetViews>
  <sheetFormatPr defaultRowHeight="14.4"/>
  <cols>
    <col min="7" max="7" width="16" customWidth="1"/>
  </cols>
  <sheetData>
    <row r="1" spans="2:7">
      <c r="B1" t="s">
        <v>90</v>
      </c>
      <c r="E1" t="s">
        <v>91</v>
      </c>
    </row>
    <row r="3" spans="2:7">
      <c r="B3" s="35"/>
      <c r="C3" s="36"/>
      <c r="D3" s="36" t="s">
        <v>92</v>
      </c>
      <c r="E3" s="36"/>
      <c r="F3" s="36" t="s">
        <v>93</v>
      </c>
      <c r="G3" s="39"/>
    </row>
    <row r="4" spans="2:7">
      <c r="B4" s="38" t="s">
        <v>94</v>
      </c>
      <c r="C4" s="36"/>
      <c r="D4" s="38" t="s">
        <v>95</v>
      </c>
      <c r="E4" s="38" t="s">
        <v>96</v>
      </c>
      <c r="F4" s="38" t="s">
        <v>96</v>
      </c>
      <c r="G4" s="39"/>
    </row>
    <row r="5" spans="2:7">
      <c r="B5" s="39"/>
      <c r="C5" s="39"/>
      <c r="D5" s="39"/>
      <c r="E5" s="40"/>
      <c r="F5" s="39"/>
      <c r="G5" s="35"/>
    </row>
    <row r="6" spans="2:7">
      <c r="B6" s="35" t="s">
        <v>97</v>
      </c>
      <c r="C6" s="42"/>
      <c r="D6" s="43">
        <v>0.51500000000000001</v>
      </c>
      <c r="E6" s="44">
        <v>5.1999999999999998E-2</v>
      </c>
      <c r="F6" s="43">
        <f>ROUND(D6*E6,5)</f>
        <v>2.6780000000000002E-2</v>
      </c>
      <c r="G6" s="50" t="s">
        <v>98</v>
      </c>
    </row>
    <row r="7" spans="2:7">
      <c r="B7" s="35"/>
      <c r="C7" s="46"/>
      <c r="D7" s="43"/>
      <c r="E7" s="47"/>
      <c r="F7" s="43"/>
      <c r="G7" s="51">
        <f>SUM(F6:F7)</f>
        <v>2.6780000000000002E-2</v>
      </c>
    </row>
    <row r="8" spans="2:7">
      <c r="B8" s="35" t="s">
        <v>99</v>
      </c>
      <c r="C8" s="46"/>
      <c r="D8" s="43">
        <v>0.48499999999999999</v>
      </c>
      <c r="E8" s="47">
        <v>9.5000000000000001E-2</v>
      </c>
      <c r="F8" s="43">
        <f>ROUND(D8*E8,4)</f>
        <v>4.6100000000000002E-2</v>
      </c>
      <c r="G8" s="35"/>
    </row>
    <row r="9" spans="2:7">
      <c r="B9" s="35"/>
      <c r="C9" s="46"/>
      <c r="D9" s="48"/>
      <c r="E9" s="44"/>
      <c r="F9" s="43"/>
      <c r="G9" s="39"/>
    </row>
    <row r="10" spans="2:7" ht="15" thickBot="1">
      <c r="B10" s="35" t="s">
        <v>73</v>
      </c>
      <c r="C10" s="42"/>
      <c r="D10" s="49">
        <f>SUM(D6:D8)</f>
        <v>1</v>
      </c>
      <c r="E10" s="44"/>
      <c r="F10" s="49">
        <f>SUM(F6:F8)</f>
        <v>7.288E-2</v>
      </c>
      <c r="G10" s="39"/>
    </row>
    <row r="11" spans="2:7" ht="15" thickTop="1">
      <c r="G11" s="52"/>
    </row>
    <row r="12" spans="2:7">
      <c r="G12" s="52"/>
    </row>
    <row r="13" spans="2:7">
      <c r="B13" t="s">
        <v>100</v>
      </c>
      <c r="G13" s="52"/>
    </row>
    <row r="14" spans="2:7">
      <c r="B14" s="35"/>
      <c r="C14" s="36"/>
      <c r="D14" s="36" t="s">
        <v>92</v>
      </c>
      <c r="E14" s="36"/>
      <c r="F14" s="36" t="s">
        <v>93</v>
      </c>
      <c r="G14" s="39"/>
    </row>
    <row r="15" spans="2:7">
      <c r="B15" s="38" t="s">
        <v>94</v>
      </c>
      <c r="C15" s="36"/>
      <c r="D15" s="38" t="s">
        <v>95</v>
      </c>
      <c r="E15" s="38" t="s">
        <v>96</v>
      </c>
      <c r="F15" s="38" t="s">
        <v>96</v>
      </c>
      <c r="G15" s="39"/>
    </row>
    <row r="16" spans="2:7">
      <c r="B16" s="39"/>
      <c r="C16" s="39"/>
      <c r="D16" s="39"/>
      <c r="E16" s="40"/>
      <c r="F16" s="39"/>
      <c r="G16" s="35"/>
    </row>
    <row r="17" spans="1:7">
      <c r="B17" s="35" t="s">
        <v>97</v>
      </c>
      <c r="C17" s="42"/>
      <c r="D17" s="43">
        <v>0.51500000000000001</v>
      </c>
      <c r="E17" s="44">
        <v>5.314E-2</v>
      </c>
      <c r="F17" s="43">
        <f>ROUND(D17*E17,5)</f>
        <v>2.7369999999999998E-2</v>
      </c>
      <c r="G17" s="50" t="s">
        <v>98</v>
      </c>
    </row>
    <row r="18" spans="1:7">
      <c r="B18" s="35"/>
      <c r="C18" s="46"/>
      <c r="D18" s="43"/>
      <c r="E18" s="47"/>
      <c r="F18" s="43"/>
      <c r="G18" s="51">
        <f>SUM(F17:F18)</f>
        <v>2.7369999999999998E-2</v>
      </c>
    </row>
    <row r="19" spans="1:7">
      <c r="B19" s="35" t="s">
        <v>99</v>
      </c>
      <c r="C19" s="46"/>
      <c r="D19" s="43">
        <v>0.48499999999999999</v>
      </c>
      <c r="E19" s="47">
        <v>9.3899999999999997E-2</v>
      </c>
      <c r="F19" s="43">
        <f>ROUND(D19*E19,4)</f>
        <v>4.5499999999999999E-2</v>
      </c>
      <c r="G19" s="35"/>
    </row>
    <row r="20" spans="1:7">
      <c r="B20" s="35"/>
      <c r="C20" s="46"/>
      <c r="D20" s="48"/>
      <c r="E20" s="44"/>
      <c r="F20" s="43"/>
      <c r="G20" s="39"/>
    </row>
    <row r="21" spans="1:7" ht="15" thickBot="1">
      <c r="B21" s="35" t="s">
        <v>73</v>
      </c>
      <c r="C21" s="42"/>
      <c r="D21" s="49">
        <f>SUM(D17:D19)</f>
        <v>1</v>
      </c>
      <c r="E21" s="44"/>
      <c r="F21" s="49">
        <f>SUM(F17:F19)</f>
        <v>7.286999999999999E-2</v>
      </c>
      <c r="G21" s="39"/>
    </row>
    <row r="22" spans="1:7" ht="15" thickTop="1"/>
    <row r="23" spans="1:7">
      <c r="B23" t="s">
        <v>101</v>
      </c>
    </row>
    <row r="25" spans="1:7" ht="15" thickBot="1">
      <c r="A25" t="s">
        <v>106</v>
      </c>
    </row>
    <row r="26" spans="1:7">
      <c r="A26" s="77" t="s">
        <v>102</v>
      </c>
      <c r="B26" s="78"/>
      <c r="C26" s="78"/>
      <c r="D26" s="78"/>
      <c r="E26" s="78"/>
      <c r="F26" s="78"/>
      <c r="G26" s="79"/>
    </row>
    <row r="27" spans="1:7">
      <c r="A27" s="80" t="s">
        <v>103</v>
      </c>
      <c r="B27" s="81"/>
      <c r="C27" s="81"/>
      <c r="D27" s="81"/>
      <c r="E27" s="81"/>
      <c r="F27" s="81"/>
      <c r="G27" s="82"/>
    </row>
    <row r="28" spans="1:7">
      <c r="A28" s="83" t="s">
        <v>104</v>
      </c>
      <c r="B28" s="84"/>
      <c r="C28" s="84"/>
      <c r="D28" s="84"/>
      <c r="E28" s="84"/>
      <c r="F28" s="84"/>
      <c r="G28" s="85"/>
    </row>
    <row r="29" spans="1:7" ht="15" thickBot="1">
      <c r="A29" s="83"/>
      <c r="B29" s="84"/>
      <c r="C29" s="84"/>
      <c r="D29" s="84"/>
      <c r="E29" s="84"/>
      <c r="F29" s="84"/>
      <c r="G29" s="85"/>
    </row>
    <row r="30" spans="1:7">
      <c r="A30" s="53" t="s">
        <v>105</v>
      </c>
      <c r="B30" s="54"/>
      <c r="C30" s="54"/>
      <c r="D30" s="54"/>
      <c r="E30" s="54"/>
      <c r="F30" s="54"/>
      <c r="G30" s="55"/>
    </row>
    <row r="31" spans="1:7">
      <c r="A31" s="56"/>
      <c r="B31" s="39"/>
      <c r="C31" s="39"/>
      <c r="D31" s="36"/>
      <c r="E31" s="40"/>
      <c r="F31" s="36"/>
      <c r="G31" s="37"/>
    </row>
    <row r="32" spans="1:7">
      <c r="A32" s="56"/>
      <c r="B32" s="35"/>
      <c r="C32" s="36"/>
      <c r="D32" s="36" t="s">
        <v>92</v>
      </c>
      <c r="E32" s="36"/>
      <c r="F32" s="36" t="s">
        <v>93</v>
      </c>
      <c r="G32" s="37"/>
    </row>
    <row r="33" spans="1:7">
      <c r="A33" s="56"/>
      <c r="B33" s="38" t="s">
        <v>94</v>
      </c>
      <c r="C33" s="36"/>
      <c r="D33" s="38" t="s">
        <v>95</v>
      </c>
      <c r="E33" s="38" t="s">
        <v>96</v>
      </c>
      <c r="F33" s="38" t="s">
        <v>96</v>
      </c>
      <c r="G33" s="37"/>
    </row>
    <row r="34" spans="1:7">
      <c r="A34" s="56"/>
      <c r="B34" s="39"/>
      <c r="C34" s="39"/>
      <c r="D34" s="39"/>
      <c r="E34" s="40"/>
      <c r="F34" s="39"/>
      <c r="G34" s="41"/>
    </row>
    <row r="35" spans="1:7">
      <c r="A35" s="56"/>
      <c r="B35" s="35" t="s">
        <v>97</v>
      </c>
      <c r="C35" s="42"/>
      <c r="D35" s="43">
        <v>0.50980000000000003</v>
      </c>
      <c r="E35" s="44">
        <v>5.314E-2</v>
      </c>
      <c r="F35" s="43">
        <f>ROUND(D35*E35,5)</f>
        <v>2.7089999999999999E-2</v>
      </c>
      <c r="G35" s="45" t="s">
        <v>98</v>
      </c>
    </row>
    <row r="36" spans="1:7">
      <c r="A36" s="56"/>
      <c r="B36" s="35"/>
      <c r="C36" s="46"/>
      <c r="D36" s="43"/>
      <c r="E36" s="47"/>
      <c r="F36" s="43"/>
      <c r="G36" s="57">
        <f>SUM(F35:F36)</f>
        <v>2.7089999999999999E-2</v>
      </c>
    </row>
    <row r="37" spans="1:7">
      <c r="A37" s="56"/>
      <c r="B37" s="35" t="s">
        <v>99</v>
      </c>
      <c r="C37" s="46"/>
      <c r="D37" s="43">
        <f>100%-D35</f>
        <v>0.49019999999999997</v>
      </c>
      <c r="E37" s="47">
        <v>9.5000000000000001E-2</v>
      </c>
      <c r="F37" s="43">
        <f>ROUND(D37*E37,4)</f>
        <v>4.6600000000000003E-2</v>
      </c>
      <c r="G37" s="41"/>
    </row>
    <row r="38" spans="1:7">
      <c r="A38" s="56"/>
      <c r="B38" s="35"/>
      <c r="C38" s="46"/>
      <c r="D38" s="48"/>
      <c r="E38" s="44"/>
      <c r="F38" s="43"/>
      <c r="G38" s="37"/>
    </row>
    <row r="39" spans="1:7" ht="15" thickBot="1">
      <c r="A39" s="56"/>
      <c r="B39" s="35" t="s">
        <v>73</v>
      </c>
      <c r="C39" s="42"/>
      <c r="D39" s="49">
        <f>SUM(D35:D37)</f>
        <v>1</v>
      </c>
      <c r="E39" s="44"/>
      <c r="F39" s="49">
        <f>SUM(F35:F37)</f>
        <v>7.3690000000000005E-2</v>
      </c>
      <c r="G39" s="37"/>
    </row>
    <row r="40" spans="1:7" ht="15.6" thickTop="1" thickBot="1">
      <c r="A40" s="58"/>
      <c r="B40" s="59"/>
      <c r="C40" s="60"/>
      <c r="D40" s="61"/>
      <c r="E40" s="62"/>
      <c r="F40" s="61"/>
      <c r="G40" s="63"/>
    </row>
  </sheetData>
  <mergeCells count="4">
    <mergeCell ref="A26:G26"/>
    <mergeCell ref="A27:G27"/>
    <mergeCell ref="A28:G28"/>
    <mergeCell ref="A29:G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12" workbookViewId="0">
      <selection activeCell="AB18" sqref="AB18"/>
    </sheetView>
  </sheetViews>
  <sheetFormatPr defaultRowHeight="14.4"/>
  <cols>
    <col min="1" max="1" width="7.88671875" customWidth="1"/>
    <col min="2" max="2" width="16.88671875" customWidth="1"/>
    <col min="3" max="3" width="13.21875" bestFit="1" customWidth="1"/>
    <col min="4" max="4" width="14.5546875" customWidth="1"/>
    <col min="5" max="5" width="9.5546875" customWidth="1"/>
    <col min="6" max="6" width="12.88671875" customWidth="1"/>
    <col min="7" max="7" width="11.88671875" customWidth="1"/>
    <col min="8" max="8" width="2.77734375" customWidth="1"/>
  </cols>
  <sheetData>
    <row r="1" spans="1:15">
      <c r="A1" t="s">
        <v>35</v>
      </c>
    </row>
    <row r="2" spans="1:15">
      <c r="A2" t="s">
        <v>49</v>
      </c>
    </row>
    <row r="3" spans="1:15">
      <c r="A3" t="s">
        <v>76</v>
      </c>
    </row>
    <row r="6" spans="1:15">
      <c r="A6" t="s">
        <v>74</v>
      </c>
    </row>
    <row r="8" spans="1:15">
      <c r="A8" s="18" t="s">
        <v>42</v>
      </c>
      <c r="B8" t="s">
        <v>43</v>
      </c>
    </row>
    <row r="9" spans="1:15" ht="27.6" customHeight="1">
      <c r="A9" s="87" t="s">
        <v>56</v>
      </c>
      <c r="B9" s="87"/>
      <c r="C9" s="87"/>
      <c r="D9" s="87"/>
      <c r="E9" s="87"/>
      <c r="F9" s="87"/>
      <c r="G9" s="87"/>
      <c r="H9" s="87"/>
    </row>
    <row r="10" spans="1:15" ht="14.4" customHeight="1">
      <c r="A10" s="16"/>
      <c r="B10" s="16"/>
      <c r="C10" s="16"/>
      <c r="D10" s="16"/>
      <c r="E10" s="16"/>
      <c r="F10" s="16"/>
      <c r="G10" s="16"/>
      <c r="H10" s="16"/>
    </row>
    <row r="11" spans="1:15" ht="15" customHeight="1">
      <c r="A11" s="18" t="s">
        <v>44</v>
      </c>
      <c r="B11" s="19" t="s">
        <v>45</v>
      </c>
      <c r="C11" s="16"/>
      <c r="D11" s="16"/>
      <c r="E11" s="16"/>
      <c r="F11" s="16"/>
      <c r="G11" s="16"/>
      <c r="H11" s="16"/>
    </row>
    <row r="12" spans="1:15" ht="28.2" customHeight="1">
      <c r="A12" s="87" t="s">
        <v>46</v>
      </c>
      <c r="B12" s="87"/>
      <c r="C12" s="87"/>
      <c r="D12" s="87"/>
      <c r="E12" s="87"/>
      <c r="F12" s="87"/>
      <c r="G12" s="87"/>
      <c r="H12" s="87"/>
      <c r="O12" s="31"/>
    </row>
    <row r="13" spans="1:15" ht="21.6" customHeight="1">
      <c r="B13" s="13" t="s">
        <v>55</v>
      </c>
      <c r="C13" s="13"/>
      <c r="D13" s="13" t="s">
        <v>39</v>
      </c>
      <c r="E13" s="13"/>
      <c r="F13" s="13" t="s">
        <v>40</v>
      </c>
    </row>
    <row r="14" spans="1:15">
      <c r="B14" t="s">
        <v>36</v>
      </c>
      <c r="C14" s="13"/>
      <c r="D14" s="10">
        <v>-2345550</v>
      </c>
      <c r="E14" s="13"/>
      <c r="F14" s="10">
        <v>-2767455</v>
      </c>
    </row>
    <row r="15" spans="1:15">
      <c r="D15" s="3"/>
    </row>
    <row r="16" spans="1:15">
      <c r="A16" s="18" t="s">
        <v>48</v>
      </c>
      <c r="B16" t="s">
        <v>47</v>
      </c>
      <c r="D16" s="3"/>
    </row>
    <row r="17" spans="1:8" ht="61.8" customHeight="1">
      <c r="A17" s="88" t="s">
        <v>77</v>
      </c>
      <c r="B17" s="88"/>
      <c r="C17" s="88"/>
      <c r="D17" s="88"/>
      <c r="E17" s="88"/>
      <c r="F17" s="88"/>
      <c r="G17" s="88"/>
      <c r="H17" s="88"/>
    </row>
    <row r="18" spans="1:8" ht="7.2" customHeight="1"/>
    <row r="19" spans="1:8" ht="28.8" customHeight="1">
      <c r="A19" s="87" t="s">
        <v>41</v>
      </c>
      <c r="B19" s="87"/>
      <c r="C19" s="87"/>
      <c r="D19" s="87"/>
      <c r="E19" s="87"/>
      <c r="F19" s="87"/>
      <c r="G19" s="87"/>
      <c r="H19" s="87"/>
    </row>
    <row r="21" spans="1:8">
      <c r="A21" s="18" t="s">
        <v>78</v>
      </c>
      <c r="B21" t="s">
        <v>79</v>
      </c>
    </row>
    <row r="22" spans="1:8" ht="45.6" customHeight="1">
      <c r="A22" s="87" t="s">
        <v>80</v>
      </c>
      <c r="B22" s="87"/>
      <c r="C22" s="87"/>
      <c r="D22" s="87"/>
      <c r="E22" s="87"/>
      <c r="F22" s="87"/>
      <c r="G22" s="87"/>
      <c r="H22" s="87"/>
    </row>
    <row r="23" spans="1:8">
      <c r="B23" s="30" t="s">
        <v>79</v>
      </c>
      <c r="C23" s="30"/>
      <c r="D23" s="30" t="s">
        <v>39</v>
      </c>
      <c r="E23" s="30"/>
      <c r="F23" s="30" t="s">
        <v>40</v>
      </c>
    </row>
    <row r="24" spans="1:8">
      <c r="B24" s="30"/>
      <c r="C24" s="30"/>
      <c r="D24" s="30" t="s">
        <v>89</v>
      </c>
      <c r="E24" s="30"/>
      <c r="F24" s="30" t="s">
        <v>89</v>
      </c>
    </row>
    <row r="25" spans="1:8">
      <c r="B25" t="s">
        <v>81</v>
      </c>
      <c r="C25" s="30"/>
      <c r="D25" s="10">
        <v>1442726</v>
      </c>
      <c r="E25" s="30"/>
      <c r="F25" s="10">
        <v>286597</v>
      </c>
    </row>
    <row r="26" spans="1:8">
      <c r="B26" t="s">
        <v>82</v>
      </c>
      <c r="D26" s="22">
        <f>1-0.485</f>
        <v>0.51500000000000001</v>
      </c>
      <c r="F26" s="22">
        <f>1-0.485</f>
        <v>0.51500000000000001</v>
      </c>
    </row>
    <row r="27" spans="1:8">
      <c r="B27" t="s">
        <v>83</v>
      </c>
      <c r="D27" s="33">
        <v>5.314E-2</v>
      </c>
      <c r="F27" s="33">
        <v>5.314E-2</v>
      </c>
    </row>
    <row r="28" spans="1:8">
      <c r="B28" t="s">
        <v>84</v>
      </c>
      <c r="D28" s="14">
        <f>D25*D26*D27</f>
        <v>39483.226714600001</v>
      </c>
      <c r="F28" s="14">
        <f>F25*F26*F27</f>
        <v>7843.3287587000004</v>
      </c>
    </row>
    <row r="29" spans="1:8">
      <c r="B29" t="s">
        <v>85</v>
      </c>
      <c r="D29" s="14">
        <v>39083</v>
      </c>
      <c r="F29" s="14">
        <v>7764</v>
      </c>
    </row>
    <row r="30" spans="1:8">
      <c r="B30" t="s">
        <v>86</v>
      </c>
      <c r="D30" s="14">
        <f>D28-D29</f>
        <v>400.22671460000129</v>
      </c>
      <c r="F30" s="14">
        <f>F28-F29</f>
        <v>79.328758700000435</v>
      </c>
    </row>
    <row r="31" spans="1:8">
      <c r="B31" t="s">
        <v>87</v>
      </c>
      <c r="D31" s="34">
        <v>-0.35</v>
      </c>
      <c r="E31" s="30"/>
      <c r="F31" s="34">
        <v>-0.35</v>
      </c>
    </row>
    <row r="32" spans="1:8">
      <c r="B32" t="s">
        <v>88</v>
      </c>
      <c r="D32" s="11">
        <f>D30*D31</f>
        <v>-140.07935011000043</v>
      </c>
      <c r="F32" s="11">
        <f>F30*F31</f>
        <v>-27.765065545000152</v>
      </c>
    </row>
    <row r="34" spans="1:8">
      <c r="A34" s="19">
        <v>3.04</v>
      </c>
      <c r="B34" t="s">
        <v>138</v>
      </c>
    </row>
    <row r="35" spans="1:8" ht="30" customHeight="1">
      <c r="A35" s="86" t="s">
        <v>139</v>
      </c>
      <c r="B35" s="86"/>
      <c r="C35" s="86"/>
      <c r="D35" s="86"/>
      <c r="E35" s="86"/>
      <c r="F35" s="86"/>
      <c r="G35" s="86"/>
      <c r="H35" s="86"/>
    </row>
    <row r="36" spans="1:8">
      <c r="D36" s="76" t="s">
        <v>39</v>
      </c>
      <c r="E36" s="76"/>
      <c r="F36" s="76" t="s">
        <v>40</v>
      </c>
    </row>
    <row r="37" spans="1:8">
      <c r="D37" s="76" t="s">
        <v>89</v>
      </c>
      <c r="E37" s="76"/>
      <c r="F37" s="76" t="s">
        <v>89</v>
      </c>
    </row>
    <row r="39" spans="1:8">
      <c r="B39" t="s">
        <v>140</v>
      </c>
      <c r="D39" s="10">
        <v>-204</v>
      </c>
      <c r="F39" s="10">
        <v>204</v>
      </c>
    </row>
  </sheetData>
  <mergeCells count="6">
    <mergeCell ref="A35:H35"/>
    <mergeCell ref="A22:H22"/>
    <mergeCell ref="A17:H17"/>
    <mergeCell ref="A9:H9"/>
    <mergeCell ref="A19:H19"/>
    <mergeCell ref="A12:H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4"/>
  <sheetViews>
    <sheetView tabSelected="1" topLeftCell="A3" zoomScaleNormal="100" workbookViewId="0">
      <selection activeCell="J24" sqref="J24"/>
    </sheetView>
  </sheetViews>
  <sheetFormatPr defaultRowHeight="14.4" outlineLevelRow="1"/>
  <cols>
    <col min="1" max="1" width="21.77734375" customWidth="1"/>
    <col min="3" max="3" width="16.5546875" customWidth="1"/>
    <col min="5" max="5" width="15.6640625" customWidth="1"/>
    <col min="8" max="8" width="20.44140625" customWidth="1"/>
    <col min="9" max="9" width="19" customWidth="1"/>
    <col min="10" max="10" width="16.6640625" customWidth="1"/>
    <col min="11" max="11" width="14.77734375" customWidth="1"/>
    <col min="12" max="12" width="12.77734375" customWidth="1"/>
    <col min="14" max="14" width="22.109375" customWidth="1"/>
    <col min="15" max="15" width="18.5546875" customWidth="1"/>
    <col min="16" max="16" width="18.6640625" customWidth="1"/>
    <col min="17" max="17" width="13.88671875" customWidth="1"/>
    <col min="18" max="18" width="13.21875" customWidth="1"/>
  </cols>
  <sheetData>
    <row r="1" spans="1:6">
      <c r="A1" s="90" t="s">
        <v>57</v>
      </c>
      <c r="B1" s="90"/>
      <c r="C1" s="90"/>
      <c r="D1" s="90"/>
      <c r="E1" s="90"/>
      <c r="F1" s="90"/>
    </row>
    <row r="2" spans="1:6">
      <c r="A2" s="90" t="s">
        <v>75</v>
      </c>
      <c r="B2" s="90"/>
      <c r="C2" s="90"/>
      <c r="D2" s="90"/>
      <c r="E2" s="90"/>
      <c r="F2" s="90"/>
    </row>
    <row r="3" spans="1:6">
      <c r="A3" s="74"/>
      <c r="B3" s="74"/>
      <c r="C3" s="74" t="s">
        <v>136</v>
      </c>
      <c r="D3" s="74"/>
      <c r="E3" s="74"/>
      <c r="F3" s="74"/>
    </row>
    <row r="4" spans="1:6">
      <c r="A4" s="90" t="s">
        <v>123</v>
      </c>
      <c r="B4" s="90"/>
      <c r="C4" s="90"/>
      <c r="D4" s="90"/>
      <c r="E4" s="90"/>
      <c r="F4" s="90"/>
    </row>
    <row r="6" spans="1:6">
      <c r="A6" s="1" t="s">
        <v>124</v>
      </c>
    </row>
    <row r="8" spans="1:6">
      <c r="C8" s="13" t="s">
        <v>39</v>
      </c>
      <c r="D8" s="13"/>
      <c r="E8" s="13" t="s">
        <v>40</v>
      </c>
      <c r="F8" s="13"/>
    </row>
    <row r="10" spans="1:6">
      <c r="A10" t="s">
        <v>58</v>
      </c>
      <c r="C10" s="21">
        <v>1442726000</v>
      </c>
      <c r="E10" s="21">
        <v>286597000</v>
      </c>
      <c r="F10" s="21"/>
    </row>
    <row r="12" spans="1:6">
      <c r="A12" t="s">
        <v>59</v>
      </c>
      <c r="C12" s="21">
        <v>108405000</v>
      </c>
      <c r="E12" s="21">
        <v>24523000</v>
      </c>
      <c r="F12" s="21"/>
    </row>
    <row r="13" spans="1:6">
      <c r="C13" s="21"/>
    </row>
    <row r="14" spans="1:6">
      <c r="A14" t="s">
        <v>60</v>
      </c>
      <c r="C14" s="22">
        <f>C12/C10</f>
        <v>7.5139007684064743E-2</v>
      </c>
      <c r="E14" s="22">
        <f>E12/E10</f>
        <v>8.5566143399965808E-2</v>
      </c>
      <c r="F14" s="22"/>
    </row>
    <row r="15" spans="1:6">
      <c r="A15" t="s">
        <v>61</v>
      </c>
      <c r="C15" s="22">
        <f>0.0732*10/365+0.0729*355/365</f>
        <v>7.2908219178082212E-2</v>
      </c>
      <c r="E15" s="22">
        <f>0.0732*10/365+0.0729*355/365</f>
        <v>7.2908219178082212E-2</v>
      </c>
      <c r="F15" s="22"/>
    </row>
    <row r="16" spans="1:6">
      <c r="A16" t="s">
        <v>62</v>
      </c>
      <c r="C16" s="23">
        <f>C14-C15</f>
        <v>2.2307885059825311E-3</v>
      </c>
      <c r="E16" s="23">
        <f>E14-E15</f>
        <v>1.2657924221883596E-2</v>
      </c>
      <c r="F16" s="23"/>
    </row>
    <row r="18" spans="1:8">
      <c r="A18" t="s">
        <v>63</v>
      </c>
      <c r="C18" s="21">
        <f>IF(C16&gt;0,C10*C16,0)</f>
        <v>3218416.5780821531</v>
      </c>
      <c r="E18" s="21">
        <f>IF(E16&gt;0,E10*E16,0)</f>
        <v>3627723.1082191728</v>
      </c>
      <c r="F18" s="21"/>
    </row>
    <row r="19" spans="1:8">
      <c r="A19" t="s">
        <v>64</v>
      </c>
      <c r="C19" s="70">
        <v>0.65</v>
      </c>
      <c r="E19" s="70">
        <v>0.65</v>
      </c>
      <c r="F19" s="24"/>
    </row>
    <row r="20" spans="1:8">
      <c r="A20" t="s">
        <v>65</v>
      </c>
      <c r="C20" s="21">
        <f>C18/C19</f>
        <v>4951410.120126389</v>
      </c>
      <c r="E20" s="21">
        <f>E18/E19</f>
        <v>5581112.4741833424</v>
      </c>
      <c r="F20" s="21"/>
      <c r="G20" s="21"/>
    </row>
    <row r="21" spans="1:8" ht="15" thickBot="1">
      <c r="A21" t="s">
        <v>66</v>
      </c>
      <c r="C21" s="26">
        <v>0.5</v>
      </c>
      <c r="E21" s="26">
        <v>0.5</v>
      </c>
      <c r="F21" s="26"/>
    </row>
    <row r="22" spans="1:8" ht="15.6" thickTop="1" thickBot="1">
      <c r="A22" t="s">
        <v>125</v>
      </c>
      <c r="C22" s="27">
        <f>C20*C21</f>
        <v>2475705.0600631945</v>
      </c>
      <c r="E22" s="27">
        <f>E20*E21</f>
        <v>2790556.2370916712</v>
      </c>
      <c r="F22" s="28"/>
    </row>
    <row r="23" spans="1:8" ht="15" thickTop="1">
      <c r="A23" t="s">
        <v>127</v>
      </c>
      <c r="C23" s="3">
        <v>2345550</v>
      </c>
      <c r="D23" s="3"/>
      <c r="E23" s="3">
        <v>2767455</v>
      </c>
    </row>
    <row r="24" spans="1:8">
      <c r="A24" s="1" t="s">
        <v>137</v>
      </c>
      <c r="C24" s="75">
        <f>C22-C23</f>
        <v>130155.06006319448</v>
      </c>
      <c r="D24" s="1"/>
      <c r="E24" s="75">
        <f>E22-E23</f>
        <v>23101.23709167121</v>
      </c>
    </row>
    <row r="25" spans="1:8">
      <c r="C25" s="21"/>
      <c r="E25" s="21"/>
    </row>
    <row r="26" spans="1:8" hidden="1" outlineLevel="1">
      <c r="A26" s="89" t="s">
        <v>126</v>
      </c>
      <c r="B26" s="89"/>
      <c r="C26" s="89"/>
      <c r="D26" s="89"/>
      <c r="E26" s="89"/>
      <c r="F26" s="89"/>
    </row>
    <row r="27" spans="1:8" hidden="1" outlineLevel="1"/>
    <row r="28" spans="1:8" hidden="1" outlineLevel="1">
      <c r="A28" t="s">
        <v>67</v>
      </c>
      <c r="C28" s="72">
        <v>221982</v>
      </c>
      <c r="D28" s="22">
        <f>C28/C32</f>
        <v>0.50638738582547838</v>
      </c>
      <c r="E28" s="72">
        <v>110228.829</v>
      </c>
      <c r="F28" s="22">
        <f>E28/E32</f>
        <v>0.75979102774521901</v>
      </c>
      <c r="G28" t="s">
        <v>128</v>
      </c>
    </row>
    <row r="29" spans="1:8" hidden="1" outlineLevel="1">
      <c r="C29" s="2"/>
      <c r="E29" s="2"/>
      <c r="G29" s="22" t="s">
        <v>135</v>
      </c>
    </row>
    <row r="30" spans="1:8" hidden="1" outlineLevel="1">
      <c r="A30" t="s">
        <v>68</v>
      </c>
      <c r="C30" s="72">
        <f>75758+129514+11110</f>
        <v>216382</v>
      </c>
      <c r="D30" s="22">
        <f>C30/C32</f>
        <v>0.49361261417452162</v>
      </c>
      <c r="E30" s="72">
        <v>34848.995000000003</v>
      </c>
      <c r="F30" s="22">
        <f>E30/E32</f>
        <v>0.24020897225478102</v>
      </c>
      <c r="G30" s="73">
        <v>42917</v>
      </c>
      <c r="H30" s="71" t="s">
        <v>129</v>
      </c>
    </row>
    <row r="31" spans="1:8" hidden="1" outlineLevel="1">
      <c r="G31" s="22" t="s">
        <v>131</v>
      </c>
      <c r="H31" s="71" t="s">
        <v>130</v>
      </c>
    </row>
    <row r="32" spans="1:8" hidden="1" outlineLevel="1">
      <c r="A32" t="s">
        <v>69</v>
      </c>
      <c r="C32" s="21">
        <f>C28+C30</f>
        <v>438364</v>
      </c>
      <c r="D32" s="23">
        <f>D28+D30</f>
        <v>1</v>
      </c>
      <c r="E32" s="21">
        <f>E28+E30</f>
        <v>145077.82399999999</v>
      </c>
      <c r="F32" s="23">
        <f>F28+F30</f>
        <v>1</v>
      </c>
      <c r="G32" s="23" t="s">
        <v>133</v>
      </c>
      <c r="H32" s="71" t="s">
        <v>134</v>
      </c>
    </row>
    <row r="33" spans="1:8" hidden="1" outlineLevel="1"/>
    <row r="34" spans="1:8" hidden="1" outlineLevel="1">
      <c r="A34" s="1" t="s">
        <v>70</v>
      </c>
      <c r="G34" s="73">
        <v>42887</v>
      </c>
      <c r="H34" s="71" t="s">
        <v>132</v>
      </c>
    </row>
    <row r="35" spans="1:8" hidden="1" outlineLevel="1">
      <c r="A35" t="s">
        <v>71</v>
      </c>
      <c r="C35" s="21">
        <f>C22*D28</f>
        <v>1253665.8134403101</v>
      </c>
      <c r="E35" s="21">
        <f>E22*F28</f>
        <v>2120239.591360712</v>
      </c>
    </row>
    <row r="36" spans="1:8" hidden="1" outlineLevel="1">
      <c r="A36" t="s">
        <v>72</v>
      </c>
      <c r="C36" s="21">
        <f>C22*D30</f>
        <v>1222039.2466228844</v>
      </c>
      <c r="E36" s="21">
        <f>E22*F30</f>
        <v>670316.64573095937</v>
      </c>
    </row>
    <row r="37" spans="1:8" hidden="1" outlineLevel="1">
      <c r="A37" t="s">
        <v>73</v>
      </c>
      <c r="C37" s="25">
        <f>SUM(C35:C36)</f>
        <v>2475705.0600631945</v>
      </c>
      <c r="E37" s="25">
        <f>SUM(E35:E36)</f>
        <v>2790556.2370916712</v>
      </c>
    </row>
    <row r="38" spans="1:8" collapsed="1"/>
    <row r="39" spans="1:8">
      <c r="A39" s="1"/>
    </row>
    <row r="41" spans="1:8">
      <c r="C41" s="3"/>
      <c r="E41" s="3"/>
    </row>
    <row r="42" spans="1:8">
      <c r="C42" s="3"/>
      <c r="E42" s="3"/>
    </row>
    <row r="45" spans="1:8">
      <c r="C45" s="29"/>
      <c r="E45" s="29"/>
    </row>
    <row r="46" spans="1:8">
      <c r="C46" s="29"/>
      <c r="E46" s="29"/>
    </row>
    <row r="49" spans="3:5">
      <c r="C49" s="29"/>
      <c r="E49" s="29"/>
    </row>
    <row r="50" spans="3:5" ht="9" customHeight="1">
      <c r="C50" s="29"/>
      <c r="E50" s="29"/>
    </row>
    <row r="52" spans="3:5" ht="14.4" customHeight="1"/>
    <row r="53" spans="3:5">
      <c r="C53" s="29"/>
      <c r="E53" s="29"/>
    </row>
    <row r="54" spans="3:5">
      <c r="C54" s="29"/>
      <c r="E54" s="29"/>
    </row>
  </sheetData>
  <mergeCells count="4">
    <mergeCell ref="A26:F26"/>
    <mergeCell ref="A1:F1"/>
    <mergeCell ref="A2:F2"/>
    <mergeCell ref="A4:F4"/>
  </mergeCell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CBB5A9A69531142BCCD0B22C95C28DD" ma:contentTypeVersion="104" ma:contentTypeDescription="" ma:contentTypeScope="" ma:versionID="da4b190d905f5282aadc003635d8f98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2017-08-31T07:00:00+00:00</OpenedDate>
    <Date1 xmlns="dc463f71-b30c-4ab2-9473-d307f9d35888">2017-08-31T07:00:00+00:00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170942</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E15AF86F-370F-4B74-8A95-1AA1FBC4F66F}"/>
</file>

<file path=customXml/itemProps2.xml><?xml version="1.0" encoding="utf-8"?>
<ds:datastoreItem xmlns:ds="http://schemas.openxmlformats.org/officeDocument/2006/customXml" ds:itemID="{93864F55-AD1E-4BBB-B8BB-5EDBD1B4E0B3}"/>
</file>

<file path=customXml/itemProps3.xml><?xml version="1.0" encoding="utf-8"?>
<ds:datastoreItem xmlns:ds="http://schemas.openxmlformats.org/officeDocument/2006/customXml" ds:itemID="{1015C63C-E0AD-4FAA-912B-408269A947AF}"/>
</file>

<file path=customXml/itemProps4.xml><?xml version="1.0" encoding="utf-8"?>
<ds:datastoreItem xmlns:ds="http://schemas.openxmlformats.org/officeDocument/2006/customXml" ds:itemID="{E83B81BD-3F4D-4D02-81B8-26FB2A7553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Power Supply Normalization</vt:lpstr>
      <vt:lpstr>Capital Structure</vt:lpstr>
      <vt:lpstr>Earnings Test Differences</vt:lpstr>
      <vt:lpstr>Earnings Test Calculation</vt:lpstr>
      <vt:lpstr>'Earnings Test Calculation'!Print_Area</vt:lpstr>
      <vt:lpstr>'Power Supply Normalization'!Print_Area</vt:lpstr>
      <vt:lpstr>'Power Supply Normalization'!Print_Titles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2017-07-27T18:53:56Z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0x0101006E56B4D1795A2E4DB2F0B01679ED314A00BCBB5A9A69531142BCCD0B22C95C28DD</vt:lpwstr>
  </property>
  <property fmtid="{D5CDD505-2E9C-101B-9397-08002B2CF9AE}" pid="3" name="_docset_NoMedatataSyncRequired">
    <vt:lpwstr>False</vt:lpwstr>
  </property>
  <property fmtid="{D5CDD505-2E9C-101B-9397-08002B2CF9AE}" pid="4" name="IsEFSEC">
    <vt:bool>false</vt:bool>
  </property>
</Properties>
</file>