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xl/externalLinks/externalLink7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80" windowWidth="15180" windowHeight="7695"/>
  </bookViews>
  <sheets>
    <sheet name="Attachment A" sheetId="17" r:id="rId1"/>
    <sheet name="Attachment B" sheetId="14" r:id="rId2"/>
    <sheet name="Attachment C" sheetId="3" r:id="rId3"/>
    <sheet name="Attachment D" sheetId="12" r:id="rId4"/>
    <sheet name="305 Inputs" sheetId="20" r:id="rId5"/>
    <sheet name="Billing Comp Schedule 40" sheetId="4" r:id="rId6"/>
    <sheet name="Table A rate case" sheetId="1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0" localSheetId="4">[1]Jan!#REF!</definedName>
    <definedName name="\0" localSheetId="0">[1]Jan!#REF!</definedName>
    <definedName name="\0" localSheetId="1">[1]Jan!#REF!</definedName>
    <definedName name="\0" localSheetId="3">[1]Jan!#REF!</definedName>
    <definedName name="\0" localSheetId="6">[1]Jan!#REF!</definedName>
    <definedName name="\0">[1]Jan!#REF!</definedName>
    <definedName name="\A" localSheetId="4">#REF!</definedName>
    <definedName name="\A" localSheetId="1">#REF!</definedName>
    <definedName name="\A" localSheetId="3">#REF!</definedName>
    <definedName name="\A" localSheetId="6">#REF!</definedName>
    <definedName name="\A">#REF!</definedName>
    <definedName name="\B" localSheetId="4">#REF!</definedName>
    <definedName name="\B" localSheetId="1">#REF!</definedName>
    <definedName name="\B" localSheetId="3">#REF!</definedName>
    <definedName name="\B" localSheetId="6">#REF!</definedName>
    <definedName name="\B">#REF!</definedName>
    <definedName name="\BACK1" localSheetId="4">#REF!</definedName>
    <definedName name="\BACK1" localSheetId="0">#REF!</definedName>
    <definedName name="\BACK1" localSheetId="1">#REF!</definedName>
    <definedName name="\BACK1" localSheetId="3">#REF!</definedName>
    <definedName name="\BACK1" localSheetId="6">#REF!</definedName>
    <definedName name="\BACK1">#REF!</definedName>
    <definedName name="\BLOCK" localSheetId="4">#REF!</definedName>
    <definedName name="\BLOCK" localSheetId="0">#REF!</definedName>
    <definedName name="\BLOCK" localSheetId="1">#REF!</definedName>
    <definedName name="\BLOCK" localSheetId="3">#REF!</definedName>
    <definedName name="\BLOCK" localSheetId="6">#REF!</definedName>
    <definedName name="\BLOCK">#REF!</definedName>
    <definedName name="\BLOCKT" localSheetId="4">#REF!</definedName>
    <definedName name="\BLOCKT" localSheetId="0">#REF!</definedName>
    <definedName name="\BLOCKT" localSheetId="1">#REF!</definedName>
    <definedName name="\BLOCKT" localSheetId="3">#REF!</definedName>
    <definedName name="\BLOCKT" localSheetId="6">#REF!</definedName>
    <definedName name="\BLOCKT">#REF!</definedName>
    <definedName name="\C" localSheetId="4">#REF!</definedName>
    <definedName name="\C" localSheetId="1">#REF!</definedName>
    <definedName name="\C" localSheetId="3">#REF!</definedName>
    <definedName name="\C" localSheetId="6">#REF!</definedName>
    <definedName name="\C">#REF!</definedName>
    <definedName name="\COMP" localSheetId="4">#REF!</definedName>
    <definedName name="\COMP" localSheetId="1">#REF!</definedName>
    <definedName name="\COMP" localSheetId="3">#REF!</definedName>
    <definedName name="\COMP" localSheetId="6">#REF!</definedName>
    <definedName name="\COMP">#REF!</definedName>
    <definedName name="\COMPT" localSheetId="4">#REF!</definedName>
    <definedName name="\COMPT" localSheetId="1">#REF!</definedName>
    <definedName name="\COMPT" localSheetId="3">#REF!</definedName>
    <definedName name="\COMPT" localSheetId="6">#REF!</definedName>
    <definedName name="\COMPT">#REF!</definedName>
    <definedName name="\G" localSheetId="4">#REF!</definedName>
    <definedName name="\G" localSheetId="1">#REF!</definedName>
    <definedName name="\G" localSheetId="3">#REF!</definedName>
    <definedName name="\G" localSheetId="6">#REF!</definedName>
    <definedName name="\G">#REF!</definedName>
    <definedName name="\I" localSheetId="4">#REF!</definedName>
    <definedName name="\I" localSheetId="1">#REF!</definedName>
    <definedName name="\I" localSheetId="3">#REF!</definedName>
    <definedName name="\I" localSheetId="6">#REF!</definedName>
    <definedName name="\I">#REF!</definedName>
    <definedName name="\K" localSheetId="4">#REF!</definedName>
    <definedName name="\K" localSheetId="1">#REF!</definedName>
    <definedName name="\K" localSheetId="3">#REF!</definedName>
    <definedName name="\K" localSheetId="6">#REF!</definedName>
    <definedName name="\K">#REF!</definedName>
    <definedName name="\L" localSheetId="4">#REF!</definedName>
    <definedName name="\L" localSheetId="1">#REF!</definedName>
    <definedName name="\L" localSheetId="3">#REF!</definedName>
    <definedName name="\L" localSheetId="6">#REF!</definedName>
    <definedName name="\L">#REF!</definedName>
    <definedName name="\M" localSheetId="4">#REF!</definedName>
    <definedName name="\M" localSheetId="0">[1]Jan!#REF!</definedName>
    <definedName name="\M" localSheetId="1">[1]Jan!#REF!</definedName>
    <definedName name="\M" localSheetId="3">#REF!</definedName>
    <definedName name="\M" localSheetId="6">#REF!</definedName>
    <definedName name="\M">#REF!</definedName>
    <definedName name="\P" localSheetId="4">#REF!</definedName>
    <definedName name="\P" localSheetId="1">#REF!</definedName>
    <definedName name="\P" localSheetId="3">#REF!</definedName>
    <definedName name="\P" localSheetId="6">#REF!</definedName>
    <definedName name="\P">#REF!</definedName>
    <definedName name="\Q" localSheetId="4">[2]Actual!#REF!</definedName>
    <definedName name="\Q" localSheetId="1">[2]Actual!#REF!</definedName>
    <definedName name="\Q" localSheetId="3">[2]Actual!#REF!</definedName>
    <definedName name="\Q" localSheetId="6">[2]Actual!#REF!</definedName>
    <definedName name="\Q">[3]Actual!#REF!</definedName>
    <definedName name="\R" localSheetId="4">#REF!</definedName>
    <definedName name="\R" localSheetId="1">#REF!</definedName>
    <definedName name="\R" localSheetId="3">#REF!</definedName>
    <definedName name="\R" localSheetId="6">#REF!</definedName>
    <definedName name="\R">#REF!</definedName>
    <definedName name="\S" localSheetId="4">#REF!</definedName>
    <definedName name="\S" localSheetId="1">#REF!</definedName>
    <definedName name="\S" localSheetId="3">#REF!</definedName>
    <definedName name="\S" localSheetId="6">#REF!</definedName>
    <definedName name="\S">#REF!</definedName>
    <definedName name="\TABLE1" localSheetId="4">#REF!</definedName>
    <definedName name="\TABLE1" localSheetId="1">#REF!</definedName>
    <definedName name="\TABLE1" localSheetId="3">#REF!</definedName>
    <definedName name="\TABLE1" localSheetId="6">#REF!</definedName>
    <definedName name="\TABLE1">#REF!</definedName>
    <definedName name="\TABLE2" localSheetId="4">#REF!</definedName>
    <definedName name="\TABLE2" localSheetId="1">#REF!</definedName>
    <definedName name="\TABLE2" localSheetId="3">#REF!</definedName>
    <definedName name="\TABLE2" localSheetId="6">#REF!</definedName>
    <definedName name="\TABLE2">#REF!</definedName>
    <definedName name="\TABLEA" localSheetId="4">#REF!</definedName>
    <definedName name="\TABLEA" localSheetId="1">#REF!</definedName>
    <definedName name="\TABLEA" localSheetId="3">#REF!</definedName>
    <definedName name="\TABLEA" localSheetId="6">#REF!</definedName>
    <definedName name="\TABLEA">#REF!</definedName>
    <definedName name="\TBL1">#REF!</definedName>
    <definedName name="\TBL2" localSheetId="4">#REF!</definedName>
    <definedName name="\TBL2" localSheetId="1">#REF!</definedName>
    <definedName name="\TBL2" localSheetId="3">#REF!</definedName>
    <definedName name="\TBL2" localSheetId="6">#REF!</definedName>
    <definedName name="\TBL2">#REF!</definedName>
    <definedName name="\TBL3" localSheetId="4">#REF!</definedName>
    <definedName name="\TBL3" localSheetId="1">#REF!</definedName>
    <definedName name="\TBL3" localSheetId="3">#REF!</definedName>
    <definedName name="\TBL3" localSheetId="6">#REF!</definedName>
    <definedName name="\TBL3">#REF!</definedName>
    <definedName name="\TBL4" localSheetId="4">#REF!</definedName>
    <definedName name="\TBL4" localSheetId="1">#REF!</definedName>
    <definedName name="\TBL4" localSheetId="3">#REF!</definedName>
    <definedName name="\TBL4" localSheetId="6">#REF!</definedName>
    <definedName name="\TBL4">#REF!</definedName>
    <definedName name="\TBL5" localSheetId="4">#REF!</definedName>
    <definedName name="\TBL5" localSheetId="1">#REF!</definedName>
    <definedName name="\TBL5" localSheetId="3">#REF!</definedName>
    <definedName name="\TBL5" localSheetId="6">#REF!</definedName>
    <definedName name="\TBL5">#REF!</definedName>
    <definedName name="\W" localSheetId="4">#REF!</definedName>
    <definedName name="\W" localSheetId="1">#REF!</definedName>
    <definedName name="\W" localSheetId="3">#REF!</definedName>
    <definedName name="\W" localSheetId="6">#REF!</definedName>
    <definedName name="\W">#REF!</definedName>
    <definedName name="\WORK1" localSheetId="4">#REF!</definedName>
    <definedName name="\WORK1" localSheetId="1">#REF!</definedName>
    <definedName name="\WORK1" localSheetId="3">#REF!</definedName>
    <definedName name="\WORK1" localSheetId="6">#REF!</definedName>
    <definedName name="\WORK1">#REF!</definedName>
    <definedName name="\X" localSheetId="4">#REF!</definedName>
    <definedName name="\X" localSheetId="1">#REF!</definedName>
    <definedName name="\X" localSheetId="3">#REF!</definedName>
    <definedName name="\X" localSheetId="6">#REF!</definedName>
    <definedName name="\X">#REF!</definedName>
    <definedName name="\Z" localSheetId="4">#REF!</definedName>
    <definedName name="\Z" localSheetId="0">#REF!</definedName>
    <definedName name="\Z" localSheetId="1">#REF!</definedName>
    <definedName name="\Z" localSheetId="3">#REF!</definedName>
    <definedName name="\Z" localSheetId="6">#REF!</definedName>
    <definedName name="\Z">#REF!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4" hidden="1">[4]Inputs!#REF!</definedName>
    <definedName name="__123Graph_A" localSheetId="0" hidden="1">[5]Inputs!#REF!</definedName>
    <definedName name="__123Graph_A" localSheetId="1" hidden="1">[5]Inputs!#REF!</definedName>
    <definedName name="__123Graph_A" localSheetId="2" hidden="1">[6]Inputs!#REF!</definedName>
    <definedName name="__123Graph_A" localSheetId="3" hidden="1">[7]Inputs!#REF!</definedName>
    <definedName name="__123Graph_A" localSheetId="5" hidden="1">[6]Inputs!#REF!</definedName>
    <definedName name="__123Graph_A" localSheetId="6" hidden="1">[7]Inputs!#REF!</definedName>
    <definedName name="__123Graph_A" hidden="1">[4]Inputs!#REF!</definedName>
    <definedName name="__123Graph_B" localSheetId="4" hidden="1">[4]Inputs!#REF!</definedName>
    <definedName name="__123Graph_B" localSheetId="0" hidden="1">[5]Inputs!#REF!</definedName>
    <definedName name="__123Graph_B" localSheetId="1" hidden="1">[5]Inputs!#REF!</definedName>
    <definedName name="__123Graph_B" localSheetId="2" hidden="1">[6]Inputs!#REF!</definedName>
    <definedName name="__123Graph_B" localSheetId="3" hidden="1">[7]Inputs!#REF!</definedName>
    <definedName name="__123Graph_B" localSheetId="5" hidden="1">[6]Inputs!#REF!</definedName>
    <definedName name="__123Graph_B" localSheetId="6" hidden="1">[7]Inputs!#REF!</definedName>
    <definedName name="__123Graph_B" hidden="1">[4]Inputs!#REF!</definedName>
    <definedName name="__123Graph_D" localSheetId="4" hidden="1">[4]Inputs!#REF!</definedName>
    <definedName name="__123Graph_D" localSheetId="0" hidden="1">[5]Inputs!#REF!</definedName>
    <definedName name="__123Graph_D" localSheetId="1" hidden="1">[5]Inputs!#REF!</definedName>
    <definedName name="__123Graph_D" localSheetId="2" hidden="1">[6]Inputs!#REF!</definedName>
    <definedName name="__123Graph_D" localSheetId="3" hidden="1">[7]Inputs!#REF!</definedName>
    <definedName name="__123Graph_D" localSheetId="5" hidden="1">[6]Inputs!#REF!</definedName>
    <definedName name="__123Graph_D" localSheetId="6" hidden="1">[7]Inputs!#REF!</definedName>
    <definedName name="__123Graph_D" hidden="1">[4]Inputs!#REF!</definedName>
    <definedName name="__123Graph_E" hidden="1">[8]Input!$E$22:$E$37</definedName>
    <definedName name="__123Graph_F" hidden="1">[8]Input!$D$22:$D$37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1_0Price_Ta" localSheetId="0">#REF!</definedName>
    <definedName name="_1Price_Ta" localSheetId="4">#REF!</definedName>
    <definedName name="_1Price_Ta" localSheetId="1">#REF!</definedName>
    <definedName name="_1Price_Ta" localSheetId="3">#REF!</definedName>
    <definedName name="_1Price_Ta" localSheetId="6">#REF!</definedName>
    <definedName name="_1Price_Ta">#REF!</definedName>
    <definedName name="_2_0Price_Ta" localSheetId="0">#REF!</definedName>
    <definedName name="_2_0Price_Ta">#REF!</definedName>
    <definedName name="_2Price_Ta" localSheetId="4">#REF!</definedName>
    <definedName name="_2Price_Ta" localSheetId="1">#REF!</definedName>
    <definedName name="_2Price_Ta" localSheetId="3">#REF!</definedName>
    <definedName name="_2Price_Ta" localSheetId="6">#REF!</definedName>
    <definedName name="_2Price_Ta">#REF!</definedName>
    <definedName name="_B" localSheetId="4">'[9]Rate Design'!#REF!</definedName>
    <definedName name="_B" localSheetId="0">'[10]Rate Design'!#REF!</definedName>
    <definedName name="_B" localSheetId="1">'[9]Rate Design'!#REF!</definedName>
    <definedName name="_B" localSheetId="3">'[9]Rate Design'!#REF!</definedName>
    <definedName name="_B" localSheetId="6">'[9]Rate Design'!#REF!</definedName>
    <definedName name="_B">'[9]Rate Design'!#REF!</definedName>
    <definedName name="_Fill" localSheetId="4" hidden="1">#REF!</definedName>
    <definedName name="_Fill" localSheetId="1" hidden="1">#REF!</definedName>
    <definedName name="_Fill" localSheetId="3" hidden="1">#REF!</definedName>
    <definedName name="_Fill" localSheetId="6" hidden="1">#REF!</definedName>
    <definedName name="_Fill" hidden="1">#REF!</definedName>
    <definedName name="_xlnm._FilterDatabase" localSheetId="4" hidden="1">'305 Inputs'!$A$6:$J$145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4" hidden="1">#REF!</definedName>
    <definedName name="_Key1" localSheetId="0" hidden="1">#REF!</definedName>
    <definedName name="_Key1" localSheetId="1" hidden="1">#REF!</definedName>
    <definedName name="_Key1" localSheetId="3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0" hidden="1">#REF!</definedName>
    <definedName name="_Key2" localSheetId="1" hidden="1">#REF!</definedName>
    <definedName name="_Key2" localSheetId="3" hidden="1">#REF!</definedName>
    <definedName name="_Key2" localSheetId="6" hidden="1">#REF!</definedName>
    <definedName name="_Key2" hidden="1">#REF!</definedName>
    <definedName name="_MEN2" localSheetId="4">[1]Jan!#REF!</definedName>
    <definedName name="_MEN2" localSheetId="0">[1]Jan!#REF!</definedName>
    <definedName name="_MEN2" localSheetId="1">[1]Jan!#REF!</definedName>
    <definedName name="_MEN2" localSheetId="3">[1]Jan!#REF!</definedName>
    <definedName name="_MEN2" localSheetId="6">[1]Jan!#REF!</definedName>
    <definedName name="_MEN2">[1]Jan!#REF!</definedName>
    <definedName name="_MEN3" localSheetId="4">[1]Jan!#REF!</definedName>
    <definedName name="_MEN3" localSheetId="0">[1]Jan!#REF!</definedName>
    <definedName name="_MEN3" localSheetId="1">[1]Jan!#REF!</definedName>
    <definedName name="_MEN3" localSheetId="3">[1]Jan!#REF!</definedName>
    <definedName name="_MEN3" localSheetId="6">[1]Jan!#REF!</definedName>
    <definedName name="_MEN3">[1]Jan!#REF!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0</definedName>
    <definedName name="_Order2" hidden="1">0</definedName>
    <definedName name="_P" localSheetId="4">#REF!</definedName>
    <definedName name="_P" localSheetId="0">#REF!</definedName>
    <definedName name="_P" localSheetId="1">#REF!</definedName>
    <definedName name="_P" localSheetId="3">#REF!</definedName>
    <definedName name="_P" localSheetId="6">#REF!</definedName>
    <definedName name="_P">#REF!</definedName>
    <definedName name="_Sort" localSheetId="4" hidden="1">#REF!</definedName>
    <definedName name="_Sort" localSheetId="0" hidden="1">#REF!</definedName>
    <definedName name="_Sort" localSheetId="1" hidden="1">#REF!</definedName>
    <definedName name="_Sort" localSheetId="3" hidden="1">#REF!</definedName>
    <definedName name="_Sort" localSheetId="6" hidden="1">#REF!</definedName>
    <definedName name="_Sort" hidden="1">#REF!</definedName>
    <definedName name="_TOP1" localSheetId="4">[1]Jan!#REF!</definedName>
    <definedName name="_TOP1" localSheetId="0">[1]Jan!#REF!</definedName>
    <definedName name="_TOP1" localSheetId="1">[1]Jan!#REF!</definedName>
    <definedName name="_TOP1" localSheetId="3">[1]Jan!#REF!</definedName>
    <definedName name="_TOP1" localSheetId="6">[1]Jan!#REF!</definedName>
    <definedName name="_TOP1">[1]Jan!#REF!</definedName>
    <definedName name="a" localSheetId="0" hidden="1">'[11]DSM Output'!$J$21:$J$23</definedName>
    <definedName name="a" localSheetId="2" hidden="1">#REF!</definedName>
    <definedName name="a" localSheetId="3" hidden="1">#REF!</definedName>
    <definedName name="a" localSheetId="5" hidden="1">#REF!</definedName>
    <definedName name="a" localSheetId="6" hidden="1">#REF!</definedName>
    <definedName name="a" hidden="1">'[4]DSM Output'!$J$21:$J$23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t108364" localSheetId="4">'[12]Func Study'!#REF!</definedName>
    <definedName name="Acct108364" localSheetId="1">'[12]Func Study'!#REF!</definedName>
    <definedName name="Acct108364" localSheetId="3">'[12]Func Study'!#REF!</definedName>
    <definedName name="Acct108364" localSheetId="6">'[12]Func Study'!#REF!</definedName>
    <definedName name="Acct108364">'[12]Func Study'!#REF!</definedName>
    <definedName name="Acct108364S" localSheetId="4">'[12]Func Study'!#REF!</definedName>
    <definedName name="Acct108364S" localSheetId="1">'[12]Func Study'!#REF!</definedName>
    <definedName name="Acct108364S" localSheetId="3">'[12]Func Study'!#REF!</definedName>
    <definedName name="Acct108364S" localSheetId="6">'[12]Func Study'!#REF!</definedName>
    <definedName name="Acct108364S">'[12]Func Study'!#REF!</definedName>
    <definedName name="Acct154SNPP">'[13]Functional Study'!$H$2034</definedName>
    <definedName name="Acct200DGP">'[14]Functional Study'!#REF!</definedName>
    <definedName name="Acct228.42TROJD" localSheetId="4">'[15]Func Study'!#REF!</definedName>
    <definedName name="Acct228.42TROJD" localSheetId="1">'[15]Func Study'!#REF!</definedName>
    <definedName name="Acct228.42TROJD" localSheetId="3">'[15]Func Study'!#REF!</definedName>
    <definedName name="Acct228.42TROJD" localSheetId="6">'[15]Func Study'!#REF!</definedName>
    <definedName name="Acct228.42TROJD">'[15]Func Study'!#REF!</definedName>
    <definedName name="Acct2281SO">'[16]Func Study'!$H$2190</definedName>
    <definedName name="Acct2283SO">'[16]Func Study'!$H$2198</definedName>
    <definedName name="Acct22841SE">'[13]Functional Study'!$H$2155</definedName>
    <definedName name="Acct22842TROJD" localSheetId="4">'[15]Func Study'!#REF!</definedName>
    <definedName name="Acct22842TROJD" localSheetId="1">'[15]Func Study'!#REF!</definedName>
    <definedName name="Acct22842TROJD" localSheetId="3">'[15]Func Study'!#REF!</definedName>
    <definedName name="Acct22842TROJD" localSheetId="6">'[15]Func Study'!#REF!</definedName>
    <definedName name="Acct22842TROJD">'[15]Func Study'!#REF!</definedName>
    <definedName name="Acct228SO">'[16]Func Study'!$H$2194</definedName>
    <definedName name="ACCT254SO">'[13]Functional Study'!$H$2151</definedName>
    <definedName name="Acct282SGP">'[13]Functional Study'!#REF!</definedName>
    <definedName name="Acct350">'[16]Func Study'!$H$1628</definedName>
    <definedName name="Acct352">'[16]Func Study'!$H$1635</definedName>
    <definedName name="Acct353">'[16]Func Study'!$H$1641</definedName>
    <definedName name="Acct354">'[16]Func Study'!$H$1647</definedName>
    <definedName name="Acct355">'[16]Func Study'!$H$1654</definedName>
    <definedName name="Acct356">'[16]Func Study'!$H$1660</definedName>
    <definedName name="Acct357">'[16]Func Study'!$H$1666</definedName>
    <definedName name="Acct358">'[16]Func Study'!$H$1672</definedName>
    <definedName name="Acct359">'[16]Func Study'!$H$1678</definedName>
    <definedName name="Acct360">'[16]Func Study'!$H$1698</definedName>
    <definedName name="Acct361">'[16]Func Study'!$H$1704</definedName>
    <definedName name="Acct362">'[16]Func Study'!$H$1710</definedName>
    <definedName name="Acct364">'[16]Func Study'!$H$1717</definedName>
    <definedName name="Acct365">'[16]Func Study'!$H$1724</definedName>
    <definedName name="Acct366">'[16]Func Study'!$H$1731</definedName>
    <definedName name="Acct367">'[16]Func Study'!$H$1738</definedName>
    <definedName name="Acct368">'[16]Func Study'!$H$1744</definedName>
    <definedName name="Acct369">'[16]Func Study'!$H$1751</definedName>
    <definedName name="Acct370">'[16]Func Study'!$H$1762</definedName>
    <definedName name="Acct371">'[16]Func Study'!$H$1769</definedName>
    <definedName name="Acct371___Demand__Primary">'[14]Functional Study'!$I$1518</definedName>
    <definedName name="Acct372">'[16]Func Study'!$H$1776</definedName>
    <definedName name="Acct372A">'[16]Func Study'!$H$1775</definedName>
    <definedName name="Acct372DP">'[16]Func Study'!$H$1773</definedName>
    <definedName name="Acct372DS">'[16]Func Study'!$H$1774</definedName>
    <definedName name="Acct373">'[16]Func Study'!$H$1782</definedName>
    <definedName name="Acct41011" localSheetId="4">'[17]Functional Study'!#REF!</definedName>
    <definedName name="Acct41011" localSheetId="1">'[17]Functional Study'!#REF!</definedName>
    <definedName name="Acct41011" localSheetId="3">'[17]Functional Study'!#REF!</definedName>
    <definedName name="Acct41011" localSheetId="6">'[17]Functional Study'!#REF!</definedName>
    <definedName name="Acct41011">'[18]Functional Study'!#REF!</definedName>
    <definedName name="Acct41011BADDEBT" localSheetId="4">'[17]Functional Study'!#REF!</definedName>
    <definedName name="Acct41011BADDEBT" localSheetId="1">'[17]Functional Study'!#REF!</definedName>
    <definedName name="Acct41011BADDEBT" localSheetId="3">'[17]Functional Study'!#REF!</definedName>
    <definedName name="Acct41011BADDEBT" localSheetId="6">'[17]Functional Study'!#REF!</definedName>
    <definedName name="Acct41011BADDEBT">'[18]Functional Study'!#REF!</definedName>
    <definedName name="Acct41011DITEXP" localSheetId="4">'[17]Functional Study'!#REF!</definedName>
    <definedName name="Acct41011DITEXP" localSheetId="1">'[17]Functional Study'!#REF!</definedName>
    <definedName name="Acct41011DITEXP" localSheetId="3">'[17]Functional Study'!#REF!</definedName>
    <definedName name="Acct41011DITEXP" localSheetId="6">'[17]Functional Study'!#REF!</definedName>
    <definedName name="Acct41011DITEXP">'[18]Functional Study'!#REF!</definedName>
    <definedName name="Acct41011S" localSheetId="4">'[17]Functional Study'!#REF!</definedName>
    <definedName name="Acct41011S" localSheetId="1">'[17]Functional Study'!#REF!</definedName>
    <definedName name="Acct41011S" localSheetId="3">'[17]Functional Study'!#REF!</definedName>
    <definedName name="Acct41011S" localSheetId="6">'[17]Functional Study'!#REF!</definedName>
    <definedName name="Acct41011S">'[18]Functional Study'!#REF!</definedName>
    <definedName name="Acct41011SE" localSheetId="4">'[17]Functional Study'!#REF!</definedName>
    <definedName name="Acct41011SE" localSheetId="1">'[17]Functional Study'!#REF!</definedName>
    <definedName name="Acct41011SE" localSheetId="3">'[17]Functional Study'!#REF!</definedName>
    <definedName name="Acct41011SE" localSheetId="6">'[17]Functional Study'!#REF!</definedName>
    <definedName name="Acct41011SE">'[18]Functional Study'!#REF!</definedName>
    <definedName name="Acct41011SG1" localSheetId="4">'[17]Functional Study'!#REF!</definedName>
    <definedName name="Acct41011SG1" localSheetId="1">'[17]Functional Study'!#REF!</definedName>
    <definedName name="Acct41011SG1" localSheetId="3">'[17]Functional Study'!#REF!</definedName>
    <definedName name="Acct41011SG1" localSheetId="6">'[17]Functional Study'!#REF!</definedName>
    <definedName name="Acct41011SG1">'[18]Functional Study'!#REF!</definedName>
    <definedName name="Acct41011SG2" localSheetId="4">'[17]Functional Study'!#REF!</definedName>
    <definedName name="Acct41011SG2" localSheetId="1">'[17]Functional Study'!#REF!</definedName>
    <definedName name="Acct41011SG2" localSheetId="3">'[17]Functional Study'!#REF!</definedName>
    <definedName name="Acct41011SG2" localSheetId="6">'[17]Functional Study'!#REF!</definedName>
    <definedName name="Acct41011SG2">'[18]Functional Study'!#REF!</definedName>
    <definedName name="ACCT41011SGCT" localSheetId="4">'[17]Functional Study'!#REF!</definedName>
    <definedName name="ACCT41011SGCT" localSheetId="1">'[17]Functional Study'!#REF!</definedName>
    <definedName name="ACCT41011SGCT" localSheetId="3">'[17]Functional Study'!#REF!</definedName>
    <definedName name="ACCT41011SGCT" localSheetId="6">'[17]Functional Study'!#REF!</definedName>
    <definedName name="ACCT41011SGCT">'[18]Functional Study'!#REF!</definedName>
    <definedName name="Acct41011SGPP" localSheetId="4">'[17]Functional Study'!#REF!</definedName>
    <definedName name="Acct41011SGPP" localSheetId="1">'[17]Functional Study'!#REF!</definedName>
    <definedName name="Acct41011SGPP" localSheetId="3">'[17]Functional Study'!#REF!</definedName>
    <definedName name="Acct41011SGPP" localSheetId="6">'[17]Functional Study'!#REF!</definedName>
    <definedName name="Acct41011SGPP">'[18]Functional Study'!#REF!</definedName>
    <definedName name="Acct41011SNP" localSheetId="4">'[17]Functional Study'!#REF!</definedName>
    <definedName name="Acct41011SNP" localSheetId="1">'[17]Functional Study'!#REF!</definedName>
    <definedName name="Acct41011SNP" localSheetId="3">'[17]Functional Study'!#REF!</definedName>
    <definedName name="Acct41011SNP" localSheetId="6">'[17]Functional Study'!#REF!</definedName>
    <definedName name="Acct41011SNP">'[18]Functional Study'!#REF!</definedName>
    <definedName name="ACCT41011SNPD" localSheetId="4">'[17]Functional Study'!#REF!</definedName>
    <definedName name="ACCT41011SNPD" localSheetId="1">'[17]Functional Study'!#REF!</definedName>
    <definedName name="ACCT41011SNPD" localSheetId="3">'[17]Functional Study'!#REF!</definedName>
    <definedName name="ACCT41011SNPD" localSheetId="6">'[17]Functional Study'!#REF!</definedName>
    <definedName name="ACCT41011SNPD">'[18]Functional Study'!#REF!</definedName>
    <definedName name="Acct41011SO" localSheetId="4">'[17]Functional Study'!#REF!</definedName>
    <definedName name="Acct41011SO" localSheetId="1">'[17]Functional Study'!#REF!</definedName>
    <definedName name="Acct41011SO" localSheetId="3">'[17]Functional Study'!#REF!</definedName>
    <definedName name="Acct41011SO" localSheetId="6">'[17]Functional Study'!#REF!</definedName>
    <definedName name="Acct41011SO">'[18]Functional Study'!#REF!</definedName>
    <definedName name="Acct41011TROJP" localSheetId="4">'[17]Functional Study'!#REF!</definedName>
    <definedName name="Acct41011TROJP" localSheetId="1">'[17]Functional Study'!#REF!</definedName>
    <definedName name="Acct41011TROJP" localSheetId="3">'[17]Functional Study'!#REF!</definedName>
    <definedName name="Acct41011TROJP" localSheetId="6">'[17]Functional Study'!#REF!</definedName>
    <definedName name="Acct41011TROJP">'[18]Functional Study'!#REF!</definedName>
    <definedName name="Acct41111" localSheetId="4">'[17]Functional Study'!#REF!</definedName>
    <definedName name="Acct41111" localSheetId="1">'[17]Functional Study'!#REF!</definedName>
    <definedName name="Acct41111" localSheetId="3">'[17]Functional Study'!#REF!</definedName>
    <definedName name="Acct41111" localSheetId="6">'[17]Functional Study'!#REF!</definedName>
    <definedName name="Acct41111">'[18]Functional Study'!#REF!</definedName>
    <definedName name="Acct41111BADDEBT" localSheetId="4">'[17]Functional Study'!#REF!</definedName>
    <definedName name="Acct41111BADDEBT" localSheetId="1">'[17]Functional Study'!#REF!</definedName>
    <definedName name="Acct41111BADDEBT" localSheetId="3">'[17]Functional Study'!#REF!</definedName>
    <definedName name="Acct41111BADDEBT" localSheetId="6">'[17]Functional Study'!#REF!</definedName>
    <definedName name="Acct41111BADDEBT">'[18]Functional Study'!#REF!</definedName>
    <definedName name="Acct41111DITEXP" localSheetId="4">'[17]Functional Study'!#REF!</definedName>
    <definedName name="Acct41111DITEXP" localSheetId="1">'[17]Functional Study'!#REF!</definedName>
    <definedName name="Acct41111DITEXP" localSheetId="3">'[17]Functional Study'!#REF!</definedName>
    <definedName name="Acct41111DITEXP" localSheetId="6">'[17]Functional Study'!#REF!</definedName>
    <definedName name="Acct41111DITEXP">'[18]Functional Study'!#REF!</definedName>
    <definedName name="Acct41111S" localSheetId="4">'[17]Functional Study'!#REF!</definedName>
    <definedName name="Acct41111S" localSheetId="1">'[17]Functional Study'!#REF!</definedName>
    <definedName name="Acct41111S" localSheetId="3">'[17]Functional Study'!#REF!</definedName>
    <definedName name="Acct41111S" localSheetId="6">'[17]Functional Study'!#REF!</definedName>
    <definedName name="Acct41111S">'[18]Functional Study'!#REF!</definedName>
    <definedName name="Acct41111SE" localSheetId="4">'[17]Functional Study'!#REF!</definedName>
    <definedName name="Acct41111SE" localSheetId="1">'[17]Functional Study'!#REF!</definedName>
    <definedName name="Acct41111SE" localSheetId="3">'[17]Functional Study'!#REF!</definedName>
    <definedName name="Acct41111SE" localSheetId="6">'[17]Functional Study'!#REF!</definedName>
    <definedName name="Acct41111SE">'[18]Functional Study'!#REF!</definedName>
    <definedName name="Acct41111SG1" localSheetId="4">'[17]Functional Study'!#REF!</definedName>
    <definedName name="Acct41111SG1" localSheetId="1">'[17]Functional Study'!#REF!</definedName>
    <definedName name="Acct41111SG1" localSheetId="3">'[17]Functional Study'!#REF!</definedName>
    <definedName name="Acct41111SG1" localSheetId="6">'[17]Functional Study'!#REF!</definedName>
    <definedName name="Acct41111SG1">'[18]Functional Study'!#REF!</definedName>
    <definedName name="Acct41111SG2" localSheetId="4">'[17]Functional Study'!#REF!</definedName>
    <definedName name="Acct41111SG2" localSheetId="1">'[17]Functional Study'!#REF!</definedName>
    <definedName name="Acct41111SG2" localSheetId="3">'[17]Functional Study'!#REF!</definedName>
    <definedName name="Acct41111SG2" localSheetId="6">'[17]Functional Study'!#REF!</definedName>
    <definedName name="Acct41111SG2">'[18]Functional Study'!#REF!</definedName>
    <definedName name="Acct41111SG3" localSheetId="4">'[17]Functional Study'!#REF!</definedName>
    <definedName name="Acct41111SG3" localSheetId="1">'[17]Functional Study'!#REF!</definedName>
    <definedName name="Acct41111SG3" localSheetId="3">'[17]Functional Study'!#REF!</definedName>
    <definedName name="Acct41111SG3" localSheetId="6">'[17]Functional Study'!#REF!</definedName>
    <definedName name="Acct41111SG3">'[18]Functional Study'!#REF!</definedName>
    <definedName name="Acct41111SGPP" localSheetId="4">'[17]Functional Study'!#REF!</definedName>
    <definedName name="Acct41111SGPP" localSheetId="1">'[17]Functional Study'!#REF!</definedName>
    <definedName name="Acct41111SGPP" localSheetId="3">'[17]Functional Study'!#REF!</definedName>
    <definedName name="Acct41111SGPP" localSheetId="6">'[17]Functional Study'!#REF!</definedName>
    <definedName name="Acct41111SGPP">'[18]Functional Study'!#REF!</definedName>
    <definedName name="Acct41111SNP" localSheetId="4">'[17]Functional Study'!#REF!</definedName>
    <definedName name="Acct41111SNP" localSheetId="1">'[17]Functional Study'!#REF!</definedName>
    <definedName name="Acct41111SNP" localSheetId="3">'[17]Functional Study'!#REF!</definedName>
    <definedName name="Acct41111SNP" localSheetId="6">'[17]Functional Study'!#REF!</definedName>
    <definedName name="Acct41111SNP">'[18]Functional Study'!#REF!</definedName>
    <definedName name="Acct41111SNTP" localSheetId="4">'[17]Functional Study'!#REF!</definedName>
    <definedName name="Acct41111SNTP" localSheetId="1">'[17]Functional Study'!#REF!</definedName>
    <definedName name="Acct41111SNTP" localSheetId="3">'[17]Functional Study'!#REF!</definedName>
    <definedName name="Acct41111SNTP" localSheetId="6">'[17]Functional Study'!#REF!</definedName>
    <definedName name="Acct41111SNTP">'[18]Functional Study'!#REF!</definedName>
    <definedName name="Acct41111SO" localSheetId="4">'[17]Functional Study'!#REF!</definedName>
    <definedName name="Acct41111SO" localSheetId="1">'[17]Functional Study'!#REF!</definedName>
    <definedName name="Acct41111SO" localSheetId="3">'[17]Functional Study'!#REF!</definedName>
    <definedName name="Acct41111SO" localSheetId="6">'[17]Functional Study'!#REF!</definedName>
    <definedName name="Acct41111SO">'[18]Functional Study'!#REF!</definedName>
    <definedName name="Acct41111TROJP" localSheetId="4">'[17]Functional Study'!#REF!</definedName>
    <definedName name="Acct41111TROJP" localSheetId="1">'[17]Functional Study'!#REF!</definedName>
    <definedName name="Acct41111TROJP" localSheetId="3">'[17]Functional Study'!#REF!</definedName>
    <definedName name="Acct41111TROJP" localSheetId="6">'[17]Functional Study'!#REF!</definedName>
    <definedName name="Acct41111TROJP">'[18]Functional Study'!#REF!</definedName>
    <definedName name="Acct411BADDEBT" localSheetId="4">'[17]Functional Study'!#REF!</definedName>
    <definedName name="Acct411BADDEBT" localSheetId="1">'[17]Functional Study'!#REF!</definedName>
    <definedName name="Acct411BADDEBT" localSheetId="3">'[17]Functional Study'!#REF!</definedName>
    <definedName name="Acct411BADDEBT" localSheetId="6">'[17]Functional Study'!#REF!</definedName>
    <definedName name="Acct411BADDEBT">'[18]Functional Study'!#REF!</definedName>
    <definedName name="Acct411DGP" localSheetId="4">'[17]Functional Study'!#REF!</definedName>
    <definedName name="Acct411DGP" localSheetId="1">'[17]Functional Study'!#REF!</definedName>
    <definedName name="Acct411DGP" localSheetId="3">'[17]Functional Study'!#REF!</definedName>
    <definedName name="Acct411DGP" localSheetId="6">'[17]Functional Study'!#REF!</definedName>
    <definedName name="Acct411DGP">'[18]Functional Study'!#REF!</definedName>
    <definedName name="Acct411DGU" localSheetId="4">'[17]Functional Study'!#REF!</definedName>
    <definedName name="Acct411DGU" localSheetId="1">'[17]Functional Study'!#REF!</definedName>
    <definedName name="Acct411DGU" localSheetId="3">'[17]Functional Study'!#REF!</definedName>
    <definedName name="Acct411DGU" localSheetId="6">'[17]Functional Study'!#REF!</definedName>
    <definedName name="Acct411DGU">'[18]Functional Study'!#REF!</definedName>
    <definedName name="Acct411DITEXP" localSheetId="4">'[17]Functional Study'!#REF!</definedName>
    <definedName name="Acct411DITEXP" localSheetId="1">'[17]Functional Study'!#REF!</definedName>
    <definedName name="Acct411DITEXP" localSheetId="3">'[17]Functional Study'!#REF!</definedName>
    <definedName name="Acct411DITEXP" localSheetId="6">'[17]Functional Study'!#REF!</definedName>
    <definedName name="Acct411DITEXP">'[18]Functional Study'!#REF!</definedName>
    <definedName name="Acct411DNPP" localSheetId="4">'[17]Functional Study'!#REF!</definedName>
    <definedName name="Acct411DNPP" localSheetId="1">'[17]Functional Study'!#REF!</definedName>
    <definedName name="Acct411DNPP" localSheetId="3">'[17]Functional Study'!#REF!</definedName>
    <definedName name="Acct411DNPP" localSheetId="6">'[17]Functional Study'!#REF!</definedName>
    <definedName name="Acct411DNPP">'[18]Functional Study'!#REF!</definedName>
    <definedName name="Acct411DNPTP" localSheetId="4">'[17]Functional Study'!#REF!</definedName>
    <definedName name="Acct411DNPTP" localSheetId="1">'[17]Functional Study'!#REF!</definedName>
    <definedName name="Acct411DNPTP" localSheetId="3">'[17]Functional Study'!#REF!</definedName>
    <definedName name="Acct411DNPTP" localSheetId="6">'[17]Functional Study'!#REF!</definedName>
    <definedName name="Acct411DNPTP">'[18]Functional Study'!#REF!</definedName>
    <definedName name="Acct411S" localSheetId="4">'[17]Functional Study'!#REF!</definedName>
    <definedName name="Acct411S" localSheetId="1">'[17]Functional Study'!#REF!</definedName>
    <definedName name="Acct411S" localSheetId="3">'[17]Functional Study'!#REF!</definedName>
    <definedName name="Acct411S" localSheetId="6">'[17]Functional Study'!#REF!</definedName>
    <definedName name="Acct411S">'[18]Functional Study'!#REF!</definedName>
    <definedName name="Acct411SE" localSheetId="4">'[17]Functional Study'!#REF!</definedName>
    <definedName name="Acct411SE" localSheetId="1">'[17]Functional Study'!#REF!</definedName>
    <definedName name="Acct411SE" localSheetId="3">'[17]Functional Study'!#REF!</definedName>
    <definedName name="Acct411SE" localSheetId="6">'[17]Functional Study'!#REF!</definedName>
    <definedName name="Acct411SE">'[18]Functional Study'!#REF!</definedName>
    <definedName name="Acct411SG" localSheetId="4">'[17]Functional Study'!#REF!</definedName>
    <definedName name="Acct411SG" localSheetId="1">'[17]Functional Study'!#REF!</definedName>
    <definedName name="Acct411SG" localSheetId="3">'[17]Functional Study'!#REF!</definedName>
    <definedName name="Acct411SG" localSheetId="6">'[17]Functional Study'!#REF!</definedName>
    <definedName name="Acct411SG">'[18]Functional Study'!#REF!</definedName>
    <definedName name="Acct411SGPP" localSheetId="4">'[17]Functional Study'!#REF!</definedName>
    <definedName name="Acct411SGPP" localSheetId="1">'[17]Functional Study'!#REF!</definedName>
    <definedName name="Acct411SGPP" localSheetId="3">'[17]Functional Study'!#REF!</definedName>
    <definedName name="Acct411SGPP" localSheetId="6">'[17]Functional Study'!#REF!</definedName>
    <definedName name="Acct411SGPP">'[18]Functional Study'!#REF!</definedName>
    <definedName name="Acct411SO" localSheetId="4">'[17]Functional Study'!#REF!</definedName>
    <definedName name="Acct411SO" localSheetId="1">'[17]Functional Study'!#REF!</definedName>
    <definedName name="Acct411SO" localSheetId="3">'[17]Functional Study'!#REF!</definedName>
    <definedName name="Acct411SO" localSheetId="6">'[17]Functional Study'!#REF!</definedName>
    <definedName name="Acct411SO">'[18]Functional Study'!#REF!</definedName>
    <definedName name="Acct411TROJP" localSheetId="4">'[17]Functional Study'!#REF!</definedName>
    <definedName name="Acct411TROJP" localSheetId="1">'[17]Functional Study'!#REF!</definedName>
    <definedName name="Acct411TROJP" localSheetId="3">'[17]Functional Study'!#REF!</definedName>
    <definedName name="Acct411TROJP" localSheetId="6">'[17]Functional Study'!#REF!</definedName>
    <definedName name="Acct411TROJP">'[18]Functional Study'!#REF!</definedName>
    <definedName name="Acct447">'[13]Functional Study'!$H$288</definedName>
    <definedName name="Acct447DGU" localSheetId="4">'[15]Func Study'!#REF!</definedName>
    <definedName name="Acct447DGU" localSheetId="1">'[15]Func Study'!#REF!</definedName>
    <definedName name="Acct447DGU" localSheetId="3">'[15]Func Study'!#REF!</definedName>
    <definedName name="Acct447DGU" localSheetId="6">'[15]Func Study'!#REF!</definedName>
    <definedName name="Acct447DGU">'[15]Func Study'!#REF!</definedName>
    <definedName name="Acct448">'[13]Functional Study'!$H$276</definedName>
    <definedName name="Acct448S">'[16]Func Study'!$H$274</definedName>
    <definedName name="Acct448SO">'[13]Functional Study'!$H$275</definedName>
    <definedName name="Acct450S">'[16]Func Study'!$H$302</definedName>
    <definedName name="Acct451S">'[16]Func Study'!$H$307</definedName>
    <definedName name="Acct454S">'[16]Func Study'!$H$318</definedName>
    <definedName name="Acct456S">'[16]Func Study'!$H$325</definedName>
    <definedName name="Acct510" localSheetId="4">'[16]Func Study'!#REF!</definedName>
    <definedName name="Acct510" localSheetId="1">'[16]Func Study'!#REF!</definedName>
    <definedName name="Acct510" localSheetId="3">'[16]Func Study'!#REF!</definedName>
    <definedName name="Acct510" localSheetId="6">'[16]Func Study'!#REF!</definedName>
    <definedName name="Acct510">'[16]Func Study'!#REF!</definedName>
    <definedName name="Acct510DNPPSU" localSheetId="4">'[16]Func Study'!#REF!</definedName>
    <definedName name="Acct510DNPPSU" localSheetId="1">'[16]Func Study'!#REF!</definedName>
    <definedName name="Acct510DNPPSU" localSheetId="3">'[16]Func Study'!#REF!</definedName>
    <definedName name="Acct510DNPPSU" localSheetId="6">'[16]Func Study'!#REF!</definedName>
    <definedName name="Acct510DNPPSU">'[16]Func Study'!#REF!</definedName>
    <definedName name="ACCT510JBG" localSheetId="4">'[16]Func Study'!#REF!</definedName>
    <definedName name="ACCT510JBG" localSheetId="1">'[16]Func Study'!#REF!</definedName>
    <definedName name="ACCT510JBG" localSheetId="3">'[16]Func Study'!#REF!</definedName>
    <definedName name="ACCT510JBG" localSheetId="6">'[16]Func Study'!#REF!</definedName>
    <definedName name="ACCT510JBG">'[16]Func Study'!#REF!</definedName>
    <definedName name="ACCT510SSGCH" localSheetId="4">'[16]Func Study'!#REF!</definedName>
    <definedName name="ACCT510SSGCH" localSheetId="1">'[16]Func Study'!#REF!</definedName>
    <definedName name="ACCT510SSGCH" localSheetId="3">'[16]Func Study'!#REF!</definedName>
    <definedName name="ACCT510SSGCH" localSheetId="6">'[16]Func Study'!#REF!</definedName>
    <definedName name="ACCT510SSGCH">'[16]Func Study'!#REF!</definedName>
    <definedName name="ACCT547SSECT">'[14]Functional Study'!#REF!</definedName>
    <definedName name="ACCT548SSGCT">'[14]Functional Study'!#REF!</definedName>
    <definedName name="ACCT557CAGE">'[16]Func Study'!$H$683</definedName>
    <definedName name="Acct557CT">'[16]Func Study'!$H$681</definedName>
    <definedName name="Acct565">'[13]Functional Study'!$H$732</definedName>
    <definedName name="Acct580">'[16]Func Study'!$H$791</definedName>
    <definedName name="Acct581">'[16]Func Study'!$H$796</definedName>
    <definedName name="Acct582">'[16]Func Study'!$H$801</definedName>
    <definedName name="Acct583">'[16]Func Study'!$H$806</definedName>
    <definedName name="Acct584">'[16]Func Study'!$H$811</definedName>
    <definedName name="Acct585">'[16]Func Study'!$H$816</definedName>
    <definedName name="Acct586">'[16]Func Study'!$H$821</definedName>
    <definedName name="Acct587">'[16]Func Study'!$H$826</definedName>
    <definedName name="Acct588">'[16]Func Study'!$H$831</definedName>
    <definedName name="Acct589">'[16]Func Study'!$H$836</definedName>
    <definedName name="Acct590">'[16]Func Study'!$H$841</definedName>
    <definedName name="Acct590DNPD">'[13]Functional Study'!$H$828</definedName>
    <definedName name="Acct590S">'[13]Functional Study'!$H$827</definedName>
    <definedName name="Acct591">'[16]Func Study'!$H$846</definedName>
    <definedName name="Acct592">'[16]Func Study'!$H$851</definedName>
    <definedName name="Acct593">'[16]Func Study'!$H$856</definedName>
    <definedName name="Acct594">'[16]Func Study'!$H$861</definedName>
    <definedName name="Acct595">'[16]Func Study'!$H$866</definedName>
    <definedName name="Acct596">'[16]Func Study'!$H$876</definedName>
    <definedName name="Acct597">'[16]Func Study'!$H$881</definedName>
    <definedName name="Acct598">'[16]Func Study'!$H$886</definedName>
    <definedName name="ACCT904SG" localSheetId="4">'[19]Functional Study'!#REF!</definedName>
    <definedName name="ACCT904SG" localSheetId="1">'[19]Functional Study'!#REF!</definedName>
    <definedName name="ACCT904SG" localSheetId="3">'[19]Functional Study'!#REF!</definedName>
    <definedName name="ACCT904SG" localSheetId="6">'[19]Functional Study'!#REF!</definedName>
    <definedName name="ACCT904SG">'[20]Functional Study'!#REF!</definedName>
    <definedName name="AcctAGA">'[16]Func Study'!$H$296</definedName>
    <definedName name="AcctDFAD" localSheetId="4">'[16]Func Study'!#REF!</definedName>
    <definedName name="AcctDFAD" localSheetId="1">'[16]Func Study'!#REF!</definedName>
    <definedName name="AcctDFAD" localSheetId="3">'[16]Func Study'!#REF!</definedName>
    <definedName name="AcctDFAD" localSheetId="6">'[16]Func Study'!#REF!</definedName>
    <definedName name="AcctDFAD">'[16]Func Study'!#REF!</definedName>
    <definedName name="AcctDFAP" localSheetId="4">'[16]Func Study'!#REF!</definedName>
    <definedName name="AcctDFAP" localSheetId="1">'[16]Func Study'!#REF!</definedName>
    <definedName name="AcctDFAP" localSheetId="3">'[16]Func Study'!#REF!</definedName>
    <definedName name="AcctDFAP" localSheetId="6">'[16]Func Study'!#REF!</definedName>
    <definedName name="AcctDFAP">'[16]Func Study'!#REF!</definedName>
    <definedName name="AcctDFAT" localSheetId="4">'[16]Func Study'!#REF!</definedName>
    <definedName name="AcctDFAT" localSheetId="1">'[16]Func Study'!#REF!</definedName>
    <definedName name="AcctDFAT" localSheetId="3">'[16]Func Study'!#REF!</definedName>
    <definedName name="AcctDFAT" localSheetId="6">'[16]Func Study'!#REF!</definedName>
    <definedName name="AcctDFAT">'[16]Func Study'!#REF!</definedName>
    <definedName name="AcctDGU">'[14]Functional Study'!#REF!</definedName>
    <definedName name="AcctOWCDGP">'[14]Functional Study'!#REF!</definedName>
    <definedName name="AcctTable">[21]Variables!$AK$42:$AK$396</definedName>
    <definedName name="AcctTS0">'[16]Func Study'!$H$1686</definedName>
    <definedName name="ActualROR">'[15]G+T+D+R+M'!$H$61</definedName>
    <definedName name="Adjs2avg" localSheetId="0">[22]Inputs!$L$255:'[22]Inputs'!$T$505</definedName>
    <definedName name="Adjs2avg">[23]Inputs!$L$255:'[23]Inputs'!$T$505</definedName>
    <definedName name="ALL">#REF!</definedName>
    <definedName name="all_months">#REF!</definedName>
    <definedName name="Allocation_Factors">'[24]Allocation Factors'!$A$9:$D$97</definedName>
    <definedName name="APR" localSheetId="4">[25]Backup!#REF!</definedName>
    <definedName name="APR" localSheetId="0">[25]Backup!#REF!</definedName>
    <definedName name="APR" localSheetId="1">[25]Backup!#REF!</definedName>
    <definedName name="APR" localSheetId="3">[25]Backup!#REF!</definedName>
    <definedName name="APR" localSheetId="6">[25]Backup!#REF!</definedName>
    <definedName name="APR">[25]Backup!#REF!</definedName>
    <definedName name="APRT" localSheetId="4">#REF!</definedName>
    <definedName name="APRT" localSheetId="0">#REF!</definedName>
    <definedName name="APRT" localSheetId="1">#REF!</definedName>
    <definedName name="APRT" localSheetId="3">#REF!</definedName>
    <definedName name="APRT" localSheetId="6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T_48">#REF!</definedName>
    <definedName name="AUG" localSheetId="4">[25]Backup!#REF!</definedName>
    <definedName name="AUG" localSheetId="0">[25]Backup!#REF!</definedName>
    <definedName name="AUG" localSheetId="1">[25]Backup!#REF!</definedName>
    <definedName name="AUG" localSheetId="3">[25]Backup!#REF!</definedName>
    <definedName name="AUG" localSheetId="6">[25]Backup!#REF!</definedName>
    <definedName name="AUG">[25]Backup!#REF!</definedName>
    <definedName name="AUGT" localSheetId="4">#REF!</definedName>
    <definedName name="AUGT" localSheetId="0">#REF!</definedName>
    <definedName name="AUGT" localSheetId="1">#REF!</definedName>
    <definedName name="AUGT" localSheetId="3">#REF!</definedName>
    <definedName name="AUGT" localSheetId="6">#REF!</definedName>
    <definedName name="AUGT">#REF!</definedName>
    <definedName name="AvgFactors">[21]Factors!$B$3:$P$99</definedName>
    <definedName name="BACK1" localSheetId="4">#REF!</definedName>
    <definedName name="BACK1" localSheetId="0">#REF!</definedName>
    <definedName name="BACK1" localSheetId="1">#REF!</definedName>
    <definedName name="BACK1" localSheetId="3">#REF!</definedName>
    <definedName name="BACK1" localSheetId="6">#REF!</definedName>
    <definedName name="BACK1">#REF!</definedName>
    <definedName name="BACK2" localSheetId="4">#REF!</definedName>
    <definedName name="BACK2" localSheetId="0">#REF!</definedName>
    <definedName name="BACK2" localSheetId="1">#REF!</definedName>
    <definedName name="BACK2" localSheetId="3">#REF!</definedName>
    <definedName name="BACK2" localSheetId="6">#REF!</definedName>
    <definedName name="BACK2">#REF!</definedName>
    <definedName name="BACK3" localSheetId="4">#REF!</definedName>
    <definedName name="BACK3" localSheetId="0">#REF!</definedName>
    <definedName name="BACK3" localSheetId="1">#REF!</definedName>
    <definedName name="BACK3" localSheetId="3">#REF!</definedName>
    <definedName name="BACK3" localSheetId="6">#REF!</definedName>
    <definedName name="BACK3">#REF!</definedName>
    <definedName name="BACKUP1" localSheetId="4">#REF!</definedName>
    <definedName name="BACKUP1" localSheetId="1">#REF!</definedName>
    <definedName name="BACKUP1" localSheetId="3">#REF!</definedName>
    <definedName name="BACKUP1" localSheetId="6">#REF!</definedName>
    <definedName name="BACKUP1">#REF!</definedName>
    <definedName name="Baseline">#REF!</definedName>
    <definedName name="BLOCK">#REF!</definedName>
    <definedName name="BLOCKTOP">#REF!</definedName>
    <definedName name="BOOKADJ" localSheetId="4">#REF!</definedName>
    <definedName name="BOOKADJ" localSheetId="1">#REF!</definedName>
    <definedName name="BOOKADJ" localSheetId="3">#REF!</definedName>
    <definedName name="BOOKADJ" localSheetId="6">#REF!</definedName>
    <definedName name="BOOKADJ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p">[26]Readings!$B$2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4">#REF!</definedName>
    <definedName name="Check" localSheetId="1">#REF!</definedName>
    <definedName name="Check" localSheetId="3">#REF!</definedName>
    <definedName name="Check" localSheetId="6">#REF!</definedName>
    <definedName name="Check">#REF!</definedName>
    <definedName name="Classification">'[16]Func Study'!$AB$251</definedName>
    <definedName name="COMADJ" localSheetId="4">#REF!</definedName>
    <definedName name="COMADJ" localSheetId="1">#REF!</definedName>
    <definedName name="COMADJ" localSheetId="3">#REF!</definedName>
    <definedName name="COMADJ" localSheetId="6">#REF!</definedName>
    <definedName name="COMADJ">#REF!</definedName>
    <definedName name="combined1" hidden="1">{"YTD-Total",#N/A,TRUE,"Provision";"YTD-Utility",#N/A,TRUE,"Prov Utility";"YTD-NonUtility",#N/A,TRUE,"Prov NonUtility"}</definedName>
    <definedName name="COMP" localSheetId="4">#REF!</definedName>
    <definedName name="COMP" localSheetId="0">#REF!</definedName>
    <definedName name="COMP" localSheetId="1">#REF!</definedName>
    <definedName name="COMP" localSheetId="3">#REF!</definedName>
    <definedName name="COMP" localSheetId="6">#REF!</definedName>
    <definedName name="COMP">#REF!</definedName>
    <definedName name="COMPACTUAL" localSheetId="4">#REF!</definedName>
    <definedName name="COMPACTUAL" localSheetId="1">#REF!</definedName>
    <definedName name="COMPACTUAL" localSheetId="3">#REF!</definedName>
    <definedName name="COMPACTUAL" localSheetId="6">#REF!</definedName>
    <definedName name="COMPACTUAL">#REF!</definedName>
    <definedName name="COMPT" localSheetId="4">#REF!</definedName>
    <definedName name="COMPT" localSheetId="0">#REF!</definedName>
    <definedName name="COMPT" localSheetId="1">#REF!</definedName>
    <definedName name="COMPT" localSheetId="3">#REF!</definedName>
    <definedName name="COMPT" localSheetId="6">#REF!</definedName>
    <definedName name="COMPT">#REF!</definedName>
    <definedName name="COMPWEATHER" localSheetId="4">#REF!</definedName>
    <definedName name="COMPWEATHER" localSheetId="1">#REF!</definedName>
    <definedName name="COMPWEATHER" localSheetId="3">#REF!</definedName>
    <definedName name="COMPWEATHER" localSheetId="6">#REF!</definedName>
    <definedName name="COMPWEATHER">#REF!</definedName>
    <definedName name="COSFacVal">[16]Inputs!$R$5</definedName>
    <definedName name="_xlnm.Database" localSheetId="4">[27]Invoice!#REF!</definedName>
    <definedName name="_xlnm.Database" localSheetId="0">[28]Invoice!#REF!</definedName>
    <definedName name="_xlnm.Database" localSheetId="1">[29]Invoice!#REF!</definedName>
    <definedName name="_xlnm.Database" localSheetId="3">[27]Invoice!#REF!</definedName>
    <definedName name="_xlnm.Database" localSheetId="6">[27]Invoice!#REF!</definedName>
    <definedName name="_xlnm.Database">[27]Invoice!#REF!</definedName>
    <definedName name="DATE" localSheetId="4">[30]Jan!#REF!</definedName>
    <definedName name="DATE" localSheetId="0">[30]Jan!#REF!</definedName>
    <definedName name="DATE" localSheetId="1">[30]Jan!#REF!</definedName>
    <definedName name="DATE" localSheetId="3">[30]Jan!#REF!</definedName>
    <definedName name="DATE" localSheetId="6">[30]Jan!#REF!</definedName>
    <definedName name="DATE">[30]Jan!#REF!</definedName>
    <definedName name="DEC" localSheetId="4">[25]Backup!#REF!</definedName>
    <definedName name="DEC" localSheetId="0">[25]Backup!#REF!</definedName>
    <definedName name="DEC" localSheetId="1">[25]Backup!#REF!</definedName>
    <definedName name="DEC" localSheetId="3">[25]Backup!#REF!</definedName>
    <definedName name="DEC" localSheetId="6">[25]Backup!#REF!</definedName>
    <definedName name="DEC">[25]Backup!#REF!</definedName>
    <definedName name="DECT" localSheetId="4">#REF!</definedName>
    <definedName name="DECT" localSheetId="0">#REF!</definedName>
    <definedName name="DECT" localSheetId="1">#REF!</definedName>
    <definedName name="DECT" localSheetId="3">#REF!</definedName>
    <definedName name="DECT" localSheetId="6">#REF!</definedName>
    <definedName name="DECT">#REF!</definedName>
    <definedName name="Demand">[15]Inputs!$D$8</definedName>
    <definedName name="Demand2">[31]Inputs!$D$11</definedName>
    <definedName name="Dis">'[16]Func Study'!$AB$250</definedName>
    <definedName name="DisFac">'[16]Func Dist Factor Table'!$A$11:$G$25</definedName>
    <definedName name="DIST" localSheetId="0">#REF!</definedName>
    <definedName name="DIST">#REF!</definedName>
    <definedName name="Dist_factor" localSheetId="4">#REF!</definedName>
    <definedName name="Dist_factor" localSheetId="1">#REF!</definedName>
    <definedName name="Dist_factor" localSheetId="3">#REF!</definedName>
    <definedName name="Dist_factor" localSheetId="6">#REF!</definedName>
    <definedName name="Dist_factor">#REF!</definedName>
    <definedName name="DistPeakMethod" localSheetId="4">[19]Inputs!#REF!</definedName>
    <definedName name="DistPeakMethod" localSheetId="1">[19]Inputs!#REF!</definedName>
    <definedName name="DistPeakMethod" localSheetId="3">[19]Inputs!#REF!</definedName>
    <definedName name="DistPeakMethod" localSheetId="6">[19]Inputs!#REF!</definedName>
    <definedName name="DistPeakMethod">[20]Inputs!#REF!</definedName>
    <definedName name="DUDE" localSheetId="4" hidden="1">#REF!</definedName>
    <definedName name="DUDE" localSheetId="0" hidden="1">#REF!</definedName>
    <definedName name="DUDE" localSheetId="1" hidden="1">#REF!</definedName>
    <definedName name="DUDE" localSheetId="3" hidden="1">#REF!</definedName>
    <definedName name="DUDE" localSheetId="6" hidden="1">#REF!</definedName>
    <definedName name="DUDE" hidden="1">#REF!</definedName>
    <definedName name="energy">[26]Readings!$B$3</definedName>
    <definedName name="Engy">[15]Inputs!$D$9</definedName>
    <definedName name="Engy2">[31]Inputs!$D$12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scalators" localSheetId="0">[32]Inputs!#REF!</definedName>
    <definedName name="escalators">[33]Inputs!#REF!</definedName>
    <definedName name="Escalators_monthly" localSheetId="0">'[32]Inputs Monthly'!#REF!</definedName>
    <definedName name="Escalators_monthly">'[33]Inputs Monthly'!#REF!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101top" localSheetId="4">#REF!</definedName>
    <definedName name="f101top" localSheetId="1">#REF!</definedName>
    <definedName name="f101top" localSheetId="3">#REF!</definedName>
    <definedName name="f101top" localSheetId="6">#REF!</definedName>
    <definedName name="f101top">#REF!</definedName>
    <definedName name="f104top" localSheetId="4">#REF!</definedName>
    <definedName name="f104top" localSheetId="1">#REF!</definedName>
    <definedName name="f104top" localSheetId="3">#REF!</definedName>
    <definedName name="f104top" localSheetId="6">#REF!</definedName>
    <definedName name="f104top">#REF!</definedName>
    <definedName name="f138top" localSheetId="4">#REF!</definedName>
    <definedName name="f138top" localSheetId="1">#REF!</definedName>
    <definedName name="f138top" localSheetId="3">#REF!</definedName>
    <definedName name="f138top" localSheetId="6">#REF!</definedName>
    <definedName name="f138top">#REF!</definedName>
    <definedName name="f140top" localSheetId="4">#REF!</definedName>
    <definedName name="f140top" localSheetId="1">#REF!</definedName>
    <definedName name="f140top" localSheetId="3">#REF!</definedName>
    <definedName name="f140top" localSheetId="6">#REF!</definedName>
    <definedName name="f140top">#REF!</definedName>
    <definedName name="Factbl1">#REF!</definedName>
    <definedName name="Factorck">'[16]COS Factor Table'!$O$15:$O$113</definedName>
    <definedName name="FactorType">[21]Variables!$AK$2:$AL$12</definedName>
    <definedName name="FACTP" localSheetId="4">#REF!</definedName>
    <definedName name="FACTP" localSheetId="1">#REF!</definedName>
    <definedName name="FACTP" localSheetId="3">#REF!</definedName>
    <definedName name="FACTP" localSheetId="6">#REF!</definedName>
    <definedName name="FACTP">#REF!</definedName>
    <definedName name="FactSum">'[16]COS Factor Table'!$A$14:$O$113</definedName>
    <definedName name="FEB" localSheetId="4">[25]Backup!#REF!</definedName>
    <definedName name="FEB" localSheetId="0">[25]Backup!#REF!</definedName>
    <definedName name="FEB" localSheetId="1">[25]Backup!#REF!</definedName>
    <definedName name="FEB" localSheetId="3">[25]Backup!#REF!</definedName>
    <definedName name="FEB" localSheetId="6">[25]Backup!#REF!</definedName>
    <definedName name="FEB">[25]Backup!#REF!</definedName>
    <definedName name="FEBT" localSheetId="4">#REF!</definedName>
    <definedName name="FEBT" localSheetId="0">#REF!</definedName>
    <definedName name="FEBT" localSheetId="1">#REF!</definedName>
    <definedName name="FEBT" localSheetId="3">#REF!</definedName>
    <definedName name="FEBT" localSheetId="6">#REF!</definedName>
    <definedName name="FEBT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 localSheetId="0">[22]Variables!$D$26</definedName>
    <definedName name="FranchiseTax">[23]Variables!$D$26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Sum">#REF!</definedName>
    <definedName name="Func">'[16]Func Factor Table'!$A$10:$H$77</definedName>
    <definedName name="Func_Ftrs" localSheetId="4">#REF!</definedName>
    <definedName name="Func_Ftrs" localSheetId="0">#REF!</definedName>
    <definedName name="Func_Ftrs" localSheetId="1">#REF!</definedName>
    <definedName name="Func_Ftrs" localSheetId="3">#REF!</definedName>
    <definedName name="Func_Ftrs" localSheetId="6">#REF!</definedName>
    <definedName name="Func_Ftrs">#REF!</definedName>
    <definedName name="Func_GTD_Percents" localSheetId="4">#REF!</definedName>
    <definedName name="Func_GTD_Percents" localSheetId="0">#REF!</definedName>
    <definedName name="Func_GTD_Percents" localSheetId="1">#REF!</definedName>
    <definedName name="Func_GTD_Percents" localSheetId="3">#REF!</definedName>
    <definedName name="Func_GTD_Percents" localSheetId="6">#REF!</definedName>
    <definedName name="Func_GTD_Percents">#REF!</definedName>
    <definedName name="Func_MC" localSheetId="4">#REF!</definedName>
    <definedName name="Func_MC" localSheetId="0">#REF!</definedName>
    <definedName name="Func_MC" localSheetId="1">#REF!</definedName>
    <definedName name="Func_MC" localSheetId="3">#REF!</definedName>
    <definedName name="Func_MC" localSheetId="6">#REF!</definedName>
    <definedName name="Func_MC">#REF!</definedName>
    <definedName name="Func_Percents" localSheetId="4">#REF!</definedName>
    <definedName name="Func_Percents" localSheetId="0">#REF!</definedName>
    <definedName name="Func_Percents" localSheetId="1">#REF!</definedName>
    <definedName name="Func_Percents" localSheetId="3">#REF!</definedName>
    <definedName name="Func_Percents" localSheetId="6">#REF!</definedName>
    <definedName name="Func_Percents">#REF!</definedName>
    <definedName name="Func_Rev_Req1" localSheetId="4">#REF!</definedName>
    <definedName name="Func_Rev_Req1" localSheetId="0">#REF!</definedName>
    <definedName name="Func_Rev_Req1" localSheetId="1">#REF!</definedName>
    <definedName name="Func_Rev_Req1" localSheetId="3">#REF!</definedName>
    <definedName name="Func_Rev_Req1" localSheetId="6">#REF!</definedName>
    <definedName name="Func_Rev_Req1">#REF!</definedName>
    <definedName name="Func_Rev_Req2" localSheetId="4">#REF!</definedName>
    <definedName name="Func_Rev_Req2" localSheetId="0">#REF!</definedName>
    <definedName name="Func_Rev_Req2" localSheetId="1">#REF!</definedName>
    <definedName name="Func_Rev_Req2" localSheetId="3">#REF!</definedName>
    <definedName name="Func_Rev_Req2" localSheetId="6">#REF!</definedName>
    <definedName name="Func_Rev_Req2">#REF!</definedName>
    <definedName name="Func_Revenue" localSheetId="4">#REF!</definedName>
    <definedName name="Func_Revenue" localSheetId="0">#REF!</definedName>
    <definedName name="Func_Revenue" localSheetId="1">#REF!</definedName>
    <definedName name="Func_Revenue" localSheetId="3">#REF!</definedName>
    <definedName name="Func_Revenue" localSheetId="6">#REF!</definedName>
    <definedName name="Func_Revenue">#REF!</definedName>
    <definedName name="Function">'[16]Func Study'!$AB$250</definedName>
    <definedName name="GREATER10MW" localSheetId="4">#REF!</definedName>
    <definedName name="GREATER10MW" localSheetId="1">#REF!</definedName>
    <definedName name="GREATER10MW" localSheetId="3">#REF!</definedName>
    <definedName name="GREATER10MW" localSheetId="6">#REF!</definedName>
    <definedName name="GREATER10MW">#REF!</definedName>
    <definedName name="GTD_Percents" localSheetId="4">#REF!</definedName>
    <definedName name="GTD_Percents" localSheetId="0">#REF!</definedName>
    <definedName name="GTD_Percents" localSheetId="1">#REF!</definedName>
    <definedName name="GTD_Percents" localSheetId="3">#REF!</definedName>
    <definedName name="GTD_Percents" localSheetId="6">#REF!</definedName>
    <definedName name="GTD_Percents">#REF!</definedName>
    <definedName name="HEIGHT" localSheetId="4">#REF!</definedName>
    <definedName name="HEIGHT" localSheetId="0">#REF!</definedName>
    <definedName name="HEIGHT" localSheetId="1">#REF!</definedName>
    <definedName name="HEIGHT" localSheetId="3">#REF!</definedName>
    <definedName name="HEIGHT" localSheetId="6">#REF!</definedName>
    <definedName name="HEIGHT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4">#REF!</definedName>
    <definedName name="ID_0303_RVN_data" localSheetId="0">#REF!</definedName>
    <definedName name="ID_0303_RVN_data" localSheetId="1">#REF!</definedName>
    <definedName name="ID_0303_RVN_data" localSheetId="3">#REF!</definedName>
    <definedName name="ID_0303_RVN_data" localSheetId="6">#REF!</definedName>
    <definedName name="ID_0303_RVN_data">#REF!</definedName>
    <definedName name="IDcontractsRVN" localSheetId="4">#REF!</definedName>
    <definedName name="IDcontractsRVN" localSheetId="0">#REF!</definedName>
    <definedName name="IDcontractsRVN" localSheetId="1">#REF!</definedName>
    <definedName name="IDcontractsRVN" localSheetId="3">#REF!</definedName>
    <definedName name="IDcontractsRVN" localSheetId="6">#REF!</definedName>
    <definedName name="IDcontractsRVN">#REF!</definedName>
    <definedName name="INDADJ" localSheetId="4">#REF!</definedName>
    <definedName name="INDADJ" localSheetId="1">#REF!</definedName>
    <definedName name="INDADJ" localSheetId="3">#REF!</definedName>
    <definedName name="INDADJ" localSheetId="6">#REF!</definedName>
    <definedName name="INDADJ">#REF!</definedName>
    <definedName name="INPUT" localSheetId="4">[34]Summary!#REF!</definedName>
    <definedName name="INPUT" localSheetId="1">[34]Summary!#REF!</definedName>
    <definedName name="INPUT" localSheetId="3">[34]Summary!#REF!</definedName>
    <definedName name="INPUT" localSheetId="6">[34]Summary!#REF!</definedName>
    <definedName name="INPUT">[35]Summary!#REF!</definedName>
    <definedName name="Instructions" localSheetId="4">#REF!</definedName>
    <definedName name="Instructions" localSheetId="1">#REF!</definedName>
    <definedName name="Instructions" localSheetId="3">#REF!</definedName>
    <definedName name="Instructions" localSheetId="6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>#REF!</definedName>
    <definedName name="JAN" localSheetId="4">[25]Backup!#REF!</definedName>
    <definedName name="JAN" localSheetId="0">[25]Backup!#REF!</definedName>
    <definedName name="JAN" localSheetId="1">[25]Backup!#REF!</definedName>
    <definedName name="JAN" localSheetId="3">[25]Backup!#REF!</definedName>
    <definedName name="JAN" localSheetId="6">[25]Backup!#REF!</definedName>
    <definedName name="JAN">[25]Backup!#REF!</definedName>
    <definedName name="JANT" localSheetId="4">#REF!</definedName>
    <definedName name="JANT" localSheetId="0">#REF!</definedName>
    <definedName name="JANT" localSheetId="1">#REF!</definedName>
    <definedName name="JANT" localSheetId="3">#REF!</definedName>
    <definedName name="JANT" localSheetId="6">#REF!</definedName>
    <definedName name="JANT">#REF!</definedName>
    <definedName name="jjj" localSheetId="4">[36]Inputs!$N$18</definedName>
    <definedName name="jjj" localSheetId="1">[36]Inputs!$N$18</definedName>
    <definedName name="jjj" localSheetId="3">[36]Inputs!$N$18</definedName>
    <definedName name="jjj" localSheetId="6">[36]Inputs!$N$18</definedName>
    <definedName name="jjj">[37]Inputs!$N$18</definedName>
    <definedName name="JUL" localSheetId="4">[25]Backup!#REF!</definedName>
    <definedName name="JUL" localSheetId="0">[25]Backup!#REF!</definedName>
    <definedName name="JUL" localSheetId="1">[25]Backup!#REF!</definedName>
    <definedName name="JUL" localSheetId="3">[25]Backup!#REF!</definedName>
    <definedName name="JUL" localSheetId="6">[25]Backup!#REF!</definedName>
    <definedName name="JUL">[25]Backup!#REF!</definedName>
    <definedName name="JULT" localSheetId="4">#REF!</definedName>
    <definedName name="JULT" localSheetId="0">#REF!</definedName>
    <definedName name="JULT" localSheetId="1">#REF!</definedName>
    <definedName name="JULT" localSheetId="3">#REF!</definedName>
    <definedName name="JULT" localSheetId="6">#REF!</definedName>
    <definedName name="JULT">#REF!</definedName>
    <definedName name="JUN" localSheetId="4">[25]Backup!#REF!</definedName>
    <definedName name="JUN" localSheetId="0">[25]Backup!#REF!</definedName>
    <definedName name="JUN" localSheetId="1">[25]Backup!#REF!</definedName>
    <definedName name="JUN" localSheetId="3">[25]Backup!#REF!</definedName>
    <definedName name="JUN" localSheetId="6">[25]Backup!#REF!</definedName>
    <definedName name="JUN">[25]Backup!#REF!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NT" localSheetId="4">#REF!</definedName>
    <definedName name="JUNT" localSheetId="0">#REF!</definedName>
    <definedName name="JUNT" localSheetId="1">#REF!</definedName>
    <definedName name="JUNT" localSheetId="3">#REF!</definedName>
    <definedName name="JUNT" localSheetId="6">#REF!</definedName>
    <definedName name="JUNT">#REF!</definedName>
    <definedName name="Jurisdiction">[21]Variables!$AK$15</definedName>
    <definedName name="JurisNumber">[21]Variables!$AL$15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4">#REF!</definedName>
    <definedName name="LABORMOD" localSheetId="0">#REF!</definedName>
    <definedName name="LABORMOD" localSheetId="1">#REF!</definedName>
    <definedName name="LABORMOD" localSheetId="3">#REF!</definedName>
    <definedName name="LABORMOD" localSheetId="6">#REF!</definedName>
    <definedName name="LABORMOD">#REF!</definedName>
    <definedName name="LABORROLL" localSheetId="4">#REF!</definedName>
    <definedName name="LABORROLL" localSheetId="0">#REF!</definedName>
    <definedName name="LABORROLL" localSheetId="1">#REF!</definedName>
    <definedName name="LABORROLL" localSheetId="3">#REF!</definedName>
    <definedName name="LABORROLL" localSheetId="6">#REF!</definedName>
    <definedName name="LABORROLL">#REF!</definedName>
    <definedName name="limcount" hidden="1">1</definedName>
    <definedName name="Line_Ext_Credit" localSheetId="4">#REF!</definedName>
    <definedName name="Line_Ext_Credit" localSheetId="0">#REF!</definedName>
    <definedName name="Line_Ext_Credit" localSheetId="1">#REF!</definedName>
    <definedName name="Line_Ext_Credit" localSheetId="3">#REF!</definedName>
    <definedName name="Line_Ext_Credit" localSheetId="6">#REF!</definedName>
    <definedName name="Line_Ext_Credit">#REF!</definedName>
    <definedName name="LinkCos">'[16]JAM Download'!$K$4</definedName>
    <definedName name="ListOffset" hidden="1">1</definedName>
    <definedName name="Loads" localSheetId="0">#REF!</definedName>
    <definedName name="Loads">#REF!</definedName>
    <definedName name="LOG" localSheetId="4">[25]Backup!#REF!</definedName>
    <definedName name="LOG" localSheetId="0">[25]Backup!#REF!</definedName>
    <definedName name="LOG" localSheetId="1">[25]Backup!#REF!</definedName>
    <definedName name="LOG" localSheetId="3">[25]Backup!#REF!</definedName>
    <definedName name="LOG" localSheetId="6">[25]Backup!#REF!</definedName>
    <definedName name="LOG">[25]Backup!#REF!</definedName>
    <definedName name="LOSS" localSheetId="4">[25]Backup!#REF!</definedName>
    <definedName name="LOSS" localSheetId="0">[25]Backup!#REF!</definedName>
    <definedName name="LOSS" localSheetId="1">[25]Backup!#REF!</definedName>
    <definedName name="LOSS" localSheetId="3">[25]Backup!#REF!</definedName>
    <definedName name="LOSS" localSheetId="6">[25]Backup!#REF!</definedName>
    <definedName name="LOSS">[25]Backup!#REF!</definedName>
    <definedName name="MACTIT" localSheetId="4">#REF!</definedName>
    <definedName name="MACTIT" localSheetId="1">#REF!</definedName>
    <definedName name="MACTIT" localSheetId="3">#REF!</definedName>
    <definedName name="MACTIT" localSheetId="6">#REF!</definedName>
    <definedName name="MACTIT">#REF!</definedName>
    <definedName name="MAR" localSheetId="4">[25]Backup!#REF!</definedName>
    <definedName name="MAR" localSheetId="0">[25]Backup!#REF!</definedName>
    <definedName name="MAR" localSheetId="1">[25]Backup!#REF!</definedName>
    <definedName name="MAR" localSheetId="3">[25]Backup!#REF!</definedName>
    <definedName name="MAR" localSheetId="6">[25]Backup!#REF!</definedName>
    <definedName name="MAR">[25]Backup!#REF!</definedName>
    <definedName name="MART" localSheetId="4">#REF!</definedName>
    <definedName name="MART" localSheetId="0">#REF!</definedName>
    <definedName name="MART" localSheetId="1">#REF!</definedName>
    <definedName name="MART" localSheetId="3">#REF!</definedName>
    <definedName name="MART" localSheetId="6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4">[25]Backup!#REF!</definedName>
    <definedName name="MAY" localSheetId="0">[25]Backup!#REF!</definedName>
    <definedName name="MAY" localSheetId="1">[25]Backup!#REF!</definedName>
    <definedName name="MAY" localSheetId="3">[25]Backup!#REF!</definedName>
    <definedName name="MAY" localSheetId="6">[25]Backup!#REF!</definedName>
    <definedName name="MAY">[25]Backup!#REF!</definedName>
    <definedName name="MAYT" localSheetId="4">#REF!</definedName>
    <definedName name="MAYT" localSheetId="0">#REF!</definedName>
    <definedName name="MAYT" localSheetId="1">#REF!</definedName>
    <definedName name="MAYT" localSheetId="3">#REF!</definedName>
    <definedName name="MAYT" localSheetId="6">#REF!</definedName>
    <definedName name="MAYT">#REF!</definedName>
    <definedName name="MCtoREV" localSheetId="4">#REF!</definedName>
    <definedName name="MCtoREV" localSheetId="0">#REF!</definedName>
    <definedName name="MCtoREV" localSheetId="1">#REF!</definedName>
    <definedName name="MCtoREV" localSheetId="3">#REF!</definedName>
    <definedName name="MCtoREV" localSheetId="6">#REF!</definedName>
    <definedName name="MCtoREV">#REF!</definedName>
    <definedName name="MD_High1" localSheetId="0">'[38]Master Data'!$A$2</definedName>
    <definedName name="MD_High1">'[39]Master Data'!$A$2</definedName>
    <definedName name="MD_Low1" localSheetId="0">'[38]Master Data'!$D$28</definedName>
    <definedName name="MD_Low1">'[39]Master Data'!$D$28</definedName>
    <definedName name="MEN" localSheetId="4">[1]Jan!#REF!</definedName>
    <definedName name="MEN" localSheetId="0">[1]Jan!#REF!</definedName>
    <definedName name="MEN" localSheetId="1">[1]Jan!#REF!</definedName>
    <definedName name="MEN" localSheetId="3">[1]Jan!#REF!</definedName>
    <definedName name="MEN" localSheetId="6">[1]Jan!#REF!</definedName>
    <definedName name="MEN">[1]Jan!#REF!</definedName>
    <definedName name="Menu_Begin" localSheetId="4">#REF!</definedName>
    <definedName name="Menu_Begin" localSheetId="1">#REF!</definedName>
    <definedName name="Menu_Begin" localSheetId="3">#REF!</definedName>
    <definedName name="Menu_Begin" localSheetId="6">#REF!</definedName>
    <definedName name="Menu_Begin">#REF!</definedName>
    <definedName name="Menu_Caption" localSheetId="4">#REF!</definedName>
    <definedName name="Menu_Caption" localSheetId="1">#REF!</definedName>
    <definedName name="Menu_Caption" localSheetId="3">#REF!</definedName>
    <definedName name="Menu_Caption" localSheetId="6">#REF!</definedName>
    <definedName name="Menu_Caption">#REF!</definedName>
    <definedName name="Menu_Large" localSheetId="4">#REF!</definedName>
    <definedName name="Menu_Large" localSheetId="1">#REF!</definedName>
    <definedName name="Menu_Large" localSheetId="3">#REF!</definedName>
    <definedName name="Menu_Large" localSheetId="6">#REF!</definedName>
    <definedName name="Menu_Large">#REF!</definedName>
    <definedName name="Menu_Name" localSheetId="4">#REF!</definedName>
    <definedName name="Menu_Name" localSheetId="1">#REF!</definedName>
    <definedName name="Menu_Name" localSheetId="3">#REF!</definedName>
    <definedName name="Menu_Name" localSheetId="6">#REF!</definedName>
    <definedName name="Menu_Name">#REF!</definedName>
    <definedName name="Menu_OnAction" localSheetId="4">#REF!</definedName>
    <definedName name="Menu_OnAction" localSheetId="1">#REF!</definedName>
    <definedName name="Menu_OnAction" localSheetId="3">#REF!</definedName>
    <definedName name="Menu_OnAction" localSheetId="6">#REF!</definedName>
    <definedName name="Menu_OnAction">#REF!</definedName>
    <definedName name="Menu_Parent" localSheetId="4">#REF!</definedName>
    <definedName name="Menu_Parent" localSheetId="1">#REF!</definedName>
    <definedName name="Menu_Parent" localSheetId="3">#REF!</definedName>
    <definedName name="Menu_Parent" localSheetId="6">#REF!</definedName>
    <definedName name="Menu_Parent">#REF!</definedName>
    <definedName name="Menu_Small" localSheetId="4">#REF!</definedName>
    <definedName name="Menu_Small" localSheetId="1">#REF!</definedName>
    <definedName name="Menu_Small" localSheetId="3">#REF!</definedName>
    <definedName name="Menu_Small" localSheetId="6">#REF!</definedName>
    <definedName name="Menu_Small">#REF!</definedName>
    <definedName name="Method">[15]Inputs!$C$6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4">[25]Backup!#REF!</definedName>
    <definedName name="MONTH" localSheetId="0">[25]Backup!#REF!</definedName>
    <definedName name="MONTH" localSheetId="1">[25]Backup!#REF!</definedName>
    <definedName name="MONTH" localSheetId="3">[25]Backup!#REF!</definedName>
    <definedName name="MONTH" localSheetId="6">[25]Backup!#REF!</definedName>
    <definedName name="MONTH">[25]Backup!#REF!</definedName>
    <definedName name="monthlist" localSheetId="0">[40]Table!$R$2:$S$13</definedName>
    <definedName name="monthlist">[41]Table!$R$2:$S$13</definedName>
    <definedName name="monthtotals" localSheetId="0">'[40]WA SBC'!$D$40:$O$40</definedName>
    <definedName name="monthtotals">'[41]WA SBC'!$D$40:$O$40</definedName>
    <definedName name="MSPAverageInput" localSheetId="0">[42]Inputs!#REF!</definedName>
    <definedName name="MSPAverageInput" localSheetId="3">[43]Inputs!#REF!</definedName>
    <definedName name="MSPAverageInput">[43]Inputs!#REF!</definedName>
    <definedName name="MSPYearEndInput" localSheetId="0">[42]Inputs!#REF!</definedName>
    <definedName name="MSPYearEndInput" localSheetId="3">[43]Inputs!#REF!</definedName>
    <definedName name="MSPYearEndInput">[43]Inputs!#REF!</definedName>
    <definedName name="MTKWH" localSheetId="4">#REF!</definedName>
    <definedName name="MTKWH" localSheetId="1">#REF!</definedName>
    <definedName name="MTKWH" localSheetId="3">#REF!</definedName>
    <definedName name="MTKWH" localSheetId="6">#REF!</definedName>
    <definedName name="MTKWH">#REF!</definedName>
    <definedName name="MTR_YR3">[44]Variables!$E$14</definedName>
    <definedName name="MTREV" localSheetId="4">#REF!</definedName>
    <definedName name="MTREV" localSheetId="1">#REF!</definedName>
    <definedName name="MTREV" localSheetId="3">#REF!</definedName>
    <definedName name="MTREV" localSheetId="6">#REF!</definedName>
    <definedName name="MTREV">#REF!</definedName>
    <definedName name="MULT" localSheetId="4">#REF!</definedName>
    <definedName name="MULT" localSheetId="0">#REF!</definedName>
    <definedName name="MULT" localSheetId="1">#REF!</definedName>
    <definedName name="MULT" localSheetId="3">#REF!</definedName>
    <definedName name="MULT" localSheetId="6">#REF!</definedName>
    <definedName name="MULT">#REF!</definedName>
    <definedName name="NameTable">#REF!</definedName>
    <definedName name="Net_to_Gross_Factor">[16]Inputs!$G$8</definedName>
    <definedName name="NetToGross" localSheetId="0">[22]Variables!$D$23</definedName>
    <definedName name="NetToGross">[23]Variables!$D$23</definedName>
    <definedName name="NewContract">[45]Inputs!$N$24</definedName>
    <definedName name="NEWMO1" localSheetId="4">[1]Jan!#REF!</definedName>
    <definedName name="NEWMO1" localSheetId="0">[1]Jan!#REF!</definedName>
    <definedName name="NEWMO1" localSheetId="1">[1]Jan!#REF!</definedName>
    <definedName name="NEWMO1" localSheetId="3">[1]Jan!#REF!</definedName>
    <definedName name="NEWMO1" localSheetId="6">[1]Jan!#REF!</definedName>
    <definedName name="NEWMO1">[1]Jan!#REF!</definedName>
    <definedName name="NEWMO2" localSheetId="4">[1]Jan!#REF!</definedName>
    <definedName name="NEWMO2" localSheetId="0">[1]Jan!#REF!</definedName>
    <definedName name="NEWMO2" localSheetId="1">[1]Jan!#REF!</definedName>
    <definedName name="NEWMO2" localSheetId="3">[1]Jan!#REF!</definedName>
    <definedName name="NEWMO2" localSheetId="6">[1]Jan!#REF!</definedName>
    <definedName name="NEWMO2">[1]Jan!#REF!</definedName>
    <definedName name="NEWMONTH" localSheetId="4">[1]Jan!#REF!</definedName>
    <definedName name="NEWMONTH" localSheetId="0">[1]Jan!#REF!</definedName>
    <definedName name="NEWMONTH" localSheetId="3">[1]Jan!#REF!</definedName>
    <definedName name="NEWMONTH" localSheetId="6">[1]Jan!#REF!</definedName>
    <definedName name="NEWMONTH">[1]Jan!#REF!</definedName>
    <definedName name="NewRes_DateColSw" localSheetId="0">#REF!</definedName>
    <definedName name="NewRes_DateColSw">#REF!</definedName>
    <definedName name="NewResCol" localSheetId="0">#REF!</definedName>
    <definedName name="NewResCol">#REF!</definedName>
    <definedName name="NONRES">#REF!</definedName>
    <definedName name="NORMALIZE" localSheetId="4">#REF!</definedName>
    <definedName name="NORMALIZE" localSheetId="0">#REF!</definedName>
    <definedName name="NORMALIZE" localSheetId="1">#REF!</definedName>
    <definedName name="NORMALIZE" localSheetId="3">#REF!</definedName>
    <definedName name="NORMALIZE" localSheetId="6">#REF!</definedName>
    <definedName name="NORMALIZE">#REF!</definedName>
    <definedName name="NOV" localSheetId="4">[25]Backup!#REF!</definedName>
    <definedName name="NOV" localSheetId="0">[25]Backup!#REF!</definedName>
    <definedName name="NOV" localSheetId="1">[25]Backup!#REF!</definedName>
    <definedName name="NOV" localSheetId="3">[25]Backup!#REF!</definedName>
    <definedName name="NOV" localSheetId="6">[25]Backup!#REF!</definedName>
    <definedName name="NOV">[25]Backup!#REF!</definedName>
    <definedName name="NOVT" localSheetId="4">#REF!</definedName>
    <definedName name="NOVT" localSheetId="0">#REF!</definedName>
    <definedName name="NOVT" localSheetId="1">#REF!</definedName>
    <definedName name="NOVT" localSheetId="3">#REF!</definedName>
    <definedName name="NOVT" localSheetId="6">#REF!</definedName>
    <definedName name="NOVT">#REF!</definedName>
    <definedName name="NPC" localSheetId="4">[19]Inputs!$N$18</definedName>
    <definedName name="NPC" localSheetId="1">[19]Inputs!$N$18</definedName>
    <definedName name="NPC" localSheetId="3">[19]Inputs!$N$18</definedName>
    <definedName name="NPC" localSheetId="6">[19]Inputs!$N$18</definedName>
    <definedName name="NPC">[20]Inputs!$N$18</definedName>
    <definedName name="NR_Date" localSheetId="0">#REF!</definedName>
    <definedName name="NR_Date">#REF!</definedName>
    <definedName name="NR_Switch" localSheetId="0">#REF!</definedName>
    <definedName name="NR_Switch">#REF!</definedName>
    <definedName name="NUM" localSheetId="4">#REF!</definedName>
    <definedName name="NUM" localSheetId="1">#REF!</definedName>
    <definedName name="NUM" localSheetId="3">#REF!</definedName>
    <definedName name="NUM" localSheetId="6">#REF!</definedName>
    <definedName name="NUM">#REF!</definedName>
    <definedName name="OCT" localSheetId="4">[25]Backup!#REF!</definedName>
    <definedName name="OCT" localSheetId="0">[25]Backup!#REF!</definedName>
    <definedName name="OCT" localSheetId="1">[25]Backup!#REF!</definedName>
    <definedName name="OCT" localSheetId="3">[25]Backup!#REF!</definedName>
    <definedName name="OCT" localSheetId="6">[25]Backup!#REF!</definedName>
    <definedName name="OCT">[25]Backup!#REF!</definedName>
    <definedName name="OCTT" localSheetId="4">#REF!</definedName>
    <definedName name="OCTT" localSheetId="0">#REF!</definedName>
    <definedName name="OCTT" localSheetId="1">#REF!</definedName>
    <definedName name="OCTT" localSheetId="3">#REF!</definedName>
    <definedName name="OCTT" localSheetId="6">#REF!</definedName>
    <definedName name="OCTT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NE" localSheetId="4">[1]Jan!#REF!</definedName>
    <definedName name="ONE" localSheetId="0">[1]Jan!#REF!</definedName>
    <definedName name="ONE" localSheetId="1">[1]Jan!#REF!</definedName>
    <definedName name="ONE" localSheetId="3">[1]Jan!#REF!</definedName>
    <definedName name="ONE" localSheetId="6">[1]Jan!#REF!</definedName>
    <definedName name="ONE">[1]Jan!#REF!</definedName>
    <definedName name="option">'[46]Dist Misc'!$F$120</definedName>
    <definedName name="OR_305_12mo_endg_200203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" localSheetId="4">#REF!</definedName>
    <definedName name="Page1" localSheetId="1">#REF!</definedName>
    <definedName name="Page1" localSheetId="3">#REF!</definedName>
    <definedName name="Page1" localSheetId="6">#REF!</definedName>
    <definedName name="Page1">#REF!</definedName>
    <definedName name="Page110" localSheetId="4">#REF!</definedName>
    <definedName name="Page110" localSheetId="1">#REF!</definedName>
    <definedName name="Page110" localSheetId="3">#REF!</definedName>
    <definedName name="Page110" localSheetId="6">#REF!</definedName>
    <definedName name="Page110">#REF!</definedName>
    <definedName name="Page120" localSheetId="4">#REF!</definedName>
    <definedName name="Page120" localSheetId="1">#REF!</definedName>
    <definedName name="Page120" localSheetId="3">#REF!</definedName>
    <definedName name="Page120" localSheetId="6">#REF!</definedName>
    <definedName name="Page120">#REF!</definedName>
    <definedName name="Page2" localSheetId="4">#REF!</definedName>
    <definedName name="Page2" localSheetId="1">#REF!</definedName>
    <definedName name="Page2" localSheetId="3">#REF!</definedName>
    <definedName name="Page2" localSheetId="6">#REF!</definedName>
    <definedName name="Page2">#REF!</definedName>
    <definedName name="PAGE3" localSheetId="4">#REF!</definedName>
    <definedName name="PAGE3" localSheetId="0">#REF!</definedName>
    <definedName name="PAGE3" localSheetId="1">#REF!</definedName>
    <definedName name="PAGE3" localSheetId="3">#REF!</definedName>
    <definedName name="PAGE3" localSheetId="6">#REF!</definedName>
    <definedName name="PAGE3">#REF!</definedName>
    <definedName name="Page30">#REF!</definedName>
    <definedName name="Page31">#REF!</definedName>
    <definedName name="Page4" localSheetId="4">#REF!</definedName>
    <definedName name="Page4" localSheetId="1">#REF!</definedName>
    <definedName name="Page4" localSheetId="3">#REF!</definedName>
    <definedName name="Page4" localSheetId="6">#REF!</definedName>
    <definedName name="Page4">#REF!</definedName>
    <definedName name="Page43">'[47]Demand Factors'!#REF!</definedName>
    <definedName name="Page44">'[47]Demand Factors'!#REF!</definedName>
    <definedName name="Page45">'[47]Demand Factors'!#REF!</definedName>
    <definedName name="Page46">'[47]Energy Factor'!#REF!</definedName>
    <definedName name="Page47">'[47]Energy Factor'!#REF!</definedName>
    <definedName name="Page48">'[47]Energy Factor'!#REF!</definedName>
    <definedName name="Page5" localSheetId="4">#REF!</definedName>
    <definedName name="Page5" localSheetId="1">#REF!</definedName>
    <definedName name="Page5" localSheetId="3">#REF!</definedName>
    <definedName name="Page5" localSheetId="6">#REF!</definedName>
    <definedName name="Page5">#REF!</definedName>
    <definedName name="Page6" localSheetId="4">#REF!</definedName>
    <definedName name="Page6" localSheetId="1">#REF!</definedName>
    <definedName name="Page6" localSheetId="3">#REF!</definedName>
    <definedName name="Page6" localSheetId="6">#REF!</definedName>
    <definedName name="Page6">#REF!</definedName>
    <definedName name="Page62" localSheetId="4">[48]TransInvest!#REF!</definedName>
    <definedName name="Page62" localSheetId="1">[48]TransInvest!#REF!</definedName>
    <definedName name="Page62" localSheetId="3">[48]TransInvest!#REF!</definedName>
    <definedName name="Page62" localSheetId="6">[48]TransInvest!#REF!</definedName>
    <definedName name="Page62">[48]TransInvest!#REF!</definedName>
    <definedName name="Page63">'[47]Energy Factor'!#REF!</definedName>
    <definedName name="Page64">'[47]Energy Factor'!#REF!</definedName>
    <definedName name="page65" localSheetId="4">#REF!</definedName>
    <definedName name="page65" localSheetId="1">#REF!</definedName>
    <definedName name="page65" localSheetId="3">#REF!</definedName>
    <definedName name="page65" localSheetId="6">#REF!</definedName>
    <definedName name="page65">#REF!</definedName>
    <definedName name="page66" localSheetId="4">#REF!</definedName>
    <definedName name="page66" localSheetId="1">#REF!</definedName>
    <definedName name="page66" localSheetId="3">#REF!</definedName>
    <definedName name="page66" localSheetId="6">#REF!</definedName>
    <definedName name="page66">#REF!</definedName>
    <definedName name="page67" localSheetId="4">#REF!</definedName>
    <definedName name="page67" localSheetId="1">#REF!</definedName>
    <definedName name="page67" localSheetId="3">#REF!</definedName>
    <definedName name="page67" localSheetId="6">#REF!</definedName>
    <definedName name="page67">#REF!</definedName>
    <definedName name="page68" localSheetId="4">#REF!</definedName>
    <definedName name="page68" localSheetId="1">#REF!</definedName>
    <definedName name="page68" localSheetId="3">#REF!</definedName>
    <definedName name="page68" localSheetId="6">#REF!</definedName>
    <definedName name="page68">#REF!</definedName>
    <definedName name="page69" localSheetId="4">#REF!</definedName>
    <definedName name="page69" localSheetId="1">#REF!</definedName>
    <definedName name="page69" localSheetId="3">#REF!</definedName>
    <definedName name="page69" localSheetId="6">#REF!</definedName>
    <definedName name="page69">#REF!</definedName>
    <definedName name="Page7" localSheetId="4">#REF!</definedName>
    <definedName name="Page7" localSheetId="1">#REF!</definedName>
    <definedName name="Page7" localSheetId="3">#REF!</definedName>
    <definedName name="Page7" localSheetId="6">#REF!</definedName>
    <definedName name="Page7">#REF!</definedName>
    <definedName name="page8" localSheetId="4">#REF!</definedName>
    <definedName name="page8" localSheetId="1">#REF!</definedName>
    <definedName name="page8" localSheetId="3">#REF!</definedName>
    <definedName name="page8" localSheetId="6">#REF!</definedName>
    <definedName name="page8">#REF!</definedName>
    <definedName name="PALL" localSheetId="4">#REF!</definedName>
    <definedName name="PALL" localSheetId="1">#REF!</definedName>
    <definedName name="PALL" localSheetId="3">#REF!</definedName>
    <definedName name="PALL" localSheetId="6">#REF!</definedName>
    <definedName name="PALL">#REF!</definedName>
    <definedName name="PBLOCK" localSheetId="4">#REF!</definedName>
    <definedName name="PBLOCK" localSheetId="1">#REF!</definedName>
    <definedName name="PBLOCK" localSheetId="3">#REF!</definedName>
    <definedName name="PBLOCK" localSheetId="6">#REF!</definedName>
    <definedName name="PBLOCK">#REF!</definedName>
    <definedName name="PBLOCKWZ" localSheetId="4">#REF!</definedName>
    <definedName name="PBLOCKWZ" localSheetId="1">#REF!</definedName>
    <definedName name="PBLOCKWZ" localSheetId="3">#REF!</definedName>
    <definedName name="PBLOCKWZ" localSheetId="6">#REF!</definedName>
    <definedName name="PBLOCKWZ">#REF!</definedName>
    <definedName name="PCOMP" localSheetId="4">#REF!</definedName>
    <definedName name="PCOMP" localSheetId="1">#REF!</definedName>
    <definedName name="PCOMP" localSheetId="3">#REF!</definedName>
    <definedName name="PCOMP" localSheetId="6">#REF!</definedName>
    <definedName name="PCOMP">#REF!</definedName>
    <definedName name="PCOMPOSITES" localSheetId="4">#REF!</definedName>
    <definedName name="PCOMPOSITES" localSheetId="1">#REF!</definedName>
    <definedName name="PCOMPOSITES" localSheetId="3">#REF!</definedName>
    <definedName name="PCOMPOSITES" localSheetId="6">#REF!</definedName>
    <definedName name="PCOMPOSITES">#REF!</definedName>
    <definedName name="PCOMPWZ" localSheetId="4">#REF!</definedName>
    <definedName name="PCOMPWZ" localSheetId="1">#REF!</definedName>
    <definedName name="PCOMPWZ" localSheetId="3">#REF!</definedName>
    <definedName name="PCOMPWZ" localSheetId="6">#REF!</definedName>
    <definedName name="PCOMPWZ">#REF!</definedName>
    <definedName name="PeakMethod">[15]Inputs!$T$5</definedName>
    <definedName name="Period2">[13]Inputs!$C$5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MAC" localSheetId="4">[25]Backup!#REF!</definedName>
    <definedName name="PMAC" localSheetId="0">[25]Backup!#REF!</definedName>
    <definedName name="PMAC" localSheetId="1">[25]Backup!#REF!</definedName>
    <definedName name="PMAC" localSheetId="3">[25]Backup!#REF!</definedName>
    <definedName name="PMAC" localSheetId="6">[25]Backup!#REF!</definedName>
    <definedName name="PMAC">[25]Backup!#REF!</definedName>
    <definedName name="PRESENT" localSheetId="4">#REF!</definedName>
    <definedName name="PRESENT" localSheetId="0">#REF!</definedName>
    <definedName name="PRESENT" localSheetId="1">#REF!</definedName>
    <definedName name="PRESENT" localSheetId="3">#REF!</definedName>
    <definedName name="PRESENT" localSheetId="6">#REF!</definedName>
    <definedName name="PRESENT">#REF!</definedName>
    <definedName name="PRICCHNG" localSheetId="4">#REF!</definedName>
    <definedName name="PRICCHNG" localSheetId="1">#REF!</definedName>
    <definedName name="PRICCHNG" localSheetId="3">#REF!</definedName>
    <definedName name="PRICCHNG" localSheetId="6">#REF!</definedName>
    <definedName name="PRICCHNG">#REF!</definedName>
    <definedName name="PricingInfo" hidden="1">[49]Inputs!#REF!</definedName>
    <definedName name="_xlnm.Print_Area" localSheetId="0">'Attachment A'!$A$1:$L$63</definedName>
    <definedName name="_xlnm.Print_Area" localSheetId="1">'Attachment B'!$A$1:$F$16</definedName>
    <definedName name="_xlnm.Print_Area" localSheetId="2">'Attachment C'!$B$3:$O$40</definedName>
    <definedName name="_xlnm.Print_Area" localSheetId="3">'Attachment D'!$B$1:$W$49</definedName>
    <definedName name="_xlnm.Print_Area" localSheetId="5">'Billing Comp Schedule 40'!$B$2:$Q$39</definedName>
    <definedName name="_xlnm.Print_Area" localSheetId="6">'Table A rate case'!$B$1:$V$49</definedName>
    <definedName name="_xlnm.Print_Area">#REF!</definedName>
    <definedName name="_xlnm.Print_Titles" localSheetId="0">'Attachment A'!$1:$4</definedName>
    <definedName name="PROD" localSheetId="0">#REF!</definedName>
    <definedName name="PROD">#REF!</definedName>
    <definedName name="PROPOSED">#REF!</definedName>
    <definedName name="ProRate1" localSheetId="0">#REF!</definedName>
    <definedName name="ProRate1" localSheetId="3">#REF!</definedName>
    <definedName name="ProRate1">#REF!</definedName>
    <definedName name="PTABLES" localSheetId="4">#REF!</definedName>
    <definedName name="PTABLES" localSheetId="1">#REF!</definedName>
    <definedName name="PTABLES" localSheetId="3">#REF!</definedName>
    <definedName name="PTABLES" localSheetId="6">#REF!</definedName>
    <definedName name="PTABLES">#REF!</definedName>
    <definedName name="PTD" localSheetId="0">#REF!</definedName>
    <definedName name="PTD">#REF!</definedName>
    <definedName name="PTDMOD" localSheetId="4">#REF!</definedName>
    <definedName name="PTDMOD" localSheetId="0">#REF!</definedName>
    <definedName name="PTDMOD" localSheetId="1">#REF!</definedName>
    <definedName name="PTDMOD" localSheetId="3">#REF!</definedName>
    <definedName name="PTDMOD" localSheetId="6">#REF!</definedName>
    <definedName name="PTDMOD">#REF!</definedName>
    <definedName name="PTDROLL" localSheetId="4">#REF!</definedName>
    <definedName name="PTDROLL" localSheetId="0">#REF!</definedName>
    <definedName name="PTDROLL" localSheetId="1">#REF!</definedName>
    <definedName name="PTDROLL" localSheetId="3">#REF!</definedName>
    <definedName name="PTDROLL" localSheetId="6">#REF!</definedName>
    <definedName name="PTDROLL">#REF!</definedName>
    <definedName name="PTMOD" localSheetId="4">#REF!</definedName>
    <definedName name="PTMOD" localSheetId="0">#REF!</definedName>
    <definedName name="PTMOD" localSheetId="1">#REF!</definedName>
    <definedName name="PTMOD" localSheetId="3">#REF!</definedName>
    <definedName name="PTMOD" localSheetId="6">#REF!</definedName>
    <definedName name="PTMOD">#REF!</definedName>
    <definedName name="PTROLL" localSheetId="4">#REF!</definedName>
    <definedName name="PTROLL" localSheetId="0">#REF!</definedName>
    <definedName name="PTROLL" localSheetId="1">#REF!</definedName>
    <definedName name="PTROLL" localSheetId="3">#REF!</definedName>
    <definedName name="PTROLL" localSheetId="6">#REF!</definedName>
    <definedName name="PTROLL">#REF!</definedName>
    <definedName name="PWORKBACK" localSheetId="4">#REF!</definedName>
    <definedName name="PWORKBACK" localSheetId="1">#REF!</definedName>
    <definedName name="PWORKBACK" localSheetId="3">#REF!</definedName>
    <definedName name="PWORKBACK" localSheetId="6">#REF!</definedName>
    <definedName name="PWORKBACK">#REF!</definedName>
    <definedName name="Query1" localSheetId="4">#REF!</definedName>
    <definedName name="Query1" localSheetId="0">#REF!</definedName>
    <definedName name="Query1" localSheetId="1">#REF!</definedName>
    <definedName name="Query1" localSheetId="3">#REF!</definedName>
    <definedName name="Query1" localSheetId="6">#REF!</definedName>
    <definedName name="Query1">#REF!</definedName>
    <definedName name="RateCd">#REF!</definedName>
    <definedName name="RatePeriod" localSheetId="0">[32]ASCs!$F$31</definedName>
    <definedName name="RatePeriod">[33]ASCs!$F$31</definedName>
    <definedName name="Rates">[50]Codes!$A$1:$C$500</definedName>
    <definedName name="Ratio" localSheetId="0">#REF!</definedName>
    <definedName name="Ratio">#REF!</definedName>
    <definedName name="ratio2" localSheetId="0">#REF!</definedName>
    <definedName name="ratio2">#REF!</definedName>
    <definedName name="Ratios" localSheetId="0">#REF!</definedName>
    <definedName name="Ratios">#REF!</definedName>
    <definedName name="RC_ADJ" localSheetId="4">#REF!</definedName>
    <definedName name="RC_ADJ" localSheetId="1">#REF!</definedName>
    <definedName name="RC_ADJ" localSheetId="3">#REF!</definedName>
    <definedName name="RC_ADJ" localSheetId="6">#REF!</definedName>
    <definedName name="RC_ADJ">#REF!</definedName>
    <definedName name="RESADJ" localSheetId="4">#REF!</definedName>
    <definedName name="RESADJ" localSheetId="1">#REF!</definedName>
    <definedName name="RESADJ" localSheetId="3">#REF!</definedName>
    <definedName name="RESADJ" localSheetId="6">#REF!</definedName>
    <definedName name="RESADJ">#REF!</definedName>
    <definedName name="RESIDENTIAL">#REF!</definedName>
    <definedName name="ResourceSupplier" localSheetId="0">[22]Variables!$D$28</definedName>
    <definedName name="ResourceSupplier">[23]Variables!$D$28</definedName>
    <definedName name="retail" hidden="1">{#N/A,#N/A,FALSE,"Loans";#N/A,#N/A,FALSE,"Program Costs";#N/A,#N/A,FALSE,"Measures";#N/A,#N/A,FALSE,"Net Lost Rev";#N/A,#N/A,FALSE,"Incentive"}</definedName>
    <definedName name="retail_CC" localSheetId="4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localSheetId="6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4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localSheetId="6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4">#REF!</definedName>
    <definedName name="REV_SCHD" localSheetId="1">#REF!</definedName>
    <definedName name="REV_SCHD" localSheetId="3">#REF!</definedName>
    <definedName name="REV_SCHD" localSheetId="6">#REF!</definedName>
    <definedName name="REV_SCHD">#REF!</definedName>
    <definedName name="RevCl">#REF!</definedName>
    <definedName name="RevClass">[50]Codes!$F$2:$G$10</definedName>
    <definedName name="Revenue_by_month_take_2" localSheetId="4">#REF!</definedName>
    <definedName name="Revenue_by_month_take_2" localSheetId="0">#REF!</definedName>
    <definedName name="Revenue_by_month_take_2" localSheetId="1">#REF!</definedName>
    <definedName name="Revenue_by_month_take_2" localSheetId="3">#REF!</definedName>
    <definedName name="Revenue_by_month_take_2" localSheetId="6">#REF!</definedName>
    <definedName name="Revenue_by_month_take_2">#REF!</definedName>
    <definedName name="revenue3">#REF!</definedName>
    <definedName name="RevenueCheck" localSheetId="4">#REF!</definedName>
    <definedName name="RevenueCheck" localSheetId="0">#REF!</definedName>
    <definedName name="RevenueCheck" localSheetId="1">#REF!</definedName>
    <definedName name="RevenueCheck" localSheetId="3">#REF!</definedName>
    <definedName name="RevenueCheck" localSheetId="6">#REF!</definedName>
    <definedName name="RevenueCheck">#REF!</definedName>
    <definedName name="Revenues">#REF!</definedName>
    <definedName name="RevReqSettle" localSheetId="4">#REF!</definedName>
    <definedName name="RevReqSettle" localSheetId="1">#REF!</definedName>
    <definedName name="RevReqSettle" localSheetId="3">#REF!</definedName>
    <definedName name="RevReqSettle" localSheetId="6">#REF!</definedName>
    <definedName name="RevReqSettle">#REF!</definedName>
    <definedName name="REVVSTRS" localSheetId="4">#REF!</definedName>
    <definedName name="REVVSTRS" localSheetId="1">#REF!</definedName>
    <definedName name="REVVSTRS" localSheetId="3">#REF!</definedName>
    <definedName name="REVVSTRS" localSheetId="6">#REF!</definedName>
    <definedName name="REVVSTRS">#REF!</definedName>
    <definedName name="RISFORM" localSheetId="4">#REF!</definedName>
    <definedName name="RISFORM" localSheetId="0">#REF!</definedName>
    <definedName name="RISFORM" localSheetId="1">#REF!</definedName>
    <definedName name="RISFORM" localSheetId="3">#REF!</definedName>
    <definedName name="RISFORM" localSheetId="6">#REF!</definedName>
    <definedName name="RISFORM">#REF!</definedName>
    <definedName name="RP_OSS_PP" localSheetId="0">#REF!</definedName>
    <definedName name="RP_OSS_PP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"44KU92Q9LH2VK4DK86GZ93AXN"</definedName>
    <definedName name="Sch25Split">[51]Inputs!$N$29</definedName>
    <definedName name="SCH33CUSTS" localSheetId="4">#REF!</definedName>
    <definedName name="SCH33CUSTS" localSheetId="1">#REF!</definedName>
    <definedName name="SCH33CUSTS" localSheetId="3">#REF!</definedName>
    <definedName name="SCH33CUSTS" localSheetId="6">#REF!</definedName>
    <definedName name="SCH33CUSTS">#REF!</definedName>
    <definedName name="SCH48ADJ" localSheetId="4">#REF!</definedName>
    <definedName name="SCH48ADJ" localSheetId="1">#REF!</definedName>
    <definedName name="SCH48ADJ" localSheetId="3">#REF!</definedName>
    <definedName name="SCH48ADJ" localSheetId="6">#REF!</definedName>
    <definedName name="SCH48ADJ">#REF!</definedName>
    <definedName name="SCH98NOR" localSheetId="4">#REF!</definedName>
    <definedName name="SCH98NOR" localSheetId="1">#REF!</definedName>
    <definedName name="SCH98NOR" localSheetId="3">#REF!</definedName>
    <definedName name="SCH98NOR" localSheetId="6">#REF!</definedName>
    <definedName name="SCH98NOR">#REF!</definedName>
    <definedName name="SCHED47" localSheetId="4">#REF!</definedName>
    <definedName name="SCHED47" localSheetId="1">#REF!</definedName>
    <definedName name="SCHED47" localSheetId="3">#REF!</definedName>
    <definedName name="SCHED47" localSheetId="6">#REF!</definedName>
    <definedName name="SCHED47">#REF!</definedName>
    <definedName name="Schedule" localSheetId="4">[19]Inputs!$N$14</definedName>
    <definedName name="Schedule" localSheetId="1">[19]Inputs!$N$14</definedName>
    <definedName name="Schedule" localSheetId="3">[19]Inputs!$N$14</definedName>
    <definedName name="Schedule" localSheetId="6">[19]Inputs!$N$14</definedName>
    <definedName name="Schedule">[20]Inputs!$N$14</definedName>
    <definedName name="se" localSheetId="4">#REF!</definedName>
    <definedName name="se" localSheetId="0">#REF!</definedName>
    <definedName name="se" localSheetId="1">#REF!</definedName>
    <definedName name="se" localSheetId="3">#REF!</definedName>
    <definedName name="se" localSheetId="6">#REF!</definedName>
    <definedName name="se">#REF!</definedName>
    <definedName name="SECOND" localSheetId="4">[1]Jan!#REF!</definedName>
    <definedName name="SECOND" localSheetId="0">[1]Jan!#REF!</definedName>
    <definedName name="SECOND" localSheetId="1">[1]Jan!#REF!</definedName>
    <definedName name="SECOND" localSheetId="3">[1]Jan!#REF!</definedName>
    <definedName name="SECOND" localSheetId="6">[1]Jan!#REF!</definedName>
    <definedName name="SECOND">[1]Jan!#REF!</definedName>
    <definedName name="SEP" localSheetId="4">[25]Backup!#REF!</definedName>
    <definedName name="SEP" localSheetId="0">[25]Backup!#REF!</definedName>
    <definedName name="SEP" localSheetId="1">[25]Backup!#REF!</definedName>
    <definedName name="SEP" localSheetId="3">[25]Backup!#REF!</definedName>
    <definedName name="SEP" localSheetId="6">[25]Backup!#REF!</definedName>
    <definedName name="SEP">[25]Backup!#REF!</definedName>
    <definedName name="SEPT" localSheetId="4">#REF!</definedName>
    <definedName name="SEPT" localSheetId="0">#REF!</definedName>
    <definedName name="SEPT" localSheetId="1">#REF!</definedName>
    <definedName name="SEPT" localSheetId="3">#REF!</definedName>
    <definedName name="SEPT" localSheetId="6">#REF!</definedName>
    <definedName name="SEPT">#REF!</definedName>
    <definedName name="September_2001_305_Detail">#REF!</definedName>
    <definedName name="SERVICES_3" localSheetId="4">#REF!</definedName>
    <definedName name="SERVICES_3" localSheetId="0">#REF!</definedName>
    <definedName name="SERVICES_3" localSheetId="1">#REF!</definedName>
    <definedName name="SERVICES_3" localSheetId="3">#REF!</definedName>
    <definedName name="SERVICES_3" localSheetId="6">#REF!</definedName>
    <definedName name="SERVICES_3">#REF!</definedName>
    <definedName name="sg" localSheetId="4">#REF!</definedName>
    <definedName name="sg" localSheetId="0">#REF!</definedName>
    <definedName name="sg" localSheetId="1">#REF!</definedName>
    <definedName name="sg" localSheetId="3">#REF!</definedName>
    <definedName name="sg" localSheetId="6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tandard1" hidden="1">{"YTD-Total",#N/A,FALSE,"Provision"}</definedName>
    <definedName name="START" localSheetId="4">[1]Jan!#REF!</definedName>
    <definedName name="START" localSheetId="0">[1]Jan!#REF!</definedName>
    <definedName name="START" localSheetId="1">[1]Jan!#REF!</definedName>
    <definedName name="START" localSheetId="3">[1]Jan!#REF!</definedName>
    <definedName name="START" localSheetId="6">[1]Jan!#REF!</definedName>
    <definedName name="START">[1]Jan!#REF!</definedName>
    <definedName name="State">[13]Inputs!$C$4</definedName>
    <definedName name="SUM_TAB1" localSheetId="4">#REF!</definedName>
    <definedName name="SUM_TAB1" localSheetId="1">#REF!</definedName>
    <definedName name="SUM_TAB1" localSheetId="3">#REF!</definedName>
    <definedName name="SUM_TAB1" localSheetId="6">#REF!</definedName>
    <definedName name="SUM_TAB1">#REF!</definedName>
    <definedName name="SUM_TAB2" localSheetId="4">#REF!</definedName>
    <definedName name="SUM_TAB2" localSheetId="1">#REF!</definedName>
    <definedName name="SUM_TAB2" localSheetId="3">#REF!</definedName>
    <definedName name="SUM_TAB2" localSheetId="6">#REF!</definedName>
    <definedName name="SUM_TAB2">#REF!</definedName>
    <definedName name="SUM_TAB3" localSheetId="4">#REF!</definedName>
    <definedName name="SUM_TAB3" localSheetId="1">#REF!</definedName>
    <definedName name="SUM_TAB3" localSheetId="3">#REF!</definedName>
    <definedName name="SUM_TAB3" localSheetId="6">#REF!</definedName>
    <definedName name="SUM_TAB3">#REF!</definedName>
    <definedName name="TABLE_1" localSheetId="4">#REF!</definedName>
    <definedName name="TABLE_1" localSheetId="0">#REF!</definedName>
    <definedName name="TABLE_1" localSheetId="1">#REF!</definedName>
    <definedName name="TABLE_1" localSheetId="3">#REF!</definedName>
    <definedName name="TABLE_1" localSheetId="6">#REF!</definedName>
    <definedName name="TABLE_1">#REF!</definedName>
    <definedName name="TABLE_2" localSheetId="4">#REF!</definedName>
    <definedName name="TABLE_2" localSheetId="0">#REF!</definedName>
    <definedName name="TABLE_2" localSheetId="1">#REF!</definedName>
    <definedName name="TABLE_2" localSheetId="3">#REF!</definedName>
    <definedName name="TABLE_2" localSheetId="6">#REF!</definedName>
    <definedName name="TABLE_2">#REF!</definedName>
    <definedName name="TABLE_3" localSheetId="4">#REF!</definedName>
    <definedName name="TABLE_3" localSheetId="0">#REF!</definedName>
    <definedName name="TABLE_3" localSheetId="1">#REF!</definedName>
    <definedName name="TABLE_3" localSheetId="3">#REF!</definedName>
    <definedName name="TABLE_3" localSheetId="6">#REF!</definedName>
    <definedName name="TABLE_3">#REF!</definedName>
    <definedName name="TABLE_4" localSheetId="4">#REF!</definedName>
    <definedName name="TABLE_4" localSheetId="0">#REF!</definedName>
    <definedName name="TABLE_4" localSheetId="1">#REF!</definedName>
    <definedName name="TABLE_4" localSheetId="3">#REF!</definedName>
    <definedName name="TABLE_4" localSheetId="6">#REF!</definedName>
    <definedName name="TABLE_4">#REF!</definedName>
    <definedName name="TABLE_4_A" localSheetId="4">#REF!</definedName>
    <definedName name="TABLE_4_A" localSheetId="0">#REF!</definedName>
    <definedName name="TABLE_4_A" localSheetId="1">#REF!</definedName>
    <definedName name="TABLE_4_A" localSheetId="3">#REF!</definedName>
    <definedName name="TABLE_4_A" localSheetId="6">#REF!</definedName>
    <definedName name="TABLE_4_A">#REF!</definedName>
    <definedName name="TABLE_5" localSheetId="4">#REF!</definedName>
    <definedName name="TABLE_5" localSheetId="0">#REF!</definedName>
    <definedName name="TABLE_5" localSheetId="1">#REF!</definedName>
    <definedName name="TABLE_5" localSheetId="3">#REF!</definedName>
    <definedName name="TABLE_5" localSheetId="6">#REF!</definedName>
    <definedName name="TABLE_5">#REF!</definedName>
    <definedName name="TABLE_6" localSheetId="4">#REF!</definedName>
    <definedName name="TABLE_6" localSheetId="0">#REF!</definedName>
    <definedName name="TABLE_6" localSheetId="1">#REF!</definedName>
    <definedName name="TABLE_6" localSheetId="3">#REF!</definedName>
    <definedName name="TABLE_6" localSheetId="6">#REF!</definedName>
    <definedName name="TABLE_6">#REF!</definedName>
    <definedName name="TABLE_7" localSheetId="4">#REF!</definedName>
    <definedName name="TABLE_7" localSheetId="0">#REF!</definedName>
    <definedName name="TABLE_7" localSheetId="1">#REF!</definedName>
    <definedName name="TABLE_7" localSheetId="3">#REF!</definedName>
    <definedName name="TABLE_7" localSheetId="6">#REF!</definedName>
    <definedName name="TABLE_7">#REF!</definedName>
    <definedName name="TABLE1" localSheetId="4">#REF!</definedName>
    <definedName name="TABLE1" localSheetId="1">#REF!</definedName>
    <definedName name="TABLE1" localSheetId="3">#REF!</definedName>
    <definedName name="TABLE1" localSheetId="6">#REF!</definedName>
    <definedName name="TABLE1">#REF!</definedName>
    <definedName name="TABLE2" localSheetId="4">#REF!</definedName>
    <definedName name="TABLE2" localSheetId="1">#REF!</definedName>
    <definedName name="TABLE2" localSheetId="3">#REF!</definedName>
    <definedName name="TABLE2" localSheetId="6">#REF!</definedName>
    <definedName name="TABLE2">#REF!</definedName>
    <definedName name="TABLEA" localSheetId="4">#REF!</definedName>
    <definedName name="TABLEA" localSheetId="1">#REF!</definedName>
    <definedName name="TABLEA" localSheetId="3">'Attachment D'!$B$3:$AR$46</definedName>
    <definedName name="TABLEA" localSheetId="6">'Table A rate case'!$B$3:$AB$46</definedName>
    <definedName name="TABLEA">#REF!</definedName>
    <definedName name="TABLEB">#REF!</definedName>
    <definedName name="TABLEC">#REF!</definedName>
    <definedName name="TABLEONE" localSheetId="4">#REF!</definedName>
    <definedName name="TABLEONE" localSheetId="0">#REF!</definedName>
    <definedName name="TABLEONE" localSheetId="1">#REF!</definedName>
    <definedName name="TABLEONE" localSheetId="3">#REF!</definedName>
    <definedName name="TABLEONE" localSheetId="6">#REF!</definedName>
    <definedName name="TABLEONE">#REF!</definedName>
    <definedName name="TargetInc">[14]Inputs!$K$19</definedName>
    <definedName name="TargetROR">[15]Inputs!$G$29</definedName>
    <definedName name="TargetROR1">[52]Inputs!$G$30</definedName>
    <definedName name="TDMOD" localSheetId="4">#REF!</definedName>
    <definedName name="TDMOD" localSheetId="0">#REF!</definedName>
    <definedName name="TDMOD" localSheetId="1">#REF!</definedName>
    <definedName name="TDMOD" localSheetId="3">#REF!</definedName>
    <definedName name="TDMOD" localSheetId="6">#REF!</definedName>
    <definedName name="TDMOD">#REF!</definedName>
    <definedName name="TDROLL" localSheetId="4">#REF!</definedName>
    <definedName name="TDROLL" localSheetId="0">#REF!</definedName>
    <definedName name="TDROLL" localSheetId="1">#REF!</definedName>
    <definedName name="TDROLL" localSheetId="3">#REF!</definedName>
    <definedName name="TDROLL" localSheetId="6">#REF!</definedName>
    <definedName name="TDROLL">#REF!</definedName>
    <definedName name="TEMPADJ" localSheetId="4">#REF!</definedName>
    <definedName name="TEMPADJ" localSheetId="1">#REF!</definedName>
    <definedName name="TEMPADJ" localSheetId="3">#REF!</definedName>
    <definedName name="TEMPADJ" localSheetId="6">#REF!</definedName>
    <definedName name="TEMPADJ">#REF!</definedName>
    <definedName name="Test" localSheetId="4">#REF!</definedName>
    <definedName name="Test" localSheetId="1">#REF!</definedName>
    <definedName name="Test" localSheetId="3">#REF!</definedName>
    <definedName name="Test" localSheetId="6">#REF!</definedName>
    <definedName name="Test">#REF!</definedName>
    <definedName name="Test1" localSheetId="4">#REF!</definedName>
    <definedName name="Test1" localSheetId="1">#REF!</definedName>
    <definedName name="Test1" localSheetId="3">#REF!</definedName>
    <definedName name="Test1" localSheetId="6">#REF!</definedName>
    <definedName name="Test1">#REF!</definedName>
    <definedName name="Test2" localSheetId="4">#REF!</definedName>
    <definedName name="Test2" localSheetId="1">#REF!</definedName>
    <definedName name="Test2" localSheetId="3">#REF!</definedName>
    <definedName name="Test2" localSheetId="6">#REF!</definedName>
    <definedName name="Test2">#REF!</definedName>
    <definedName name="Test3" localSheetId="4">#REF!</definedName>
    <definedName name="Test3" localSheetId="1">#REF!</definedName>
    <definedName name="Test3" localSheetId="3">#REF!</definedName>
    <definedName name="Test3" localSheetId="6">#REF!</definedName>
    <definedName name="Test3">#REF!</definedName>
    <definedName name="Test4" localSheetId="4">#REF!</definedName>
    <definedName name="Test4" localSheetId="1">#REF!</definedName>
    <definedName name="Test4" localSheetId="3">#REF!</definedName>
    <definedName name="Test4" localSheetId="6">#REF!</definedName>
    <definedName name="Test4">#REF!</definedName>
    <definedName name="Test5" localSheetId="4">#REF!</definedName>
    <definedName name="Test5" localSheetId="1">#REF!</definedName>
    <definedName name="Test5" localSheetId="3">#REF!</definedName>
    <definedName name="Test5" localSheetId="6">#REF!</definedName>
    <definedName name="Test5">#REF!</definedName>
    <definedName name="TestPeriod">[16]Inputs!$C$5</definedName>
    <definedName name="TotalRateBase">'[16]G+T+D+R+M'!$H$58</definedName>
    <definedName name="TRANSM_2" localSheetId="0">[53]Transm2!$A$1:$M$461:'[53]10 Yr FC'!$M$47</definedName>
    <definedName name="TRANSM_2">[54]Transm2!$A$1:$M$461:'[54]10 Yr FC'!$M$47</definedName>
    <definedName name="UAACT115S" localSheetId="4">'[19]Functional Study'!#REF!</definedName>
    <definedName name="UAACT115S" localSheetId="1">'[19]Functional Study'!#REF!</definedName>
    <definedName name="UAACT115S" localSheetId="3">'[19]Functional Study'!#REF!</definedName>
    <definedName name="UAACT115S" localSheetId="6">'[19]Functional Study'!#REF!</definedName>
    <definedName name="UAACT115S">'[20]Functional Study'!#REF!</definedName>
    <definedName name="UAcct103">'[16]Func Study'!$AB$1613</definedName>
    <definedName name="UAcct105Dnpg">'[16]Func Study'!$AB$2010</definedName>
    <definedName name="UAcct105S">'[16]Func Study'!$AB$2005</definedName>
    <definedName name="UAcct105Seu">'[16]Func Study'!$AB$2009</definedName>
    <definedName name="UAcct105Snppo">'[16]Func Study'!$AB$2008</definedName>
    <definedName name="UAcct105Snpps">'[16]Func Study'!$AB$2006</definedName>
    <definedName name="UAcct105Snpt">'[16]Func Study'!$AB$2007</definedName>
    <definedName name="UAcct1081390">'[16]Func Study'!$AB$2451</definedName>
    <definedName name="UAcct1081390Rcl">'[16]Func Study'!$AB$2450</definedName>
    <definedName name="UAcct1081390Sou">'[13]Functional Study'!$AG$2403</definedName>
    <definedName name="UAcct1081399">'[16]Func Study'!$AB$2459</definedName>
    <definedName name="UAcct1081399Rcl">'[16]Func Study'!$AB$2458</definedName>
    <definedName name="UAcct1081399S">'[13]Functional Study'!$AG$2410</definedName>
    <definedName name="UAcct1081399Sep">'[13]Functional Study'!$AG$2411</definedName>
    <definedName name="UAcct108360">'[16]Func Study'!$AB$2355</definedName>
    <definedName name="UAcct108361">'[16]Func Study'!$AB$2359</definedName>
    <definedName name="UAcct108362">'[16]Func Study'!$AB$2363</definedName>
    <definedName name="UAcct108364">'[16]Func Study'!$AB$2367</definedName>
    <definedName name="UAcct108365">'[16]Func Study'!$AB$2371</definedName>
    <definedName name="UAcct108366">'[16]Func Study'!$AB$2375</definedName>
    <definedName name="UAcct108367">'[16]Func Study'!$AB$2379</definedName>
    <definedName name="UAcct108368">'[16]Func Study'!$AB$2383</definedName>
    <definedName name="UAcct108369">'[16]Func Study'!$AB$2387</definedName>
    <definedName name="UAcct108370">'[16]Func Study'!$AB$2391</definedName>
    <definedName name="UAcct108371">'[16]Func Study'!$AB$2395</definedName>
    <definedName name="UAcct108372">'[16]Func Study'!$AB$2399</definedName>
    <definedName name="UAcct108373">'[16]Func Study'!$AB$2403</definedName>
    <definedName name="UAcct108D">'[16]Func Study'!$AB$2415</definedName>
    <definedName name="UAcct108D00">'[16]Func Study'!$AB$2407</definedName>
    <definedName name="UAcct108Ds">'[16]Func Study'!$AB$2411</definedName>
    <definedName name="UAcct108Ep">'[16]Func Study'!$AB$2327</definedName>
    <definedName name="UAcct108Epsgp">'[14]Functional Study'!#REF!</definedName>
    <definedName name="UAcct108Gpcn">'[16]Func Study'!$AB$2429</definedName>
    <definedName name="UAcct108Gps">'[16]Func Study'!$AB$2425</definedName>
    <definedName name="UAcct108Gpse">'[16]Func Study'!$AB$2431</definedName>
    <definedName name="UAcct108Gpsg">'[16]Func Study'!$AB$2428</definedName>
    <definedName name="UAcct108Gpsgp">'[16]Func Study'!$AB$2426</definedName>
    <definedName name="UAcct108Gpsgu">'[16]Func Study'!$AB$2427</definedName>
    <definedName name="UAcct108Gpso">'[16]Func Study'!$AB$2430</definedName>
    <definedName name="UACCT108GPSSGCH">'[16]Func Study'!$AB$2434</definedName>
    <definedName name="UACCT108GPSSGCT">'[16]Func Study'!$AB$2433</definedName>
    <definedName name="UAcct108Hp">'[16]Func Study'!$AB$2313</definedName>
    <definedName name="UAcct108Hpdgu">'[14]Functional Study'!#REF!</definedName>
    <definedName name="UAcct108Mp">'[16]Func Study'!$AB$2444</definedName>
    <definedName name="UAcct108Np">'[16]Func Study'!$AB$2305</definedName>
    <definedName name="UAcct108Npdgu">'[14]Functional Study'!#REF!</definedName>
    <definedName name="UAcct108Npsgu">'[14]Functional Study'!#REF!</definedName>
    <definedName name="UACCT108NPSSCCT">'[13]Functional Study'!$AG$2276</definedName>
    <definedName name="UAcct108Op">'[16]Func Study'!$AB$2322</definedName>
    <definedName name="UAcct108OpSGW">'[47]Functional Study'!$AG$2274</definedName>
    <definedName name="UACCT108OPSSCCT">'[16]Func Study'!$AB$2321</definedName>
    <definedName name="UAcct108Sp">'[16]Func Study'!$AB$2299</definedName>
    <definedName name="UAcct108Spdgp">'[14]Functional Study'!$AG$2002</definedName>
    <definedName name="UAcct108Spdgu">'[14]Functional Study'!#REF!</definedName>
    <definedName name="UAcct108Spsgp">'[14]Functional Study'!#REF!</definedName>
    <definedName name="UACCT108SPSSGCH">'[16]Func Study'!$AB$2298</definedName>
    <definedName name="UACCT108SSGCH">'[13]Functional Study'!$AG$2390</definedName>
    <definedName name="UACCT108SSGCT">'[13]Functional Study'!$AG$2389</definedName>
    <definedName name="UAcct108Tp">'[16]Func Study'!$AB$2346</definedName>
    <definedName name="UACCT111390">'[13]Functional Study'!$AG$2471</definedName>
    <definedName name="UAcct111Clg">'[16]Func Study'!$AB$2487</definedName>
    <definedName name="UAcct111Clgsou">'[16]Func Study'!$AB$2485</definedName>
    <definedName name="UAcct111Clh">'[16]Func Study'!$AB$2493</definedName>
    <definedName name="UAcct111Clhdgu">'[14]Functional Study'!#REF!</definedName>
    <definedName name="UAcct111Cls">'[16]Func Study'!$AB$2478</definedName>
    <definedName name="UAcct111Ipcn">'[16]Func Study'!$AB$2502</definedName>
    <definedName name="UAcct111Ips">'[16]Func Study'!$AB$2497</definedName>
    <definedName name="UAcct111Ipse">'[16]Func Study'!$AB$2500</definedName>
    <definedName name="UAcct111Ipsg">'[16]Func Study'!$AB$2501</definedName>
    <definedName name="UAcct111Ipsgp">'[16]Func Study'!$AB$2498</definedName>
    <definedName name="UAcct111Ipsgu">'[16]Func Study'!$AB$2499</definedName>
    <definedName name="UAcct111Ipso">'[16]Func Study'!$AB$2506</definedName>
    <definedName name="UACCT111IPSSGCH">'[16]Func Study'!$AB$2505</definedName>
    <definedName name="UACCT111IPSSGCT">'[16]Func Study'!$AB$2504</definedName>
    <definedName name="UAcct114">'[16]Func Study'!$AB$2017</definedName>
    <definedName name="UAcct114Dgp">'[14]Functional Study'!#REF!</definedName>
    <definedName name="UACCT115" localSheetId="4">'[19]Functional Study'!#REF!</definedName>
    <definedName name="UACCT115" localSheetId="1">'[19]Functional Study'!#REF!</definedName>
    <definedName name="UACCT115" localSheetId="3">'[19]Functional Study'!#REF!</definedName>
    <definedName name="UACCT115" localSheetId="6">'[19]Functional Study'!#REF!</definedName>
    <definedName name="UACCT115">'[20]Functional Study'!#REF!</definedName>
    <definedName name="UACCT115DGP" localSheetId="4">'[19]Functional Study'!#REF!</definedName>
    <definedName name="UACCT115DGP" localSheetId="1">'[19]Functional Study'!#REF!</definedName>
    <definedName name="UACCT115DGP" localSheetId="3">'[19]Functional Study'!#REF!</definedName>
    <definedName name="UACCT115DGP" localSheetId="6">'[19]Functional Study'!#REF!</definedName>
    <definedName name="UACCT115DGP">'[20]Functional Study'!#REF!</definedName>
    <definedName name="UACCT115SG" localSheetId="4">'[19]Functional Study'!#REF!</definedName>
    <definedName name="UACCT115SG" localSheetId="1">'[19]Functional Study'!#REF!</definedName>
    <definedName name="UACCT115SG" localSheetId="3">'[19]Functional Study'!#REF!</definedName>
    <definedName name="UACCT115SG" localSheetId="6">'[19]Functional Study'!#REF!</definedName>
    <definedName name="UACCT115SG">'[20]Functional Study'!#REF!</definedName>
    <definedName name="UAcct120">'[16]Func Study'!$AB$2021</definedName>
    <definedName name="UAcct124">'[16]Func Study'!$AB$2026</definedName>
    <definedName name="UAcct141">'[16]Func Study'!$AB$2173</definedName>
    <definedName name="UAcct151">'[16]Func Study'!$AB$2049</definedName>
    <definedName name="UAcct151Se">'[13]Functional Study'!$AG$2000</definedName>
    <definedName name="UACCT151SSECH">'[13]Functional Study'!$AG$2002</definedName>
    <definedName name="Uacct151SSECT">'[16]Func Study'!$AB$2047</definedName>
    <definedName name="UAcct154">'[16]Func Study'!$AB$2083</definedName>
    <definedName name="UAcct154Sg">'[14]Functional Study'!$AG$1795</definedName>
    <definedName name="UAcct154Sg2">'[14]Functional Study'!#REF!</definedName>
    <definedName name="UACCT154SSGCH">'[13]Functional Study'!$AG$2035</definedName>
    <definedName name="Uacct154SSGCT">'[16]Func Study'!$AB$2080</definedName>
    <definedName name="UAcct163">'[16]Func Study'!$AB$2093</definedName>
    <definedName name="UAcct165">'[16]Func Study'!$AB$2108</definedName>
    <definedName name="UAcct165Gps">'[16]Func Study'!$AB$2104</definedName>
    <definedName name="UAcct182">'[16]Func Study'!$AB$2033</definedName>
    <definedName name="UAcct18222">'[16]Func Study'!$AB$2163</definedName>
    <definedName name="UAcct182M">'[16]Func Study'!$AB$2118</definedName>
    <definedName name="UACCT182MSGCT">'[13]Functional Study'!$AG$2067</definedName>
    <definedName name="UAcct182MSSGCH">'[16]Func Study'!$AB$2113</definedName>
    <definedName name="UAcct186">'[16]Func Study'!$AB$2041</definedName>
    <definedName name="UAcct1869">'[16]Func Study'!$AB$2168</definedName>
    <definedName name="UAcct186M">'[16]Func Study'!$AB$2129</definedName>
    <definedName name="UAcct186Msg">'[14]Functional Study'!#REF!</definedName>
    <definedName name="UAcct190">'[16]Func Study'!$AB$2243</definedName>
    <definedName name="UAcct190Baddebt">'[16]Func Study'!$AB$2237</definedName>
    <definedName name="Uacct190CN">'[13]Functional Study'!$AG$2183</definedName>
    <definedName name="UAcct190Dop">'[16]Func Study'!$AB$2235</definedName>
    <definedName name="UAcct2281">'[16]Func Study'!$AB$2191</definedName>
    <definedName name="UAcct2282">'[16]Func Study'!$AB$2195</definedName>
    <definedName name="UAcct2283">'[16]Func Study'!$AB$2200</definedName>
    <definedName name="UAcct22841">'[13]Functional Study'!$AG$2156</definedName>
    <definedName name="UACCT22841SG">'[16]Func Study'!$AB$2205</definedName>
    <definedName name="UAcct22842">'[16]Func Study'!$AB$2211</definedName>
    <definedName name="UAcct22842Trojd" localSheetId="4">'[15]Func Study'!#REF!</definedName>
    <definedName name="UAcct22842Trojd" localSheetId="1">'[15]Func Study'!#REF!</definedName>
    <definedName name="UAcct22842Trojd" localSheetId="3">'[15]Func Study'!#REF!</definedName>
    <definedName name="UAcct22842Trojd" localSheetId="6">'[15]Func Study'!#REF!</definedName>
    <definedName name="UAcct22842Trojd">'[15]Func Study'!#REF!</definedName>
    <definedName name="UAcct235">'[16]Func Study'!$AB$2187</definedName>
    <definedName name="UACCT235CN">'[16]Func Study'!$AB$2186</definedName>
    <definedName name="UAcct252">'[16]Func Study'!$AB$2219</definedName>
    <definedName name="UAcct25316">'[16]Func Study'!$AB$2057</definedName>
    <definedName name="UAcct25317">'[16]Func Study'!$AB$2061</definedName>
    <definedName name="UAcct25318">'[16]Func Study'!$AB$2098</definedName>
    <definedName name="UAcct25319">'[16]Func Study'!$AB$2065</definedName>
    <definedName name="uacct25398">'[16]Func Study'!$AB$2222</definedName>
    <definedName name="UACCT25398SE">'[13]Functional Study'!$AG$2171</definedName>
    <definedName name="UAcct25399">'[16]Func Study'!$AB$2230</definedName>
    <definedName name="UACCT254">'[13]Functional Study'!$AG$2152</definedName>
    <definedName name="UACCT254SO">'[16]Func Study'!$AB$2202</definedName>
    <definedName name="UAcct255">'[16]Func Study'!$AB$2284</definedName>
    <definedName name="UAcct281">'[16]Func Study'!$AB$2249</definedName>
    <definedName name="UAcct282">'[16]Func Study'!$AB$2259</definedName>
    <definedName name="UAcct282Cn">'[16]Func Study'!$AB$2256</definedName>
    <definedName name="UAcct282Sgp">'[13]Functional Study'!#REF!</definedName>
    <definedName name="UAcct282So">'[16]Func Study'!$AB$2255</definedName>
    <definedName name="UAcct283">'[16]Func Study'!$AB$2271</definedName>
    <definedName name="UAcct283S">'[13]Functional Study'!$AG$2219</definedName>
    <definedName name="UAcct283So">'[16]Func Study'!$AB$2265</definedName>
    <definedName name="UAcct301S">'[16]Func Study'!$AB$1964</definedName>
    <definedName name="UAcct301Sg">'[16]Func Study'!$AB$1966</definedName>
    <definedName name="UAcct301So">'[16]Func Study'!$AB$1965</definedName>
    <definedName name="UAcct302S">'[16]Func Study'!$AB$1969</definedName>
    <definedName name="UAcct302Sg">'[16]Func Study'!$AB$1970</definedName>
    <definedName name="UAcct302Sgp">'[16]Func Study'!$AB$1971</definedName>
    <definedName name="UAcct302Sgu">'[16]Func Study'!$AB$1972</definedName>
    <definedName name="UAcct303Cn">'[16]Func Study'!$AB$1980</definedName>
    <definedName name="UAcct303S">'[16]Func Study'!$AB$1976</definedName>
    <definedName name="UAcct303Se">'[16]Func Study'!$AB$1979</definedName>
    <definedName name="UAcct303Sg">'[16]Func Study'!$AB$1977</definedName>
    <definedName name="UAcct303Sgp">'[13]Functional Study'!$AG$1937</definedName>
    <definedName name="UAcct303Sgu">'[16]Func Study'!$AB$1981</definedName>
    <definedName name="UAcct303So">'[16]Func Study'!$AB$1978</definedName>
    <definedName name="UACCT303SSGCH">'[16]Func Study'!$AB$1983</definedName>
    <definedName name="UAcct310">'[16]Func Study'!$AB$1414</definedName>
    <definedName name="UAcct310Dgu">'[14]Functional Study'!#REF!</definedName>
    <definedName name="UAcct310JBG">'[16]Func Study'!$AB$1413</definedName>
    <definedName name="UAcct310sg">'[14]Functional Study'!$AG$1208</definedName>
    <definedName name="UAcct310Sgp">'[14]Functional Study'!#REF!</definedName>
    <definedName name="UACCT310SSCH">'[13]Functional Study'!$AG$1367</definedName>
    <definedName name="UAcct311">'[16]Func Study'!$AB$1421</definedName>
    <definedName name="UAcct311Dgu">'[14]Functional Study'!#REF!</definedName>
    <definedName name="UAcct311JBG">'[16]Func Study'!$AB$1420</definedName>
    <definedName name="UAcct311sg">'[14]Functional Study'!$AG$1213</definedName>
    <definedName name="UACCT311SGCH">'[13]Functional Study'!$AG$1374</definedName>
    <definedName name="UAcct311Sgu">'[14]Functional Study'!#REF!</definedName>
    <definedName name="UAcct312">'[16]Func Study'!$AB$1428</definedName>
    <definedName name="UAcct312JBG">'[16]Func Study'!$AB$1427</definedName>
    <definedName name="UAcct312S">'[14]Functional Study'!#REF!</definedName>
    <definedName name="UAcct312Sg">'[14]Functional Study'!$AG$1217</definedName>
    <definedName name="UACCT312SGCH">'[13]Functional Study'!$AG$1381</definedName>
    <definedName name="UAcct312Sgu">'[14]Functional Study'!#REF!</definedName>
    <definedName name="UAcct314">'[16]Func Study'!$AB$1435</definedName>
    <definedName name="UAcct314JBG">'[16]Func Study'!$AB$1434</definedName>
    <definedName name="UAcct314Sgp">'[14]Functional Study'!$AG$1221</definedName>
    <definedName name="UAcct314Sgu">'[14]Functional Study'!#REF!</definedName>
    <definedName name="UACCT314SSGCH">'[13]Functional Study'!$AG$1388</definedName>
    <definedName name="UAcct315">'[16]Func Study'!$AB$1442</definedName>
    <definedName name="UAcct315JBG">'[16]Func Study'!$AB$1441</definedName>
    <definedName name="UAcct315Sgp">'[14]Functional Study'!$AG$1225</definedName>
    <definedName name="UAcct315Sgu">'[14]Functional Study'!#REF!</definedName>
    <definedName name="UACCT315SSGCH">'[13]Functional Study'!$AG$1395</definedName>
    <definedName name="UAcct316">'[16]Func Study'!$AB$1450</definedName>
    <definedName name="UAcct316JBG">'[16]Func Study'!$AB$1449</definedName>
    <definedName name="UAcct316Sgp">'[14]Functional Study'!$AG$1229</definedName>
    <definedName name="UAcct316Sgu">'[14]Functional Study'!#REF!</definedName>
    <definedName name="UACCT316SSGCH">'[13]Functional Study'!$AG$1402</definedName>
    <definedName name="UAcct320">'[16]Func Study'!$AB$1466</definedName>
    <definedName name="UAcct320Sgp">'[14]Functional Study'!#REF!</definedName>
    <definedName name="UAcct321">'[16]Func Study'!$AB$1471</definedName>
    <definedName name="UAcct321Sgp">'[14]Functional Study'!#REF!</definedName>
    <definedName name="UAcct322">'[16]Func Study'!$AB$1476</definedName>
    <definedName name="UAcct322Sgp">'[14]Functional Study'!#REF!</definedName>
    <definedName name="UAcct323">'[16]Func Study'!$AB$1481</definedName>
    <definedName name="UAcct323Sgp">'[14]Functional Study'!#REF!</definedName>
    <definedName name="UAcct324">'[16]Func Study'!$AB$1486</definedName>
    <definedName name="UAcct324Sgp">'[14]Functional Study'!#REF!</definedName>
    <definedName name="UAcct325">'[16]Func Study'!$AB$1491</definedName>
    <definedName name="UAcct325Sgp">'[14]Functional Study'!#REF!</definedName>
    <definedName name="UAcct33">'[16]Func Study'!$AB$295</definedName>
    <definedName name="UAcct330">'[16]Func Study'!$AB$1508</definedName>
    <definedName name="UAcct331">'[16]Func Study'!$AB$1513</definedName>
    <definedName name="UAcct332">'[16]Func Study'!$AB$1518</definedName>
    <definedName name="UAcct333">'[16]Func Study'!$AB$1523</definedName>
    <definedName name="UAcct334">'[16]Func Study'!$AB$1528</definedName>
    <definedName name="UAcct335">'[16]Func Study'!$AB$1533</definedName>
    <definedName name="UAcct336">'[16]Func Study'!$AB$1539</definedName>
    <definedName name="UAcct340Dgu">'[16]Func Study'!$AB$1564</definedName>
    <definedName name="UAcct340Sgu">'[16]Func Study'!$AB$1565</definedName>
    <definedName name="UACCT340SGW">'[47]Functional Study'!$AG$1517</definedName>
    <definedName name="UACCT340SSGCT">'[13]Functional Study'!$AG$1518</definedName>
    <definedName name="UAcct341Dgu">'[16]Func Study'!$AB$1569</definedName>
    <definedName name="UAcct341Sgu">'[16]Func Study'!$AB$1570</definedName>
    <definedName name="UACCT341SGW">'[47]Functional Study'!$AG$1524</definedName>
    <definedName name="UACCT341SSGCT">'[13]Functional Study'!$AG$1524</definedName>
    <definedName name="UAcct342Dgu">'[16]Func Study'!$AB$1574</definedName>
    <definedName name="UAcct342Sgu">'[16]Func Study'!$AB$1575</definedName>
    <definedName name="UACCT342SSGCT">'[13]Functional Study'!$AG$1530</definedName>
    <definedName name="UAcct343">'[16]Func Study'!$AB$1584</definedName>
    <definedName name="UAcct343SGW">'[47]Functional Study'!$AG$1536</definedName>
    <definedName name="UACCT343SSCCT">'[13]Functional Study'!$AG$1537</definedName>
    <definedName name="UAcct344">'[14]Functional Study'!$AG$1354</definedName>
    <definedName name="UAcct344S">'[16]Func Study'!$AB$1587</definedName>
    <definedName name="UAcct344Sgp">'[16]Func Study'!$AB$1588</definedName>
    <definedName name="UAcct344Sgu">'[13]Functional Study'!$AG$1543</definedName>
    <definedName name="UAcct344SGW">'[47]Functional Study'!$AG$1542</definedName>
    <definedName name="UACCT344SSGCT">'[13]Functional Study'!$AG$1544</definedName>
    <definedName name="UAcct345">'[14]Functional Study'!$AG$1359</definedName>
    <definedName name="UAcct345Dgu">'[16]Func Study'!$AB$1594</definedName>
    <definedName name="UAcct345SG">'[14]Functional Study'!$AG$1357</definedName>
    <definedName name="UAcct345Sgu">'[16]Func Study'!$AB$1595</definedName>
    <definedName name="UAcct345SGW">'[47]Functional Study'!$AG$1549</definedName>
    <definedName name="UACCT345SSGCT">'[13]Functional Study'!$AG$1550</definedName>
    <definedName name="UAcct346">'[16]Func Study'!$AB$1601</definedName>
    <definedName name="UACCT346SGW">'[47]Functional Study'!$AG$1555</definedName>
    <definedName name="UAcct350">'[16]Func Study'!$AB$1628</definedName>
    <definedName name="UAcct352">'[16]Func Study'!$AB$1635</definedName>
    <definedName name="UAcct353">'[16]Func Study'!$AB$1641</definedName>
    <definedName name="UAcct354">'[16]Func Study'!$AB$1647</definedName>
    <definedName name="UAcct355">'[16]Func Study'!$AB$1654</definedName>
    <definedName name="UAcct356">'[16]Func Study'!$AB$1660</definedName>
    <definedName name="UAcct357">'[16]Func Study'!$AB$1666</definedName>
    <definedName name="UAcct358">'[16]Func Study'!$AB$1672</definedName>
    <definedName name="UAcct359">'[16]Func Study'!$AB$1678</definedName>
    <definedName name="UAcct360">'[16]Func Study'!$AB$1698</definedName>
    <definedName name="UAcct361">'[16]Func Study'!$AB$1704</definedName>
    <definedName name="UAcct362">'[16]Func Study'!$AB$1710</definedName>
    <definedName name="UAcct368">'[16]Func Study'!$AB$1744</definedName>
    <definedName name="UAcct369">'[16]Func Study'!$AB$1751</definedName>
    <definedName name="UAcct369Cug">'[47]Functional Study'!#REF!</definedName>
    <definedName name="UAcct370">'[16]Func Study'!$AB$1762</definedName>
    <definedName name="UAcct372A">'[16]Func Study'!$AB$1775</definedName>
    <definedName name="UAcct372Dp">'[16]Func Study'!$AB$1773</definedName>
    <definedName name="UAcct372Ds">'[16]Func Study'!$AB$1774</definedName>
    <definedName name="UAcct373">'[16]Func Study'!$AB$1782</definedName>
    <definedName name="UAcct389Cn">'[16]Func Study'!$AB$1800</definedName>
    <definedName name="UAcct389S">'[16]Func Study'!$AB$1799</definedName>
    <definedName name="UAcct389Sg">'[16]Func Study'!$AB$1802</definedName>
    <definedName name="UAcct389Sgu">'[16]Func Study'!$AB$1801</definedName>
    <definedName name="UAcct389So">'[16]Func Study'!$AB$1803</definedName>
    <definedName name="UAcct390Cn">'[16]Func Study'!$AB$1810</definedName>
    <definedName name="UAcct390JBG">'[16]Func Study'!$AB$1812</definedName>
    <definedName name="UAcct390L">'[16]Func Study'!$AB$1927</definedName>
    <definedName name="UACCT390LRCL">'[16]Func Study'!$AB$1929</definedName>
    <definedName name="UAcct390S">'[16]Func Study'!$AB$1807</definedName>
    <definedName name="UAcct390Sgp">'[16]Func Study'!$AB$1808</definedName>
    <definedName name="UAcct390Sgu">'[16]Func Study'!$AB$1809</definedName>
    <definedName name="UAcct390Sop">'[16]Func Study'!$AB$1811</definedName>
    <definedName name="UAcct390Sou">'[16]Func Study'!$AB$1813</definedName>
    <definedName name="UAcct391Cn">'[16]Func Study'!$AB$1820</definedName>
    <definedName name="UACCT391JBE">'[16]Func Study'!$AB$1825</definedName>
    <definedName name="UAcct391S">'[16]Func Study'!$AB$1817</definedName>
    <definedName name="UAcct391Se">'[13]Functional Study'!$AG$1779</definedName>
    <definedName name="UAcct391Sg">'[16]Func Study'!$AB$1821</definedName>
    <definedName name="UAcct391Sgp">'[16]Func Study'!$AB$1818</definedName>
    <definedName name="UAcct391Sgu">'[16]Func Study'!$AB$1819</definedName>
    <definedName name="UAcct391So">'[16]Func Study'!$AB$1823</definedName>
    <definedName name="UACCT391SSGCH">'[16]Func Study'!$AB$1824</definedName>
    <definedName name="UACCT391SSGCT">'[13]Functional Study'!$AG$1782</definedName>
    <definedName name="UAcct392Cn">'[16]Func Study'!$AB$1832</definedName>
    <definedName name="UAcct392L">'[16]Func Study'!$AB$1935</definedName>
    <definedName name="UAcct392Lrcl">'[16]Func Study'!$AB$1937</definedName>
    <definedName name="UAcct392S">'[16]Func Study'!$AB$1829</definedName>
    <definedName name="UAcct392Se">'[16]Func Study'!$AB$1834</definedName>
    <definedName name="UAcct392Sg">'[16]Func Study'!$AB$1831</definedName>
    <definedName name="UAcct392Sgp">'[16]Func Study'!$AB$1835</definedName>
    <definedName name="UAcct392Sgu">'[16]Func Study'!$AB$1833</definedName>
    <definedName name="UAcct392So">'[16]Func Study'!$AB$1830</definedName>
    <definedName name="UACCT392SSGCH">'[16]Func Study'!$AB$1836</definedName>
    <definedName name="UACCT392SSGCT">'[13]Functional Study'!$AG$1794</definedName>
    <definedName name="UAcct393S">'[16]Func Study'!$AB$1841</definedName>
    <definedName name="UAcct393Sg">'[16]Func Study'!$AB$1845</definedName>
    <definedName name="UAcct393Sgp">'[16]Func Study'!$AB$1842</definedName>
    <definedName name="UAcct393Sgu">'[16]Func Study'!$AB$1843</definedName>
    <definedName name="UAcct393So">'[16]Func Study'!$AB$1844</definedName>
    <definedName name="UACCT393SSGCT">'[16]Func Study'!$AB$1846</definedName>
    <definedName name="UAcct394S">'[16]Func Study'!$AB$1850</definedName>
    <definedName name="UAcct394Se">'[16]Func Study'!$AB$1854</definedName>
    <definedName name="UAcct394Sg">'[16]Func Study'!$AB$1855</definedName>
    <definedName name="UAcct394Sgp">'[16]Func Study'!$AB$1851</definedName>
    <definedName name="UAcct394Sgu">'[16]Func Study'!$AB$1852</definedName>
    <definedName name="UAcct394So">'[16]Func Study'!$AB$1853</definedName>
    <definedName name="UACCT394SSGCH">'[16]Func Study'!$AB$1856</definedName>
    <definedName name="UACCT394SSGCT">'[13]Functional Study'!$AG$1814</definedName>
    <definedName name="UAcct395S">'[16]Func Study'!$AB$1861</definedName>
    <definedName name="UAcct395Se">'[16]Func Study'!$AB$1865</definedName>
    <definedName name="UAcct395Sg">'[16]Func Study'!$AB$1866</definedName>
    <definedName name="UAcct395Sgp">'[16]Func Study'!$AB$1862</definedName>
    <definedName name="UAcct395Sgu">'[16]Func Study'!$AB$1863</definedName>
    <definedName name="UAcct395So">'[16]Func Study'!$AB$1864</definedName>
    <definedName name="UACCT395SSGCH">'[16]Func Study'!$AB$1867</definedName>
    <definedName name="UACCT395SSGCT">'[13]Functional Study'!$AG$1825</definedName>
    <definedName name="UAcct396S">'[16]Func Study'!$AB$1872</definedName>
    <definedName name="UAcct396Se">'[16]Func Study'!$AB$1877</definedName>
    <definedName name="UAcct396Sg">'[16]Func Study'!$AB$1874</definedName>
    <definedName name="UAcct396Sgp">'[16]Func Study'!$AB$1873</definedName>
    <definedName name="UAcct396Sgu">'[16]Func Study'!$AB$1876</definedName>
    <definedName name="UAcct396So">'[16]Func Study'!$AB$1875</definedName>
    <definedName name="UACCT396SSGCH">'[16]Func Study'!$AB$1879</definedName>
    <definedName name="UACCT396SSGCT">'[16]Func Study'!$AB$1878</definedName>
    <definedName name="UAcct397Cn">'[16]Func Study'!$AB$1890</definedName>
    <definedName name="UAcct397JBG">'[16]Func Study'!$AB$1893</definedName>
    <definedName name="UAcct397S">'[16]Func Study'!$AB$1886</definedName>
    <definedName name="UAcct397Se">'[16]Func Study'!$AB$1892</definedName>
    <definedName name="UAcct397Sg">'[16]Func Study'!$AB$1891</definedName>
    <definedName name="UAcct397Sgp">'[16]Func Study'!$AB$1887</definedName>
    <definedName name="UAcct397Sgu">'[16]Func Study'!$AB$1888</definedName>
    <definedName name="UAcct397So">'[16]Func Study'!$AB$1889</definedName>
    <definedName name="UACCT397SSGCH">'[13]Functional Study'!$AG$1850</definedName>
    <definedName name="UACCT397SSGCT">'[13]Functional Study'!$AG$1851</definedName>
    <definedName name="UAcct398Cn">'[16]Func Study'!$AB$1902</definedName>
    <definedName name="UAcct398S">'[16]Func Study'!$AB$1899</definedName>
    <definedName name="UAcct398Se">'[16]Func Study'!$AB$1904</definedName>
    <definedName name="UAcct398Sg">'[16]Func Study'!$AB$1905</definedName>
    <definedName name="UAcct398Sgp">'[16]Func Study'!$AB$1900</definedName>
    <definedName name="UAcct398Sgu">'[16]Func Study'!$AB$1901</definedName>
    <definedName name="UAcct398So">'[16]Func Study'!$AB$1903</definedName>
    <definedName name="UACCT398SSGCT">'[16]Func Study'!$AB$1906</definedName>
    <definedName name="UAcct399">'[16]Func Study'!$AB$1913</definedName>
    <definedName name="UAcct399G">'[16]Func Study'!$AB$1955</definedName>
    <definedName name="UAcct399L">'[16]Func Study'!$AB$1917</definedName>
    <definedName name="UAcct399Lrcl">'[16]Func Study'!$AB$1919</definedName>
    <definedName name="UAcct403360">'[16]Func Study'!$AB$1090</definedName>
    <definedName name="UAcct403361">'[16]Func Study'!$AB$1091</definedName>
    <definedName name="UAcct403362">'[16]Func Study'!$AB$1092</definedName>
    <definedName name="UAcct403363">'[13]Functional Study'!$AG$1076</definedName>
    <definedName name="UAcct403364">'[16]Func Study'!$AB$1094</definedName>
    <definedName name="UAcct403365">'[16]Func Study'!$AB$1095</definedName>
    <definedName name="UAcct403366">'[16]Func Study'!$AB$1096</definedName>
    <definedName name="UAcct403367">'[16]Func Study'!$AB$1097</definedName>
    <definedName name="UAcct403368">'[16]Func Study'!$AB$1098</definedName>
    <definedName name="UAcct403369">'[16]Func Study'!$AB$1099</definedName>
    <definedName name="UAcct403370">'[16]Func Study'!$AB$1100</definedName>
    <definedName name="UAcct403371">'[16]Func Study'!$AB$1101</definedName>
    <definedName name="UAcct403372">'[16]Func Study'!$AB$1102</definedName>
    <definedName name="UAcct403373">'[16]Func Study'!$AB$1103</definedName>
    <definedName name="UAcct403Ep">'[16]Func Study'!$AB$1130</definedName>
    <definedName name="UAcct403Epsg">'[14]Functional Study'!#REF!</definedName>
    <definedName name="UAcct403Gpcn">'[16]Func Study'!$AB$1111</definedName>
    <definedName name="UAcct403GPDGP">'[16]Func Study'!$AB$1108</definedName>
    <definedName name="UAcct403GPDGU">'[16]Func Study'!$AB$1109</definedName>
    <definedName name="UAcct403GPJBG">'[16]Func Study'!$AB$1115</definedName>
    <definedName name="UAcct403Gps">'[16]Func Study'!$AB$1107</definedName>
    <definedName name="UAcct403Gpse">'[13]Functional Study'!$AG$1093</definedName>
    <definedName name="UAcct403Gpsg">'[16]Func Study'!$AB$1112</definedName>
    <definedName name="UACCT403gpsg1">'[14]Functional Study'!$AG$991</definedName>
    <definedName name="UAcct403Gpsgp">'[13]Functional Study'!$AG$1091</definedName>
    <definedName name="UAcct403Gpsgu">'[13]Functional Study'!$AG$1092</definedName>
    <definedName name="UAcct403Gpso">'[16]Func Study'!$AB$1113</definedName>
    <definedName name="UACCT403GPSSGCT">'[13]Functional Study'!$AG$1097</definedName>
    <definedName name="UAcct403Gv0">'[16]Func Study'!$AB$1121</definedName>
    <definedName name="UAcct403Hp">'[16]Func Study'!$AB$1072</definedName>
    <definedName name="UAcct403Hpdgu">'[14]Functional Study'!#REF!</definedName>
    <definedName name="UACCT403JBE">'[16]Func Study'!$AB$1116</definedName>
    <definedName name="UAcct403Mp">'[16]Func Study'!$AB$1125</definedName>
    <definedName name="UAcct403Np">'[16]Func Study'!$AB$1065</definedName>
    <definedName name="UAcct403Op">'[16]Func Study'!$AB$1080</definedName>
    <definedName name="UAcct403OPCAGE">'[16]Func Study'!$AB$1078</definedName>
    <definedName name="UAcct403Opsgp">'[13]Functional Study'!$AG$1060</definedName>
    <definedName name="UAcct403Opsgu">'[13]Functional Study'!$AG$1061</definedName>
    <definedName name="uacct403opsgw">'[47]Functional Study'!$AG$1063</definedName>
    <definedName name="uacct403opssgch">'[13]Functional Study'!$AG$1063</definedName>
    <definedName name="uacct403opssgct">'[13]Functional Study'!$AG$1062</definedName>
    <definedName name="UAcct403Sp">'[16]Func Study'!$AB$1061</definedName>
    <definedName name="uacct403spdg">'[13]Functional Study'!$AG$1046</definedName>
    <definedName name="UAcct403SPJBG">'[16]Func Study'!$AB$1058</definedName>
    <definedName name="UAcct403Spsgp">'[13]Functional Study'!$AG$1043</definedName>
    <definedName name="UAcct403Spsgu">'[13]Functional Study'!$AG$1044</definedName>
    <definedName name="UACCT403SPSSGCH">'[13]Functional Study'!$AG$1045</definedName>
    <definedName name="uacct403ssgch">'[13]Functional Study'!$AG$1098</definedName>
    <definedName name="UAcct403Tp">'[16]Func Study'!$AB$1087</definedName>
    <definedName name="UAcct403Tpsgu">'[14]Functional Study'!#REF!</definedName>
    <definedName name="UAcct404330">'[16]Func Study'!$AB$1177</definedName>
    <definedName name="UAcct404330Dgu">'[14]Functional Study'!#REF!</definedName>
    <definedName name="UAcct404Clg">'[13]Functional Study'!$AG$1127</definedName>
    <definedName name="UAcct404Clgsop">'[13]Functional Study'!$AG$1125</definedName>
    <definedName name="UAcct404Clgsou">'[13]Functional Study'!$AG$1123</definedName>
    <definedName name="UAcct404Cls">'[13]Functional Study'!$AG$1132</definedName>
    <definedName name="UACCT404GP">'[16]Func Study'!$AB$1146</definedName>
    <definedName name="UACCT404GPCN">'[16]Func Study'!$AB$1143</definedName>
    <definedName name="UACCT404GPSO">'[16]Func Study'!$AB$1141</definedName>
    <definedName name="UAcct404Ipcn">'[16]Func Study'!$AB$1158</definedName>
    <definedName name="UACCT404IPIDGU">'[13]Functional Study'!$AG$1143</definedName>
    <definedName name="UAcct404IPJBG">'[16]Func Study'!$AB$1163</definedName>
    <definedName name="UAcct404Ips">'[16]Func Study'!$AB$1154</definedName>
    <definedName name="UAcct404Ipse">'[16]Func Study'!$AB$1155</definedName>
    <definedName name="UAcct404Ipsg">'[16]Func Study'!$AB$1156</definedName>
    <definedName name="UAcct404Ipsg1">'[16]Func Study'!$AB$1159</definedName>
    <definedName name="UAcct404Ipsg2">'[16]Func Study'!$AB$1160</definedName>
    <definedName name="UAcct404Ipso">'[16]Func Study'!$AB$1157</definedName>
    <definedName name="UACCT404IPSSGCH">'[13]Functional Study'!$AG$1142</definedName>
    <definedName name="UACCT404IPSSGCT">'[13]Functional Study'!$AG$1141</definedName>
    <definedName name="UAcct404M">'[16]Func Study'!$AB$1168</definedName>
    <definedName name="UACCT404OP">'[16]Func Study'!$AB$1172</definedName>
    <definedName name="UACCT404SP">'[16]Func Study'!$AB$1151</definedName>
    <definedName name="UAcct405">'[16]Func Study'!$AB$1185</definedName>
    <definedName name="UAcct406">'[16]Func Study'!$AB$1193</definedName>
    <definedName name="UAcct406Dgp">'[14]Functional Study'!#REF!</definedName>
    <definedName name="UAcct406Dgu">'[14]Functional Study'!#REF!</definedName>
    <definedName name="UAcct407">'[16]Func Study'!$AB$1202</definedName>
    <definedName name="UAcct407Sgp">'[14]Functional Study'!#REF!</definedName>
    <definedName name="UAcct408">'[16]Func Study'!$AB$1221</definedName>
    <definedName name="UAcct408S">'[16]Func Study'!$AB$1213</definedName>
    <definedName name="UAcct41010">'[16]Func Study'!$AB$1294</definedName>
    <definedName name="UAcct41011">'[16]Func Study'!$AB$1309</definedName>
    <definedName name="UACCT41020" localSheetId="4">'[17]Functional Study'!#REF!</definedName>
    <definedName name="UACCT41020" localSheetId="1">'[17]Functional Study'!#REF!</definedName>
    <definedName name="UACCT41020" localSheetId="3">'[17]Functional Study'!#REF!</definedName>
    <definedName name="UACCT41020" localSheetId="6">'[17]Functional Study'!#REF!</definedName>
    <definedName name="UACCT41020">'[18]Functional Study'!#REF!</definedName>
    <definedName name="UACCT41020BADDEBT" localSheetId="4">'[17]Functional Study'!#REF!</definedName>
    <definedName name="UACCT41020BADDEBT" localSheetId="1">'[17]Functional Study'!#REF!</definedName>
    <definedName name="UACCT41020BADDEBT" localSheetId="3">'[17]Functional Study'!#REF!</definedName>
    <definedName name="UACCT41020BADDEBT" localSheetId="6">'[17]Functional Study'!#REF!</definedName>
    <definedName name="UACCT41020BADDEBT">'[18]Functional Study'!#REF!</definedName>
    <definedName name="UACCT41020DITEXP" localSheetId="4">'[17]Functional Study'!#REF!</definedName>
    <definedName name="UACCT41020DITEXP" localSheetId="1">'[17]Functional Study'!#REF!</definedName>
    <definedName name="UACCT41020DITEXP" localSheetId="3">'[17]Functional Study'!#REF!</definedName>
    <definedName name="UACCT41020DITEXP" localSheetId="6">'[17]Functional Study'!#REF!</definedName>
    <definedName name="UACCT41020DITEXP">'[18]Functional Study'!#REF!</definedName>
    <definedName name="UACCT41020DNPU" localSheetId="4">'[17]Functional Study'!#REF!</definedName>
    <definedName name="UACCT41020DNPU" localSheetId="1">'[17]Functional Study'!#REF!</definedName>
    <definedName name="UACCT41020DNPU" localSheetId="3">'[17]Functional Study'!#REF!</definedName>
    <definedName name="UACCT41020DNPU" localSheetId="6">'[17]Functional Study'!#REF!</definedName>
    <definedName name="UACCT41020DNPU">'[18]Functional Study'!#REF!</definedName>
    <definedName name="UACCT41020S" localSheetId="4">'[17]Functional Study'!#REF!</definedName>
    <definedName name="UACCT41020S" localSheetId="1">'[17]Functional Study'!#REF!</definedName>
    <definedName name="UACCT41020S" localSheetId="3">'[17]Functional Study'!#REF!</definedName>
    <definedName name="UACCT41020S" localSheetId="6">'[17]Functional Study'!#REF!</definedName>
    <definedName name="UACCT41020S">'[18]Functional Study'!#REF!</definedName>
    <definedName name="UACCT41020SE" localSheetId="4">'[17]Functional Study'!#REF!</definedName>
    <definedName name="UACCT41020SE" localSheetId="1">'[17]Functional Study'!#REF!</definedName>
    <definedName name="UACCT41020SE" localSheetId="3">'[17]Functional Study'!#REF!</definedName>
    <definedName name="UACCT41020SE" localSheetId="6">'[17]Functional Study'!#REF!</definedName>
    <definedName name="UACCT41020SE">'[18]Functional Study'!#REF!</definedName>
    <definedName name="UACCT41020SG" localSheetId="4">'[17]Functional Study'!#REF!</definedName>
    <definedName name="UACCT41020SG" localSheetId="1">'[17]Functional Study'!#REF!</definedName>
    <definedName name="UACCT41020SG" localSheetId="3">'[17]Functional Study'!#REF!</definedName>
    <definedName name="UACCT41020SG" localSheetId="6">'[17]Functional Study'!#REF!</definedName>
    <definedName name="UACCT41020SG">'[18]Functional Study'!#REF!</definedName>
    <definedName name="UACCT41020SGCT" localSheetId="4">'[17]Functional Study'!#REF!</definedName>
    <definedName name="UACCT41020SGCT" localSheetId="1">'[17]Functional Study'!#REF!</definedName>
    <definedName name="UACCT41020SGCT" localSheetId="3">'[17]Functional Study'!#REF!</definedName>
    <definedName name="UACCT41020SGCT" localSheetId="6">'[17]Functional Study'!#REF!</definedName>
    <definedName name="UACCT41020SGCT">'[18]Functional Study'!#REF!</definedName>
    <definedName name="UACCT41020SGPP" localSheetId="4">'[17]Functional Study'!#REF!</definedName>
    <definedName name="UACCT41020SGPP" localSheetId="1">'[17]Functional Study'!#REF!</definedName>
    <definedName name="UACCT41020SGPP" localSheetId="3">'[17]Functional Study'!#REF!</definedName>
    <definedName name="UACCT41020SGPP" localSheetId="6">'[17]Functional Study'!#REF!</definedName>
    <definedName name="UACCT41020SGPP">'[18]Functional Study'!#REF!</definedName>
    <definedName name="UACCT41020SO" localSheetId="4">'[17]Functional Study'!#REF!</definedName>
    <definedName name="UACCT41020SO" localSheetId="1">'[17]Functional Study'!#REF!</definedName>
    <definedName name="UACCT41020SO" localSheetId="3">'[17]Functional Study'!#REF!</definedName>
    <definedName name="UACCT41020SO" localSheetId="6">'[17]Functional Study'!#REF!</definedName>
    <definedName name="UACCT41020SO">'[18]Functional Study'!#REF!</definedName>
    <definedName name="UACCT41020TROJP" localSheetId="4">'[17]Functional Study'!#REF!</definedName>
    <definedName name="UACCT41020TROJP" localSheetId="1">'[17]Functional Study'!#REF!</definedName>
    <definedName name="UACCT41020TROJP" localSheetId="3">'[17]Functional Study'!#REF!</definedName>
    <definedName name="UACCT41020TROJP" localSheetId="6">'[17]Functional Study'!#REF!</definedName>
    <definedName name="UACCT41020TROJP">'[18]Functional Study'!#REF!</definedName>
    <definedName name="UACCT4102SNPD" localSheetId="4">'[17]Functional Study'!#REF!</definedName>
    <definedName name="UACCT4102SNPD" localSheetId="1">'[17]Functional Study'!#REF!</definedName>
    <definedName name="UACCT4102SNPD" localSheetId="3">'[17]Functional Study'!#REF!</definedName>
    <definedName name="UACCT4102SNPD" localSheetId="6">'[17]Functional Study'!#REF!</definedName>
    <definedName name="UACCT4102SNPD">'[18]Functional Study'!#REF!</definedName>
    <definedName name="UAcct41110">'[16]Func Study'!$AB$1325</definedName>
    <definedName name="uacct41110sgct">'[14]Functional Study'!#REF!</definedName>
    <definedName name="UAcct41111" localSheetId="4">'[17]Functional Study'!#REF!</definedName>
    <definedName name="UAcct41111" localSheetId="1">'[17]Functional Study'!#REF!</definedName>
    <definedName name="UAcct41111" localSheetId="3">'[17]Functional Study'!#REF!</definedName>
    <definedName name="UAcct41111" localSheetId="6">'[17]Functional Study'!#REF!</definedName>
    <definedName name="UAcct41111">'[18]Functional Study'!#REF!</definedName>
    <definedName name="UAcct41111Baddebt" localSheetId="4">'[17]Functional Study'!#REF!</definedName>
    <definedName name="UAcct41111Baddebt" localSheetId="1">'[17]Functional Study'!#REF!</definedName>
    <definedName name="UAcct41111Baddebt" localSheetId="3">'[17]Functional Study'!#REF!</definedName>
    <definedName name="UAcct41111Baddebt" localSheetId="6">'[17]Functional Study'!#REF!</definedName>
    <definedName name="UAcct41111Baddebt">'[18]Functional Study'!#REF!</definedName>
    <definedName name="UAcct41111Dgp" localSheetId="4">'[17]Functional Study'!#REF!</definedName>
    <definedName name="UAcct41111Dgp" localSheetId="1">'[17]Functional Study'!#REF!</definedName>
    <definedName name="UAcct41111Dgp" localSheetId="3">'[17]Functional Study'!#REF!</definedName>
    <definedName name="UAcct41111Dgp" localSheetId="6">'[17]Functional Study'!#REF!</definedName>
    <definedName name="UAcct41111Dgp">'[18]Functional Study'!#REF!</definedName>
    <definedName name="UAcct41111Dgu" localSheetId="4">'[17]Functional Study'!#REF!</definedName>
    <definedName name="UAcct41111Dgu" localSheetId="1">'[17]Functional Study'!#REF!</definedName>
    <definedName name="UAcct41111Dgu" localSheetId="3">'[17]Functional Study'!#REF!</definedName>
    <definedName name="UAcct41111Dgu" localSheetId="6">'[17]Functional Study'!#REF!</definedName>
    <definedName name="UAcct41111Dgu">'[18]Functional Study'!#REF!</definedName>
    <definedName name="UAcct41111Ditexp" localSheetId="4">'[17]Functional Study'!#REF!</definedName>
    <definedName name="UAcct41111Ditexp" localSheetId="1">'[17]Functional Study'!#REF!</definedName>
    <definedName name="UAcct41111Ditexp" localSheetId="3">'[17]Functional Study'!#REF!</definedName>
    <definedName name="UAcct41111Ditexp" localSheetId="6">'[17]Functional Study'!#REF!</definedName>
    <definedName name="UAcct41111Ditexp">'[18]Functional Study'!#REF!</definedName>
    <definedName name="UAcct41111Dnpp" localSheetId="4">'[17]Functional Study'!#REF!</definedName>
    <definedName name="UAcct41111Dnpp" localSheetId="1">'[17]Functional Study'!#REF!</definedName>
    <definedName name="UAcct41111Dnpp" localSheetId="3">'[17]Functional Study'!#REF!</definedName>
    <definedName name="UAcct41111Dnpp" localSheetId="6">'[17]Functional Study'!#REF!</definedName>
    <definedName name="UAcct41111Dnpp">'[18]Functional Study'!#REF!</definedName>
    <definedName name="UAcct41111Dnptp" localSheetId="4">'[17]Functional Study'!#REF!</definedName>
    <definedName name="UAcct41111Dnptp" localSheetId="1">'[17]Functional Study'!#REF!</definedName>
    <definedName name="UAcct41111Dnptp" localSheetId="3">'[17]Functional Study'!#REF!</definedName>
    <definedName name="UAcct41111Dnptp" localSheetId="6">'[17]Functional Study'!#REF!</definedName>
    <definedName name="UAcct41111Dnptp">'[18]Functional Study'!#REF!</definedName>
    <definedName name="UAcct41111S" localSheetId="4">'[17]Functional Study'!#REF!</definedName>
    <definedName name="UAcct41111S" localSheetId="1">'[17]Functional Study'!#REF!</definedName>
    <definedName name="UAcct41111S" localSheetId="3">'[17]Functional Study'!#REF!</definedName>
    <definedName name="UAcct41111S" localSheetId="6">'[17]Functional Study'!#REF!</definedName>
    <definedName name="UAcct41111S">'[18]Functional Study'!#REF!</definedName>
    <definedName name="UAcct41111Se" localSheetId="4">'[17]Functional Study'!#REF!</definedName>
    <definedName name="UAcct41111Se" localSheetId="1">'[17]Functional Study'!#REF!</definedName>
    <definedName name="UAcct41111Se" localSheetId="3">'[17]Functional Study'!#REF!</definedName>
    <definedName name="UAcct41111Se" localSheetId="6">'[17]Functional Study'!#REF!</definedName>
    <definedName name="UAcct41111Se">'[18]Functional Study'!#REF!</definedName>
    <definedName name="UAcct41111Sg" localSheetId="4">'[17]Functional Study'!#REF!</definedName>
    <definedName name="UAcct41111Sg" localSheetId="1">'[17]Functional Study'!#REF!</definedName>
    <definedName name="UAcct41111Sg" localSheetId="3">'[17]Functional Study'!#REF!</definedName>
    <definedName name="UAcct41111Sg" localSheetId="6">'[17]Functional Study'!#REF!</definedName>
    <definedName name="UAcct41111Sg">'[18]Functional Study'!#REF!</definedName>
    <definedName name="UAcct41111Sgpp" localSheetId="4">'[17]Functional Study'!#REF!</definedName>
    <definedName name="UAcct41111Sgpp" localSheetId="1">'[17]Functional Study'!#REF!</definedName>
    <definedName name="UAcct41111Sgpp" localSheetId="3">'[17]Functional Study'!#REF!</definedName>
    <definedName name="UAcct41111Sgpp" localSheetId="6">'[17]Functional Study'!#REF!</definedName>
    <definedName name="UAcct41111Sgpp">'[18]Functional Study'!#REF!</definedName>
    <definedName name="UAcct41111So" localSheetId="4">'[17]Functional Study'!#REF!</definedName>
    <definedName name="UAcct41111So" localSheetId="1">'[17]Functional Study'!#REF!</definedName>
    <definedName name="UAcct41111So" localSheetId="3">'[17]Functional Study'!#REF!</definedName>
    <definedName name="UAcct41111So" localSheetId="6">'[17]Functional Study'!#REF!</definedName>
    <definedName name="UAcct41111So">'[18]Functional Study'!#REF!</definedName>
    <definedName name="UAcct41111Trojp" localSheetId="4">'[17]Functional Study'!#REF!</definedName>
    <definedName name="UAcct41111Trojp" localSheetId="1">'[17]Functional Study'!#REF!</definedName>
    <definedName name="UAcct41111Trojp" localSheetId="3">'[17]Functional Study'!#REF!</definedName>
    <definedName name="UAcct41111Trojp" localSheetId="6">'[17]Functional Study'!#REF!</definedName>
    <definedName name="UAcct41111Trojp">'[18]Functional Study'!#REF!</definedName>
    <definedName name="UAcct41140">'[16]Func Study'!$AB$1232</definedName>
    <definedName name="UAcct41141">'[16]Func Study'!$AB$1237</definedName>
    <definedName name="UAcct41160">'[16]Func Study'!$AB$369</definedName>
    <definedName name="UAcct41170">'[16]Func Study'!$AB$374</definedName>
    <definedName name="UAcct4118">'[16]Func Study'!$AB$378</definedName>
    <definedName name="UAcct41181">'[16]Func Study'!$AB$381</definedName>
    <definedName name="UAcct4194">'[16]Func Study'!$AB$385</definedName>
    <definedName name="UAcct421">'[16]Func Study'!$AB$394</definedName>
    <definedName name="UAcct4311">'[16]Func Study'!$AB$401</definedName>
    <definedName name="UAcct442Se">'[16]Func Study'!$AB$259</definedName>
    <definedName name="UAcct442Sg">'[16]Func Study'!$AB$260</definedName>
    <definedName name="UAcct447">'[16]Func Study'!$AB$281</definedName>
    <definedName name="UAcct447CAEE" localSheetId="4">'[12]Func Study'!#REF!</definedName>
    <definedName name="UAcct447CAEE" localSheetId="1">'[12]Func Study'!#REF!</definedName>
    <definedName name="UAcct447CAEE" localSheetId="3">'[12]Func Study'!#REF!</definedName>
    <definedName name="UAcct447CAEE" localSheetId="6">'[12]Func Study'!#REF!</definedName>
    <definedName name="UAcct447CAEE">'[12]Func Study'!#REF!</definedName>
    <definedName name="UAcct447CAGE" localSheetId="4">'[12]Func Study'!#REF!</definedName>
    <definedName name="UAcct447CAGE" localSheetId="1">'[12]Func Study'!#REF!</definedName>
    <definedName name="UAcct447CAGE" localSheetId="3">'[12]Func Study'!#REF!</definedName>
    <definedName name="UAcct447CAGE" localSheetId="6">'[12]Func Study'!#REF!</definedName>
    <definedName name="UAcct447CAGE">'[12]Func Study'!#REF!</definedName>
    <definedName name="UAcct447Dgu" localSheetId="4">'[15]Func Study'!#REF!</definedName>
    <definedName name="UAcct447Dgu" localSheetId="1">'[15]Func Study'!#REF!</definedName>
    <definedName name="UAcct447Dgu" localSheetId="3">'[15]Func Study'!#REF!</definedName>
    <definedName name="UAcct447Dgu" localSheetId="6">'[15]Func Study'!#REF!</definedName>
    <definedName name="UAcct447Dgu">'[15]Func Study'!#REF!</definedName>
    <definedName name="UACCT447NPC">'[16]Func Study'!$AB$289</definedName>
    <definedName name="UACCT447NPCCAEW">'[16]Func Study'!$AB$286</definedName>
    <definedName name="UACCT447NPCCAGW">'[16]Func Study'!$AB$287</definedName>
    <definedName name="UACCT447NPCDGP">'[16]Func Study'!$AB$288</definedName>
    <definedName name="UAcct447S">'[16]Func Study'!$AB$280</definedName>
    <definedName name="UAcct447Se">'[13]Functional Study'!$AG$287</definedName>
    <definedName name="UAcct448">'[13]Functional Study'!$AG$276</definedName>
    <definedName name="UAcct448S">'[16]Func Study'!$AB$274</definedName>
    <definedName name="UAcct448So">'[16]Func Study'!$AB$275</definedName>
    <definedName name="UAcct449">'[16]Func Study'!$AB$294</definedName>
    <definedName name="UAcct450">'[16]Func Study'!$AB$304</definedName>
    <definedName name="UAcct450S">'[16]Func Study'!$AB$302</definedName>
    <definedName name="UAcct450So">'[16]Func Study'!$AB$303</definedName>
    <definedName name="UAcct451S">'[16]Func Study'!$AB$307</definedName>
    <definedName name="UAcct451Sg">'[16]Func Study'!$AB$308</definedName>
    <definedName name="UAcct451So">'[16]Func Study'!$AB$309</definedName>
    <definedName name="UAcct453">'[16]Func Study'!$AB$315</definedName>
    <definedName name="UAcct453CAGE" localSheetId="4">'[12]Func Study'!#REF!</definedName>
    <definedName name="UAcct453CAGE" localSheetId="1">'[12]Func Study'!#REF!</definedName>
    <definedName name="UAcct453CAGE" localSheetId="3">'[12]Func Study'!#REF!</definedName>
    <definedName name="UAcct453CAGE" localSheetId="6">'[12]Func Study'!#REF!</definedName>
    <definedName name="UAcct453CAGE">'[12]Func Study'!#REF!</definedName>
    <definedName name="UAcct453CAGW" localSheetId="4">'[12]Func Study'!#REF!</definedName>
    <definedName name="UAcct453CAGW" localSheetId="1">'[12]Func Study'!#REF!</definedName>
    <definedName name="UAcct453CAGW" localSheetId="3">'[12]Func Study'!#REF!</definedName>
    <definedName name="UAcct453CAGW" localSheetId="6">'[12]Func Study'!#REF!</definedName>
    <definedName name="UAcct453CAGW">'[12]Func Study'!#REF!</definedName>
    <definedName name="UAcct454">'[16]Func Study'!$AB$322</definedName>
    <definedName name="UAcct454JBG">'[16]Func Study'!$AB$319</definedName>
    <definedName name="UAcct454S">'[16]Func Study'!$AB$318</definedName>
    <definedName name="UAcct454Sg">'[16]Func Study'!$AB$320</definedName>
    <definedName name="UAcct454So">'[16]Func Study'!$AB$321</definedName>
    <definedName name="UAcct456">'[16]Func Study'!$AB$332</definedName>
    <definedName name="UAcct456CAEW">'[16]Func Study'!$AB$331</definedName>
    <definedName name="UAcct456Cn">'[13]Functional Study'!$AG$325</definedName>
    <definedName name="UAcct456S">'[16]Func Study'!$AB$325</definedName>
    <definedName name="UAcct456Se">'[13]Functional Study'!$AG$326</definedName>
    <definedName name="UAcct456Sg">'[14]Functional Study'!$AG$328</definedName>
    <definedName name="UAcct456So">'[16]Func Study'!$AB$329</definedName>
    <definedName name="UAcct500">'[16]Func Study'!$AB$416</definedName>
    <definedName name="UAcct500Dnppsu">'[13]Functional Study'!$AG$410</definedName>
    <definedName name="UAcct500DSG">'[14]Functional Study'!$AG$400</definedName>
    <definedName name="UAcct500JBG">'[16]Func Study'!$AB$414</definedName>
    <definedName name="UACCT500SSGCH">'[13]Functional Study'!$AG$411</definedName>
    <definedName name="UAcct501">'[16]Func Study'!$AB$423</definedName>
    <definedName name="UAcct501CAEW">'[16]Func Study'!$AB$420</definedName>
    <definedName name="UAcct501JBE">'[16]Func Study'!$AB$421</definedName>
    <definedName name="UACCT501NPC">'[14]Functional Study'!$AG$409</definedName>
    <definedName name="UACCT501NPCCAEW">'[16]Func Study'!$AB$426</definedName>
    <definedName name="UACCT501nPCSE">'[14]Functional Study'!$AG$408</definedName>
    <definedName name="UACCT501NPCSE1">'[14]Functional Study'!#REF!</definedName>
    <definedName name="UAcct501Se">'[13]Functional Study'!$AG$422</definedName>
    <definedName name="UACCT501SE1">'[14]Functional Study'!#REF!</definedName>
    <definedName name="UACCT501SE2">'[14]Functional Study'!#REF!</definedName>
    <definedName name="UACCT501SE3">'[14]Functional Study'!#REF!</definedName>
    <definedName name="UACCT501SSECH">'[13]Functional Study'!$AG$425</definedName>
    <definedName name="UACCT501SSECT">'[13]Functional Study'!$AG$424</definedName>
    <definedName name="UAcct502">'[16]Func Study'!$AB$433</definedName>
    <definedName name="UAcct502CAGE">'[16]Func Study'!$AB$431</definedName>
    <definedName name="UAcct502Dnppsu">'[13]Functional Study'!$AG$429</definedName>
    <definedName name="UAcct502JBG" localSheetId="4">'[12]Func Study'!#REF!</definedName>
    <definedName name="UAcct502JBG" localSheetId="1">'[12]Func Study'!#REF!</definedName>
    <definedName name="UAcct502JBG" localSheetId="3">'[12]Func Study'!#REF!</definedName>
    <definedName name="UAcct502JBG" localSheetId="6">'[12]Func Study'!#REF!</definedName>
    <definedName name="UAcct502JBG">'[12]Func Study'!#REF!</definedName>
    <definedName name="UAcct502SG">'[14]Functional Study'!$AG$412</definedName>
    <definedName name="UACCT502SSGCH">'[13]Functional Study'!$AG$430</definedName>
    <definedName name="UAcct503">'[16]Func Study'!$AB$437</definedName>
    <definedName name="UACCT503NPC">'[16]Func Study'!$AB$443</definedName>
    <definedName name="UAcct505">'[16]Func Study'!$AB$449</definedName>
    <definedName name="UAcct505CAGE">'[16]Func Study'!$AB$447</definedName>
    <definedName name="UAcct505Dnppsu">'[13]Functional Study'!$AG$441</definedName>
    <definedName name="UAcct505JBG" localSheetId="4">'[12]Func Study'!#REF!</definedName>
    <definedName name="UAcct505JBG" localSheetId="1">'[12]Func Study'!#REF!</definedName>
    <definedName name="UAcct505JBG" localSheetId="3">'[12]Func Study'!#REF!</definedName>
    <definedName name="UAcct505JBG" localSheetId="6">'[12]Func Study'!#REF!</definedName>
    <definedName name="UAcct505JBG">'[12]Func Study'!#REF!</definedName>
    <definedName name="UAcct505sg">'[14]Functional Study'!$AG$423</definedName>
    <definedName name="UACCT505SSGCH">'[13]Functional Study'!$AG$442</definedName>
    <definedName name="UAcct506">'[16]Func Study'!$AB$455</definedName>
    <definedName name="UAcct506CAGE">'[16]Func Study'!$AB$452</definedName>
    <definedName name="UAcct506JBG" localSheetId="4">'[12]Func Study'!#REF!</definedName>
    <definedName name="UAcct506JBG" localSheetId="1">'[12]Func Study'!#REF!</definedName>
    <definedName name="UAcct506JBG" localSheetId="3">'[12]Func Study'!#REF!</definedName>
    <definedName name="UAcct506JBG" localSheetId="6">'[12]Func Study'!#REF!</definedName>
    <definedName name="UAcct506JBG">'[12]Func Study'!#REF!</definedName>
    <definedName name="UAcct506Se">'[13]Functional Study'!$AG$447</definedName>
    <definedName name="UACCT506SSGCH">'[13]Functional Study'!$AG$448</definedName>
    <definedName name="UAcct507">'[16]Func Study'!$AB$464</definedName>
    <definedName name="UAcct507CAGE">'[16]Func Study'!$AB$462</definedName>
    <definedName name="UAcct507JBG" localSheetId="4">'[12]Func Study'!#REF!</definedName>
    <definedName name="UAcct507JBG" localSheetId="1">'[12]Func Study'!#REF!</definedName>
    <definedName name="UAcct507JBG" localSheetId="3">'[12]Func Study'!#REF!</definedName>
    <definedName name="UAcct507JBG" localSheetId="6">'[12]Func Study'!#REF!</definedName>
    <definedName name="UAcct507JBG">'[12]Func Study'!#REF!</definedName>
    <definedName name="UAcct507SG">'[14]Functional Study'!$AG$432</definedName>
    <definedName name="uacct507ssgch">'[13]Functional Study'!$AG$457</definedName>
    <definedName name="UAcct510">'[16]Func Study'!$AB$469</definedName>
    <definedName name="UAcct510CAGE">'[16]Func Study'!$AB$467</definedName>
    <definedName name="UAcct510JBG" localSheetId="4">'[12]Func Study'!#REF!</definedName>
    <definedName name="UAcct510JBG" localSheetId="1">'[12]Func Study'!#REF!</definedName>
    <definedName name="UAcct510JBG" localSheetId="3">'[12]Func Study'!#REF!</definedName>
    <definedName name="UAcct510JBG" localSheetId="6">'[12]Func Study'!#REF!</definedName>
    <definedName name="UAcct510JBG">'[12]Func Study'!#REF!</definedName>
    <definedName name="UAcct510sg">'[14]Functional Study'!$AG$436</definedName>
    <definedName name="uacct510ssgch">'[13]Functional Study'!$AG$462</definedName>
    <definedName name="UAcct511">'[16]Func Study'!$AB$474</definedName>
    <definedName name="UAcct511CAGE">'[16]Func Study'!$AB$472</definedName>
    <definedName name="UAcct511JBG" localSheetId="4">'[12]Func Study'!#REF!</definedName>
    <definedName name="UAcct511JBG" localSheetId="1">'[12]Func Study'!#REF!</definedName>
    <definedName name="UAcct511JBG" localSheetId="3">'[12]Func Study'!#REF!</definedName>
    <definedName name="UAcct511JBG" localSheetId="6">'[12]Func Study'!#REF!</definedName>
    <definedName name="UAcct511JBG">'[12]Func Study'!#REF!</definedName>
    <definedName name="UAcct511sg">'[14]Functional Study'!$AG$440</definedName>
    <definedName name="UACCT511SSGCH">'[13]Functional Study'!$AG$467</definedName>
    <definedName name="UAcct512">'[16]Func Study'!$AB$479</definedName>
    <definedName name="UAcct512CAGE">'[16]Func Study'!$AB$477</definedName>
    <definedName name="UAcct512JBG" localSheetId="4">'[12]Func Study'!#REF!</definedName>
    <definedName name="UAcct512JBG" localSheetId="1">'[12]Func Study'!#REF!</definedName>
    <definedName name="UAcct512JBG" localSheetId="3">'[12]Func Study'!#REF!</definedName>
    <definedName name="UAcct512JBG" localSheetId="6">'[12]Func Study'!#REF!</definedName>
    <definedName name="UAcct512JBG">'[12]Func Study'!#REF!</definedName>
    <definedName name="UAcct512sg">'[14]Functional Study'!$AG$444</definedName>
    <definedName name="UACCT512SSGCH">'[13]Functional Study'!$AG$472</definedName>
    <definedName name="UAcct513">'[16]Func Study'!$AB$484</definedName>
    <definedName name="UAcct513CAGE">'[16]Func Study'!$AB$482</definedName>
    <definedName name="UAcct513JBG" localSheetId="4">'[12]Func Study'!#REF!</definedName>
    <definedName name="UAcct513JBG" localSheetId="1">'[12]Func Study'!#REF!</definedName>
    <definedName name="UAcct513JBG" localSheetId="3">'[12]Func Study'!#REF!</definedName>
    <definedName name="UAcct513JBG" localSheetId="6">'[12]Func Study'!#REF!</definedName>
    <definedName name="UAcct513JBG">'[12]Func Study'!#REF!</definedName>
    <definedName name="UAcct513sg">'[14]Functional Study'!$AG$448</definedName>
    <definedName name="UACCT513SSGCH">'[13]Functional Study'!$AG$477</definedName>
    <definedName name="UAcct514">'[16]Func Study'!$AB$489</definedName>
    <definedName name="UAcct514CAGE">'[16]Func Study'!$AB$487</definedName>
    <definedName name="UAcct514JBG" localSheetId="4">'[12]Func Study'!#REF!</definedName>
    <definedName name="UAcct514JBG" localSheetId="1">'[12]Func Study'!#REF!</definedName>
    <definedName name="UAcct514JBG" localSheetId="3">'[12]Func Study'!#REF!</definedName>
    <definedName name="UAcct514JBG" localSheetId="6">'[12]Func Study'!#REF!</definedName>
    <definedName name="UAcct514JBG">'[12]Func Study'!#REF!</definedName>
    <definedName name="UAcct514sg">'[14]Functional Study'!$AG$452</definedName>
    <definedName name="UACCT514SSGCH">'[13]Functional Study'!$AG$482</definedName>
    <definedName name="UAcct517">'[16]Func Study'!$AB$498</definedName>
    <definedName name="UAcct518">'[16]Func Study'!$AB$502</definedName>
    <definedName name="UAcct519">'[16]Func Study'!$AB$507</definedName>
    <definedName name="UAcct520">'[16]Func Study'!$AB$511</definedName>
    <definedName name="UAcct523">'[16]Func Study'!$AB$515</definedName>
    <definedName name="UAcct524">'[16]Func Study'!$AB$519</definedName>
    <definedName name="UAcct528">'[16]Func Study'!$AB$523</definedName>
    <definedName name="UAcct529">'[16]Func Study'!$AB$527</definedName>
    <definedName name="UAcct530">'[16]Func Study'!$AB$531</definedName>
    <definedName name="UAcct531">'[16]Func Study'!$AB$535</definedName>
    <definedName name="UAcct532">'[16]Func Study'!$AB$539</definedName>
    <definedName name="UAcct535">'[16]Func Study'!$AB$551</definedName>
    <definedName name="UAcct536">'[16]Func Study'!$AB$555</definedName>
    <definedName name="UAcct537">'[16]Func Study'!$AB$559</definedName>
    <definedName name="UAcct538">'[16]Func Study'!$AB$563</definedName>
    <definedName name="UAcct539">'[16]Func Study'!$AB$568</definedName>
    <definedName name="UAcct540">'[16]Func Study'!$AB$572</definedName>
    <definedName name="UAcct541">'[16]Func Study'!$AB$576</definedName>
    <definedName name="UAcct542">'[16]Func Study'!$AB$580</definedName>
    <definedName name="UAcct543">'[16]Func Study'!$AB$584</definedName>
    <definedName name="UAcct544">'[16]Func Study'!$AB$588</definedName>
    <definedName name="UAcct545">'[16]Func Study'!$AB$592</definedName>
    <definedName name="UAcct546">'[16]Func Study'!$AB$606</definedName>
    <definedName name="UAcct546CAGE">'[16]Func Study'!$AB$605</definedName>
    <definedName name="UACCT546sg">'[14]Functional Study'!$AG$554</definedName>
    <definedName name="UAcct547">'[13]Functional Study'!$AG$608</definedName>
    <definedName name="UAcct547CAEW">'[16]Func Study'!$AB$610</definedName>
    <definedName name="UACCT547n">'[14]Functional Study'!$AG$559</definedName>
    <definedName name="UACCT547NPCCAEW">'[16]Func Study'!$AB$613</definedName>
    <definedName name="UACCT547nse">'[14]Functional Study'!$AG$558</definedName>
    <definedName name="UAcct547Se">'[16]Func Study'!$AB$609</definedName>
    <definedName name="UACCT547SSECT">'[13]Functional Study'!$AG$607</definedName>
    <definedName name="UAcct548">'[16]Func Study'!$AB$621</definedName>
    <definedName name="UACCT548CAGE">'[16]Func Study'!$AB$620</definedName>
    <definedName name="UACCT548sg">'[14]Functional Study'!$AG$565</definedName>
    <definedName name="UACCT548SSCCT">'[13]Functional Study'!$AG$612</definedName>
    <definedName name="UAcct549">'[16]Func Study'!$AB$626</definedName>
    <definedName name="Uacct549CAGE">'[16]Func Study'!$AB$625</definedName>
    <definedName name="UAcct549Dnppou">'[13]Functional Study'!$AG$616</definedName>
    <definedName name="UACCT549SGW">'[47]Functional Study'!$AG$617</definedName>
    <definedName name="UACCT549SSGCT">'[13]Functional Study'!$AG$617</definedName>
    <definedName name="UAcct5506SE" localSheetId="4">'[12]Func Study'!#REF!</definedName>
    <definedName name="UAcct5506SE" localSheetId="1">'[12]Func Study'!#REF!</definedName>
    <definedName name="UAcct5506SE" localSheetId="3">'[12]Func Study'!#REF!</definedName>
    <definedName name="UAcct5506SE" localSheetId="6">'[12]Func Study'!#REF!</definedName>
    <definedName name="UAcct5506SE">'[12]Func Study'!#REF!</definedName>
    <definedName name="uacct550sgw">'[47]Functional Study'!$AG$627</definedName>
    <definedName name="uacct550snppo">'[13]Functional Study'!$AG$626</definedName>
    <definedName name="uacct550ssgct">'[13]Functional Study'!$AG$627</definedName>
    <definedName name="UAcct551">'[13]Functional Study'!$AG$631</definedName>
    <definedName name="UAcct551CAGE">'[16]Func Study'!$AB$634</definedName>
    <definedName name="UACCT551SG">'[16]Func Study'!$AB$635</definedName>
    <definedName name="UAcct552">'[14]Functional Study'!$AG$583</definedName>
    <definedName name="UACCT552CAGE">'[16]Func Study'!$AB$640</definedName>
    <definedName name="UAcct552Dnppou">'[13]Functional Study'!$AG$634</definedName>
    <definedName name="UAcct552SG">'[16]Func Study'!$AB$639</definedName>
    <definedName name="UACCT552SSGCT">'[13]Functional Study'!$AG$635</definedName>
    <definedName name="UACCT553CAGE">'[16]Func Study'!$AB$646</definedName>
    <definedName name="UAcct553Dnppou">'[13]Functional Study'!$AG$640</definedName>
    <definedName name="UAcct553SG">'[16]Func Study'!$AB$645</definedName>
    <definedName name="UACCT553SGW">'[47]Functional Study'!$AG$641</definedName>
    <definedName name="UACCT553SSGCT">'[13]Functional Study'!$AG$641</definedName>
    <definedName name="UACCT554CAGE">'[16]Func Study'!$AB$651</definedName>
    <definedName name="UAcct554Dnppou">'[13]Functional Study'!$AG$645</definedName>
    <definedName name="UAcct554SG">'[16]Func Study'!$AB$650</definedName>
    <definedName name="UACCT554SGW">'[47]Functional Study'!$AG$646</definedName>
    <definedName name="UACCT554SSGCT">'[13]Functional Study'!$AG$646</definedName>
    <definedName name="UAcct555CAEE" localSheetId="4">'[12]Func Study'!#REF!</definedName>
    <definedName name="UAcct555CAEE" localSheetId="1">'[12]Func Study'!#REF!</definedName>
    <definedName name="UAcct555CAEE" localSheetId="3">'[12]Func Study'!#REF!</definedName>
    <definedName name="UAcct555CAEE" localSheetId="6">'[12]Func Study'!#REF!</definedName>
    <definedName name="UAcct555CAEE">'[12]Func Study'!#REF!</definedName>
    <definedName name="UAcct555CAEW">'[16]Func Study'!$AB$665</definedName>
    <definedName name="UAcct555CAGE" localSheetId="4">'[12]Func Study'!#REF!</definedName>
    <definedName name="UAcct555CAGE" localSheetId="1">'[12]Func Study'!#REF!</definedName>
    <definedName name="UAcct555CAGE" localSheetId="3">'[12]Func Study'!#REF!</definedName>
    <definedName name="UAcct555CAGE" localSheetId="6">'[12]Func Study'!#REF!</definedName>
    <definedName name="UAcct555CAGE">'[12]Func Study'!#REF!</definedName>
    <definedName name="UAcct555CAGW">'[16]Func Study'!$AB$664</definedName>
    <definedName name="UACCT555DGP">'[16]Func Study'!$AB$670</definedName>
    <definedName name="UACCT555NPCCAEW">'[16]Func Study'!$AB$669</definedName>
    <definedName name="UACCT555NPCCAGW">'[16]Func Study'!$AB$668</definedName>
    <definedName name="UAcct555S">'[16]Func Study'!$AB$663</definedName>
    <definedName name="UAcct555Se">'[16]Func Study'!$AB$665</definedName>
    <definedName name="UACCT555SG">'[16]Func Study'!$AB$664</definedName>
    <definedName name="uacct555ssgc">'[13]Functional Study'!$AG$664</definedName>
    <definedName name="UAcct556">'[16]Func Study'!$AB$676</definedName>
    <definedName name="UAcct557">'[16]Func Study'!$AB$685</definedName>
    <definedName name="UAcct557S">'[13]Functional Study'!$AG$676</definedName>
    <definedName name="uacct557se">'[13]Functional Study'!$AG$679</definedName>
    <definedName name="UAcct557Sg">'[13]Functional Study'!$AG$677</definedName>
    <definedName name="Uacct557SSGCT">'[13]Functional Study'!$AG$678</definedName>
    <definedName name="uacct557trojp">'[13]Functional Study'!$AG$680</definedName>
    <definedName name="UAcct560">'[16]Func Study'!$AB$715</definedName>
    <definedName name="UAcct561">'[16]Func Study'!$AB$720</definedName>
    <definedName name="UAcct562">'[16]Func Study'!$AB$726</definedName>
    <definedName name="UAcct563">'[16]Func Study'!$AB$731</definedName>
    <definedName name="UAcct564">'[16]Func Study'!$AB$735</definedName>
    <definedName name="UAcct565">'[16]Func Study'!$AB$739</definedName>
    <definedName name="UACCT565NPC">'[16]Func Study'!$AB$744</definedName>
    <definedName name="UACCT565NPCCAGW">'[16]Func Study'!$AB$742</definedName>
    <definedName name="UAcct565Se">'[13]Functional Study'!$AG$731</definedName>
    <definedName name="UAcct566">'[16]Func Study'!$AB$748</definedName>
    <definedName name="UAcct567">'[16]Func Study'!$AB$752</definedName>
    <definedName name="UAcct568">'[16]Func Study'!$AB$756</definedName>
    <definedName name="UAcct569">'[16]Func Study'!$AB$760</definedName>
    <definedName name="UAcct570">'[16]Func Study'!$AB$765</definedName>
    <definedName name="UAcct571">'[16]Func Study'!$AB$770</definedName>
    <definedName name="UAcct572">'[16]Func Study'!$AB$774</definedName>
    <definedName name="UAcct573">'[16]Func Study'!$AB$778</definedName>
    <definedName name="UAcct580">'[16]Func Study'!$AB$791</definedName>
    <definedName name="UAcct581">'[16]Func Study'!$AB$796</definedName>
    <definedName name="UAcct582">'[16]Func Study'!$AB$801</definedName>
    <definedName name="UAcct583">'[16]Func Study'!$AB$806</definedName>
    <definedName name="UAcct584">'[16]Func Study'!$AB$811</definedName>
    <definedName name="UAcct585">'[16]Func Study'!$AB$816</definedName>
    <definedName name="UAcct586">'[16]Func Study'!$AB$821</definedName>
    <definedName name="UAcct587">'[16]Func Study'!$AB$826</definedName>
    <definedName name="UAcct588">'[16]Func Study'!$AB$831</definedName>
    <definedName name="UAcct589">'[16]Func Study'!$AB$836</definedName>
    <definedName name="UAcct590">'[16]Func Study'!$AB$841</definedName>
    <definedName name="UAcct591">'[16]Func Study'!$AB$846</definedName>
    <definedName name="UAcct592">'[16]Func Study'!$AB$851</definedName>
    <definedName name="UAcct593">'[16]Func Study'!$AB$856</definedName>
    <definedName name="UAcct594">'[16]Func Study'!$AB$861</definedName>
    <definedName name="UAcct595">'[16]Func Study'!$AB$866</definedName>
    <definedName name="UAcct596">'[16]Func Study'!$AB$876</definedName>
    <definedName name="UAcct597">'[16]Func Study'!$AB$881</definedName>
    <definedName name="UAcct598">'[16]Func Study'!$AB$886</definedName>
    <definedName name="UAcct901">'[16]Func Study'!$AB$898</definedName>
    <definedName name="UAcct902">'[16]Func Study'!$AB$903</definedName>
    <definedName name="UAcct903">'[16]Func Study'!$AB$908</definedName>
    <definedName name="UAcct904">'[16]Func Study'!$AB$914</definedName>
    <definedName name="Uacct904SG" localSheetId="4">'[19]Functional Study'!#REF!</definedName>
    <definedName name="Uacct904SG" localSheetId="1">'[19]Functional Study'!#REF!</definedName>
    <definedName name="Uacct904SG" localSheetId="3">'[19]Functional Study'!#REF!</definedName>
    <definedName name="Uacct904SG" localSheetId="6">'[19]Functional Study'!#REF!</definedName>
    <definedName name="Uacct904SG">'[20]Functional Study'!#REF!</definedName>
    <definedName name="UAcct905">'[16]Func Study'!$AB$919</definedName>
    <definedName name="UAcct907">'[16]Func Study'!$AB$933</definedName>
    <definedName name="UAcct908">'[16]Func Study'!$AB$938</definedName>
    <definedName name="UAcct909">'[16]Func Study'!$AB$943</definedName>
    <definedName name="UAcct910">'[16]Func Study'!$AB$948</definedName>
    <definedName name="UAcct911">'[16]Func Study'!$AB$959</definedName>
    <definedName name="UAcct912">'[16]Func Study'!$AB$964</definedName>
    <definedName name="UAcct913">'[16]Func Study'!$AB$969</definedName>
    <definedName name="UAcct916">'[16]Func Study'!$AB$974</definedName>
    <definedName name="UAcct920">'[16]Func Study'!$AB$985</definedName>
    <definedName name="UAcct920Cn">'[16]Func Study'!$AB$983</definedName>
    <definedName name="UAcct921">'[16]Func Study'!$AB$991</definedName>
    <definedName name="UAcct921Cn">'[16]Func Study'!$AB$989</definedName>
    <definedName name="UAcct923">'[16]Func Study'!$AB$997</definedName>
    <definedName name="UAcct923CAGW">'[16]Func Study'!$AB$995</definedName>
    <definedName name="UAcct923Cn">'[13]Functional Study'!$AG$982</definedName>
    <definedName name="UAcct924">'[16]Func Study'!$AB$1001</definedName>
    <definedName name="UAcct925">'[16]Func Study'!$AB$1005</definedName>
    <definedName name="UAcct926">'[16]Func Study'!$AB$1011</definedName>
    <definedName name="UAcct927">'[16]Func Study'!$AB$1016</definedName>
    <definedName name="UAcct928">'[16]Func Study'!$AB$1023</definedName>
    <definedName name="UAcct929">'[16]Func Study'!$AB$1028</definedName>
    <definedName name="UAcct930">'[16]Func Study'!$AB$1034</definedName>
    <definedName name="UAcct931">'[16]Func Study'!$AB$1039</definedName>
    <definedName name="UAcct935">'[16]Func Study'!$AB$1045</definedName>
    <definedName name="UAcctAGA">'[16]Func Study'!$AB$296</definedName>
    <definedName name="UACCTCOHDGP">'[13]Functional Study'!$AG$683</definedName>
    <definedName name="UACCTCOWSG">'[13]Functional Study'!$AG$684</definedName>
    <definedName name="UAcctcwc">'[16]Func Study'!$AB$2136</definedName>
    <definedName name="UAcctd00">'[16]Func Study'!$AB$1786</definedName>
    <definedName name="UAcctdfa" localSheetId="4">'[16]Func Study'!#REF!</definedName>
    <definedName name="UAcctdfa" localSheetId="1">'[16]Func Study'!#REF!</definedName>
    <definedName name="UAcctdfa" localSheetId="3">'[16]Func Study'!#REF!</definedName>
    <definedName name="UAcctdfa" localSheetId="6">'[16]Func Study'!#REF!</definedName>
    <definedName name="UAcctdfa">'[16]Func Study'!#REF!</definedName>
    <definedName name="UAcctdfad" localSheetId="4">'[16]Func Study'!#REF!</definedName>
    <definedName name="UAcctdfad" localSheetId="1">'[16]Func Study'!#REF!</definedName>
    <definedName name="UAcctdfad" localSheetId="3">'[16]Func Study'!#REF!</definedName>
    <definedName name="UAcctdfad" localSheetId="6">'[16]Func Study'!#REF!</definedName>
    <definedName name="UAcctdfad">'[16]Func Study'!#REF!</definedName>
    <definedName name="UAcctdfap" localSheetId="4">'[16]Func Study'!#REF!</definedName>
    <definedName name="UAcctdfap" localSheetId="1">'[16]Func Study'!#REF!</definedName>
    <definedName name="UAcctdfap" localSheetId="3">'[16]Func Study'!#REF!</definedName>
    <definedName name="UAcctdfap" localSheetId="6">'[16]Func Study'!#REF!</definedName>
    <definedName name="UAcctdfap">'[16]Func Study'!#REF!</definedName>
    <definedName name="UAcctdfat" localSheetId="4">'[16]Func Study'!#REF!</definedName>
    <definedName name="UAcctdfat" localSheetId="1">'[16]Func Study'!#REF!</definedName>
    <definedName name="UAcctdfat" localSheetId="3">'[16]Func Study'!#REF!</definedName>
    <definedName name="UAcctdfat" localSheetId="6">'[16]Func Study'!#REF!</definedName>
    <definedName name="UAcctdfat">'[16]Func Study'!#REF!</definedName>
    <definedName name="UAcctds0">'[16]Func Study'!$AB$1790</definedName>
    <definedName name="UACCTECD">'[47]Functional Study'!$AG$689</definedName>
    <definedName name="UACCTECDDGP">'[16]Func Study'!$AB$687</definedName>
    <definedName name="UACCTECDMC">'[16]Func Study'!$AB$689</definedName>
    <definedName name="UACCTECDS">'[16]Func Study'!$AB$691</definedName>
    <definedName name="UACCTECDSG1">'[16]Func Study'!$AB$688</definedName>
    <definedName name="UACCTECDSG2">'[16]Func Study'!$AB$690</definedName>
    <definedName name="UACCTECDSG3">'[16]Func Study'!$AB$692</definedName>
    <definedName name="UACCTEQFCS">'[13]Functional Study'!$AG$687</definedName>
    <definedName name="UACCTEQFCSG">'[13]Functional Study'!$AG$688</definedName>
    <definedName name="UAcctfit">'[16]Func Study'!$AB$1395</definedName>
    <definedName name="UAcctg00">'[16]Func Study'!$AB$1947</definedName>
    <definedName name="UAccth00">'[16]Func Study'!$AB$1545</definedName>
    <definedName name="UAccti00">'[16]Func Study'!$AB$1993</definedName>
    <definedName name="UACCTMCCMC">'[13]Functional Study'!$AG$685</definedName>
    <definedName name="UACCTMCSG">'[13]Functional Study'!$AG$686</definedName>
    <definedName name="UAcctn00">'[16]Func Study'!$AB$1496</definedName>
    <definedName name="UAccto00">'[16]Func Study'!$AB$1606</definedName>
    <definedName name="UAcctowc">'[16]Func Study'!$AB$2149</definedName>
    <definedName name="UAcctowcdgp">'[14]Functional Study'!#REF!</definedName>
    <definedName name="UAcctowcse">'[14]Functional Study'!$AG$1855</definedName>
    <definedName name="UACCTOWCSSECH">'[16]Func Study'!$AB$2148</definedName>
    <definedName name="UAccts00">'[16]Func Study'!$AB$1455</definedName>
    <definedName name="UAcctsttax">'[16]Func Study'!$AB$1377</definedName>
    <definedName name="UAcctt00">'[16]Func Study'!$AB$1682</definedName>
    <definedName name="UNBILREV" localSheetId="4">#REF!</definedName>
    <definedName name="UNBILREV" localSheetId="1">#REF!</definedName>
    <definedName name="UNBILREV" localSheetId="3">#REF!</definedName>
    <definedName name="UNBILREV" localSheetId="6">#REF!</definedName>
    <definedName name="UNBILREV">#REF!</definedName>
    <definedName name="UncollectibleAccounts" localSheetId="0">[22]Variables!$D$25</definedName>
    <definedName name="UncollectibleAccounts">[23]Variables!$D$25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BR">#REF!</definedName>
    <definedName name="UT_305A_FY_2002">#REF!</definedName>
    <definedName name="UT_RVN_0302">#REF!</definedName>
    <definedName name="UtGrossReceipts" localSheetId="0">[22]Variables!$D$29</definedName>
    <definedName name="UtGrossReceipts">[23]Variables!$D$29</definedName>
    <definedName name="ValidAccount">[21]Variables!$AK$43:$AK$369</definedName>
    <definedName name="VAR" localSheetId="4">[25]Backup!#REF!</definedName>
    <definedName name="VAR" localSheetId="0">[25]Backup!#REF!</definedName>
    <definedName name="VAR" localSheetId="1">[25]Backup!#REF!</definedName>
    <definedName name="VAR" localSheetId="3">[25]Backup!#REF!</definedName>
    <definedName name="VAR" localSheetId="6">[25]Backup!#REF!</definedName>
    <definedName name="VAR">[25]Backup!#REF!</definedName>
    <definedName name="VARIABLE" localSheetId="4">[34]Summary!#REF!</definedName>
    <definedName name="VARIABLE" localSheetId="1">[34]Summary!#REF!</definedName>
    <definedName name="VARIABLE" localSheetId="3">[34]Summary!#REF!</definedName>
    <definedName name="VARIABLE" localSheetId="6">[34]Summary!#REF!</definedName>
    <definedName name="VARIABLE">[35]Summary!#REF!</definedName>
    <definedName name="VOUCHER" localSheetId="4">#REF!</definedName>
    <definedName name="VOUCHER" localSheetId="0">#REF!</definedName>
    <definedName name="VOUCHER" localSheetId="1">#REF!</definedName>
    <definedName name="VOUCHER" localSheetId="3">#REF!</definedName>
    <definedName name="VOUCHER" localSheetId="6">#REF!</definedName>
    <definedName name="VOUCHER">#REF!</definedName>
    <definedName name="w" hidden="1">[55]Inputs!#REF!</definedName>
    <definedName name="WaRevenueTax" localSheetId="0">[22]Variables!$D$27</definedName>
    <definedName name="WaRevenueTax">[23]Variables!$D$27</definedName>
    <definedName name="WEATHER" localSheetId="4">#REF!</definedName>
    <definedName name="WEATHER" localSheetId="1">#REF!</definedName>
    <definedName name="WEATHER" localSheetId="3">#REF!</definedName>
    <definedName name="WEATHER" localSheetId="6">#REF!</definedName>
    <definedName name="WEATHER">#REF!</definedName>
    <definedName name="WEATHRNORM" localSheetId="4">#REF!</definedName>
    <definedName name="WEATHRNORM" localSheetId="1">#REF!</definedName>
    <definedName name="WEATHRNORM" localSheetId="3">#REF!</definedName>
    <definedName name="WEATHRNORM" localSheetId="6">#REF!</definedName>
    <definedName name="WEATHRNORM">#REF!</definedName>
    <definedName name="WIDTH" localSheetId="4">#REF!</definedName>
    <definedName name="WIDTH" localSheetId="0">#REF!</definedName>
    <definedName name="WIDTH" localSheetId="1">#REF!</definedName>
    <definedName name="WIDTH" localSheetId="3">#REF!</definedName>
    <definedName name="WIDTH" localSheetId="6">#REF!</definedName>
    <definedName name="WIDTH">#REF!</definedName>
    <definedName name="WinterPeak" localSheetId="0">'[56]Load Data'!$D$9:$H$12,'[56]Load Data'!$D$20:$H$22</definedName>
    <definedName name="WinterPeak">'[57]Load Data'!$D$9:$H$12,'[57]Load Data'!$D$20:$H$22</definedName>
    <definedName name="WORK1" localSheetId="4">#REF!</definedName>
    <definedName name="WORK1" localSheetId="0">#REF!</definedName>
    <definedName name="WORK1" localSheetId="1">#REF!</definedName>
    <definedName name="WORK1" localSheetId="3">#REF!</definedName>
    <definedName name="WORK1" localSheetId="6">#REF!</definedName>
    <definedName name="WORK1">#REF!</definedName>
    <definedName name="WORK2" localSheetId="4">#REF!</definedName>
    <definedName name="WORK2" localSheetId="0">#REF!</definedName>
    <definedName name="WORK2" localSheetId="1">#REF!</definedName>
    <definedName name="WORK2" localSheetId="3">#REF!</definedName>
    <definedName name="WORK2" localSheetId="6">#REF!</definedName>
    <definedName name="WORK2">#REF!</definedName>
    <definedName name="WORK3" localSheetId="4">#REF!</definedName>
    <definedName name="WORK3" localSheetId="0">#REF!</definedName>
    <definedName name="WORK3" localSheetId="1">#REF!</definedName>
    <definedName name="WORK3" localSheetId="3">#REF!</definedName>
    <definedName name="WORK3" localSheetId="6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4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localSheetId="6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4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localSheetId="6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'[58]Weather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5" hidden="1">#REF!</definedName>
    <definedName name="y" localSheetId="6" hidden="1">#REF!</definedName>
    <definedName name="y" hidden="1">'[4]DSM Output'!$B$21:$B$23</definedName>
    <definedName name="Year" localSheetId="4">#REF!</definedName>
    <definedName name="Year" localSheetId="0">#REF!</definedName>
    <definedName name="Year" localSheetId="1">#REF!</definedName>
    <definedName name="Year" localSheetId="3">#REF!</definedName>
    <definedName name="Year" localSheetId="6">#REF!</definedName>
    <definedName name="Year">#REF!</definedName>
    <definedName name="YEFactors">[21]Factors!$S$3:$AG$99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5" hidden="1">#REF!</definedName>
    <definedName name="z" localSheetId="6" hidden="1">#REF!</definedName>
    <definedName name="z" hidden="1">'[4]DSM Output'!$G$21:$G$23</definedName>
    <definedName name="Z_01844156_6462_4A28_9785_1A86F4D0C834_.wvu.PrintTitles" hidden="1">#REF!</definedName>
    <definedName name="ZA" localSheetId="4">'[59] annual balance '!#REF!</definedName>
    <definedName name="ZA" localSheetId="0">'[59] annual balance '!#REF!</definedName>
    <definedName name="ZA" localSheetId="1">'[59] annual balance '!#REF!</definedName>
    <definedName name="ZA" localSheetId="3">'[59] annual balance '!#REF!</definedName>
    <definedName name="ZA" localSheetId="6">'[59] annual balance '!#REF!</definedName>
    <definedName name="ZA">'[59] annual balance '!#REF!</definedName>
  </definedNames>
  <calcPr calcId="152511"/>
</workbook>
</file>

<file path=xl/calcChain.xml><?xml version="1.0" encoding="utf-8"?>
<calcChain xmlns="http://schemas.openxmlformats.org/spreadsheetml/2006/main">
  <c r="R11" i="3" l="1"/>
  <c r="V26" i="4"/>
  <c r="T17" i="3"/>
  <c r="T14" i="4" l="1"/>
  <c r="T33" i="4"/>
  <c r="AA46" i="12"/>
  <c r="AA39" i="12"/>
  <c r="AA38" i="12"/>
  <c r="AA37" i="12"/>
  <c r="AA36" i="12"/>
  <c r="AA35" i="12"/>
  <c r="AA23" i="12"/>
  <c r="AA24" i="12"/>
  <c r="AA25" i="12"/>
  <c r="AA26" i="12"/>
  <c r="AA27" i="12"/>
  <c r="AA28" i="12"/>
  <c r="AA29" i="12"/>
  <c r="AA22" i="12"/>
  <c r="W19" i="12"/>
  <c r="AA16" i="12"/>
  <c r="R12" i="3"/>
  <c r="Q39" i="12"/>
  <c r="Q38" i="12"/>
  <c r="Q37" i="12"/>
  <c r="Q36" i="12"/>
  <c r="Q35" i="12"/>
  <c r="Q26" i="12"/>
  <c r="Q27" i="12"/>
  <c r="Q28" i="12"/>
  <c r="Q29" i="12"/>
  <c r="Q25" i="12"/>
  <c r="Q24" i="12"/>
  <c r="Q23" i="12"/>
  <c r="Q22" i="12"/>
  <c r="Q16" i="12"/>
  <c r="O35" i="12"/>
  <c r="O25" i="12"/>
  <c r="O24" i="12"/>
  <c r="O22" i="12"/>
  <c r="I162" i="20" l="1"/>
  <c r="H162" i="20"/>
  <c r="J161" i="20"/>
  <c r="J163" i="20" s="1"/>
  <c r="I161" i="20"/>
  <c r="H161" i="20"/>
  <c r="I156" i="20"/>
  <c r="H156" i="20"/>
  <c r="J146" i="20"/>
  <c r="I146" i="20"/>
  <c r="H146" i="20"/>
  <c r="E144" i="20"/>
  <c r="E142" i="20"/>
  <c r="E140" i="20"/>
  <c r="E138" i="20"/>
  <c r="E137" i="20"/>
  <c r="E135" i="20"/>
  <c r="E134" i="20"/>
  <c r="E133" i="20"/>
  <c r="E131" i="20"/>
  <c r="E129" i="20"/>
  <c r="E127" i="20"/>
  <c r="E126" i="20"/>
  <c r="E125" i="20"/>
  <c r="E124" i="20"/>
  <c r="E123" i="20"/>
  <c r="E122" i="20"/>
  <c r="E121" i="20"/>
  <c r="E120" i="20"/>
  <c r="J115" i="20"/>
  <c r="I115" i="20"/>
  <c r="H115" i="20"/>
  <c r="E114" i="20"/>
  <c r="E113" i="20"/>
  <c r="E112" i="20"/>
  <c r="E111" i="20"/>
  <c r="E110" i="20"/>
  <c r="E109" i="20"/>
  <c r="E108" i="20"/>
  <c r="E107" i="20"/>
  <c r="E106" i="20"/>
  <c r="E105" i="20"/>
  <c r="E104" i="20"/>
  <c r="J100" i="20"/>
  <c r="I100" i="20"/>
  <c r="H100" i="20"/>
  <c r="E98" i="20"/>
  <c r="E97" i="20"/>
  <c r="E96" i="20"/>
  <c r="E95" i="20"/>
  <c r="E94" i="20"/>
  <c r="E93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J74" i="20"/>
  <c r="I74" i="20"/>
  <c r="H74" i="20"/>
  <c r="E72" i="20"/>
  <c r="E70" i="20"/>
  <c r="E68" i="20"/>
  <c r="E66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J47" i="20"/>
  <c r="I47" i="20"/>
  <c r="H47" i="20"/>
  <c r="E45" i="20"/>
  <c r="E44" i="20"/>
  <c r="E42" i="20"/>
  <c r="E41" i="20"/>
  <c r="E40" i="20"/>
  <c r="E39" i="20"/>
  <c r="E37" i="20"/>
  <c r="E35" i="20"/>
  <c r="E33" i="20"/>
  <c r="E31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H152" i="20" l="1"/>
  <c r="H155" i="20" s="1"/>
  <c r="H157" i="20" s="1"/>
  <c r="I152" i="20"/>
  <c r="I155" i="20" s="1"/>
  <c r="I157" i="20" s="1"/>
  <c r="J152" i="20"/>
  <c r="J155" i="20" s="1"/>
  <c r="J157" i="20" s="1"/>
  <c r="H163" i="20"/>
  <c r="I163" i="20"/>
  <c r="L29" i="12" l="1"/>
  <c r="L23" i="12"/>
  <c r="L16" i="12"/>
  <c r="L19" i="12"/>
  <c r="I28" i="12"/>
  <c r="I36" i="12"/>
  <c r="I37" i="12"/>
  <c r="I38" i="12"/>
  <c r="I39" i="12"/>
  <c r="I35" i="12"/>
  <c r="I29" i="12"/>
  <c r="I27" i="12"/>
  <c r="I26" i="12"/>
  <c r="I25" i="12"/>
  <c r="I24" i="12"/>
  <c r="I23" i="12"/>
  <c r="I22" i="12"/>
  <c r="I16" i="12"/>
  <c r="U39" i="18" l="1"/>
  <c r="V39" i="18" s="1"/>
  <c r="S39" i="18"/>
  <c r="P39" i="18"/>
  <c r="Q39" i="18" s="1"/>
  <c r="N39" i="18"/>
  <c r="L39" i="18"/>
  <c r="H39" i="18"/>
  <c r="U38" i="18"/>
  <c r="V38" i="18" s="1"/>
  <c r="S38" i="18"/>
  <c r="P38" i="18"/>
  <c r="Q38" i="18" s="1"/>
  <c r="N38" i="18"/>
  <c r="L38" i="18"/>
  <c r="H38" i="18"/>
  <c r="U37" i="18"/>
  <c r="V37" i="18" s="1"/>
  <c r="S37" i="18"/>
  <c r="P37" i="18"/>
  <c r="Q37" i="18" s="1"/>
  <c r="N37" i="18"/>
  <c r="L37" i="18"/>
  <c r="H37" i="18"/>
  <c r="U36" i="18"/>
  <c r="V36" i="18" s="1"/>
  <c r="S36" i="18"/>
  <c r="P36" i="18"/>
  <c r="Q36" i="18" s="1"/>
  <c r="N36" i="18"/>
  <c r="L36" i="18"/>
  <c r="H36" i="18"/>
  <c r="H35" i="18"/>
  <c r="H42" i="18" s="1"/>
  <c r="U29" i="18"/>
  <c r="V29" i="18" s="1"/>
  <c r="S29" i="18"/>
  <c r="X29" i="18" s="1"/>
  <c r="P29" i="18"/>
  <c r="Q29" i="18" s="1"/>
  <c r="N29" i="18"/>
  <c r="W29" i="18" s="1"/>
  <c r="L29" i="18"/>
  <c r="J29" i="18"/>
  <c r="H29" i="18"/>
  <c r="H28" i="18"/>
  <c r="H27" i="18"/>
  <c r="H26" i="18"/>
  <c r="H25" i="18"/>
  <c r="H24" i="18"/>
  <c r="H32" i="18" s="1"/>
  <c r="H22" i="18"/>
  <c r="B19" i="18"/>
  <c r="B22" i="18" s="1"/>
  <c r="B23" i="18" s="1"/>
  <c r="L16" i="18"/>
  <c r="L19" i="18" s="1"/>
  <c r="J16" i="18"/>
  <c r="J19" i="18" s="1"/>
  <c r="H16" i="18"/>
  <c r="H19" i="18" s="1"/>
  <c r="H44" i="18" l="1"/>
  <c r="H48" i="18" s="1"/>
  <c r="B25" i="18"/>
  <c r="B24" i="18"/>
  <c r="B26" i="18" l="1"/>
  <c r="B27" i="18"/>
  <c r="B28" i="18"/>
  <c r="B29" i="18" l="1"/>
  <c r="B32" i="18" l="1"/>
  <c r="B35" i="18" l="1"/>
  <c r="B36" i="18" l="1"/>
  <c r="B37" i="18" l="1"/>
  <c r="B38" i="18"/>
  <c r="B39" i="18" s="1"/>
  <c r="B42" i="18" s="1"/>
  <c r="B44" i="18" l="1"/>
  <c r="L46" i="18" l="1"/>
  <c r="N46" i="18" s="1"/>
  <c r="S46" i="18" s="1"/>
  <c r="J28" i="18" l="1"/>
  <c r="L28" i="12" s="1"/>
  <c r="J37" i="18"/>
  <c r="L37" i="12" s="1"/>
  <c r="J24" i="18"/>
  <c r="L24" i="12" s="1"/>
  <c r="J36" i="18"/>
  <c r="L36" i="12" s="1"/>
  <c r="J39" i="18"/>
  <c r="L39" i="12" s="1"/>
  <c r="J26" i="18"/>
  <c r="L26" i="12" s="1"/>
  <c r="X39" i="18" l="1"/>
  <c r="W39" i="18"/>
  <c r="X36" i="18"/>
  <c r="W36" i="18"/>
  <c r="X37" i="18"/>
  <c r="W37" i="18"/>
  <c r="L28" i="18"/>
  <c r="L26" i="18"/>
  <c r="L25" i="18"/>
  <c r="J35" i="18"/>
  <c r="L35" i="12" s="1"/>
  <c r="J38" i="18"/>
  <c r="L38" i="12" s="1"/>
  <c r="J25" i="18"/>
  <c r="L25" i="12" s="1"/>
  <c r="L24" i="18"/>
  <c r="L42" i="12" l="1"/>
  <c r="J42" i="18"/>
  <c r="X38" i="18"/>
  <c r="W38" i="18"/>
  <c r="L35" i="18"/>
  <c r="L42" i="18" s="1"/>
  <c r="J22" i="18"/>
  <c r="L22" i="12" s="1"/>
  <c r="L22" i="18" l="1"/>
  <c r="L27" i="18" l="1"/>
  <c r="L32" i="18" s="1"/>
  <c r="L44" i="18" s="1"/>
  <c r="L48" i="18" s="1"/>
  <c r="J27" i="18"/>
  <c r="J32" i="18" l="1"/>
  <c r="J44" i="18" s="1"/>
  <c r="J48" i="18" s="1"/>
  <c r="L27" i="12"/>
  <c r="L32" i="12" s="1"/>
  <c r="L44" i="12" s="1"/>
  <c r="L48" i="12" s="1"/>
  <c r="N26" i="18" l="1"/>
  <c r="W26" i="18" s="1"/>
  <c r="N35" i="18"/>
  <c r="P28" i="18" l="1"/>
  <c r="Q28" i="18" s="1"/>
  <c r="N42" i="18"/>
  <c r="W35" i="18"/>
  <c r="P35" i="18"/>
  <c r="Q35" i="18" l="1"/>
  <c r="P42" i="18"/>
  <c r="W42" i="18"/>
  <c r="U28" i="18"/>
  <c r="P27" i="18" l="1"/>
  <c r="Q27" i="18" s="1"/>
  <c r="Q42" i="18"/>
  <c r="S28" i="18"/>
  <c r="X28" i="18" s="1"/>
  <c r="U35" i="18"/>
  <c r="P26" i="18"/>
  <c r="Q26" i="18" s="1"/>
  <c r="U42" i="18" l="1"/>
  <c r="V35" i="18"/>
  <c r="N28" i="18"/>
  <c r="P16" i="18"/>
  <c r="S35" i="18"/>
  <c r="N27" i="18"/>
  <c r="W27" i="18" s="1"/>
  <c r="P25" i="18"/>
  <c r="Q25" i="18" s="1"/>
  <c r="P22" i="18"/>
  <c r="U16" i="18" l="1"/>
  <c r="V42" i="18"/>
  <c r="W28" i="18"/>
  <c r="V28" i="18"/>
  <c r="S42" i="18"/>
  <c r="X35" i="18"/>
  <c r="Q16" i="18"/>
  <c r="P19" i="18"/>
  <c r="Q19" i="18" s="1"/>
  <c r="Q22" i="18"/>
  <c r="N16" i="18"/>
  <c r="N22" i="18"/>
  <c r="U25" i="18"/>
  <c r="N25" i="18"/>
  <c r="W25" i="18" s="1"/>
  <c r="V25" i="18" l="1"/>
  <c r="U23" i="18"/>
  <c r="U26" i="18"/>
  <c r="V26" i="18" s="1"/>
  <c r="N19" i="18"/>
  <c r="W19" i="18" s="1"/>
  <c r="W16" i="18"/>
  <c r="W22" i="18"/>
  <c r="X42" i="18"/>
  <c r="S16" i="18"/>
  <c r="U19" i="18"/>
  <c r="V16" i="18"/>
  <c r="S25" i="18"/>
  <c r="X25" i="18" s="1"/>
  <c r="V19" i="18" l="1"/>
  <c r="S26" i="18"/>
  <c r="X26" i="18" s="1"/>
  <c r="S19" i="18"/>
  <c r="X19" i="18" s="1"/>
  <c r="X16" i="18"/>
  <c r="U22" i="18"/>
  <c r="U27" i="18"/>
  <c r="V27" i="18" s="1"/>
  <c r="S24" i="18"/>
  <c r="X24" i="18" s="1"/>
  <c r="V22" i="18" l="1"/>
  <c r="U24" i="18"/>
  <c r="U32" i="18" s="1"/>
  <c r="S27" i="18"/>
  <c r="X27" i="18" s="1"/>
  <c r="U44" i="18" l="1"/>
  <c r="S22" i="18"/>
  <c r="X22" i="18" l="1"/>
  <c r="U48" i="18"/>
  <c r="P23" i="18" l="1"/>
  <c r="S23" i="18" l="1"/>
  <c r="S32" i="18" s="1"/>
  <c r="N23" i="18"/>
  <c r="P24" i="18"/>
  <c r="Q24" i="18" s="1"/>
  <c r="Q23" i="18" s="1"/>
  <c r="P32" i="18" l="1"/>
  <c r="X32" i="18"/>
  <c r="S44" i="18"/>
  <c r="X44" i="18" l="1"/>
  <c r="S48" i="18"/>
  <c r="X48" i="18" s="1"/>
  <c r="Q32" i="18"/>
  <c r="P44" i="18"/>
  <c r="N24" i="18"/>
  <c r="W24" i="18" l="1"/>
  <c r="V24" i="18"/>
  <c r="V23" i="18" s="1"/>
  <c r="N32" i="18"/>
  <c r="P48" i="18"/>
  <c r="Q48" i="18" s="1"/>
  <c r="Q44" i="18"/>
  <c r="W32" i="18" l="1"/>
  <c r="N44" i="18"/>
  <c r="V32" i="18"/>
  <c r="N48" i="18" l="1"/>
  <c r="W44" i="18"/>
  <c r="V44" i="18"/>
  <c r="W48" i="18" l="1"/>
  <c r="V48" i="18"/>
  <c r="F61" i="17" l="1"/>
  <c r="G59" i="17" s="1"/>
  <c r="D61" i="17"/>
  <c r="C61" i="17"/>
  <c r="F59" i="17"/>
  <c r="G58" i="17"/>
  <c r="G12" i="17" s="1"/>
  <c r="F58" i="17"/>
  <c r="F57" i="17"/>
  <c r="F45" i="17"/>
  <c r="J44" i="17"/>
  <c r="G44" i="17"/>
  <c r="F44" i="17"/>
  <c r="D44" i="17"/>
  <c r="H44" i="17" s="1"/>
  <c r="J42" i="17"/>
  <c r="F42" i="17"/>
  <c r="C42" i="17"/>
  <c r="J40" i="17"/>
  <c r="F40" i="17"/>
  <c r="C40" i="17"/>
  <c r="J38" i="17"/>
  <c r="F38" i="17"/>
  <c r="C38" i="17"/>
  <c r="J36" i="17"/>
  <c r="F31" i="17"/>
  <c r="J30" i="17"/>
  <c r="H30" i="17"/>
  <c r="I30" i="17" s="1"/>
  <c r="G30" i="17"/>
  <c r="F30" i="17"/>
  <c r="D30" i="17"/>
  <c r="C30" i="17"/>
  <c r="E30" i="17" s="1"/>
  <c r="F28" i="17"/>
  <c r="C28" i="17"/>
  <c r="G26" i="17"/>
  <c r="F26" i="17"/>
  <c r="D26" i="17"/>
  <c r="E26" i="17" s="1"/>
  <c r="C26" i="17"/>
  <c r="F24" i="17"/>
  <c r="C24" i="17"/>
  <c r="F17" i="17"/>
  <c r="N16" i="17"/>
  <c r="J16" i="17"/>
  <c r="I16" i="17"/>
  <c r="H16" i="17"/>
  <c r="C16" i="17"/>
  <c r="E16" i="17" s="1"/>
  <c r="F14" i="17"/>
  <c r="C14" i="17"/>
  <c r="F12" i="17"/>
  <c r="D12" i="17"/>
  <c r="E12" i="17" s="1"/>
  <c r="C12" i="17"/>
  <c r="F10" i="17"/>
  <c r="C10" i="17"/>
  <c r="D38" i="17" l="1"/>
  <c r="D28" i="17"/>
  <c r="D14" i="17"/>
  <c r="G28" i="17"/>
  <c r="G14" i="17"/>
  <c r="D42" i="17"/>
  <c r="H12" i="17"/>
  <c r="D40" i="17"/>
  <c r="H26" i="17"/>
  <c r="G38" i="17"/>
  <c r="G40" i="17"/>
  <c r="G42" i="17"/>
  <c r="C44" i="17"/>
  <c r="E44" i="17" s="1"/>
  <c r="G57" i="17"/>
  <c r="H40" i="17" l="1"/>
  <c r="E40" i="17"/>
  <c r="H38" i="17"/>
  <c r="D45" i="17"/>
  <c r="E38" i="17"/>
  <c r="N12" i="17"/>
  <c r="K12" i="17"/>
  <c r="I12" i="17"/>
  <c r="G61" i="17"/>
  <c r="D10" i="17"/>
  <c r="G10" i="17"/>
  <c r="G17" i="17" s="1"/>
  <c r="D24" i="17"/>
  <c r="G24" i="17"/>
  <c r="G31" i="17" s="1"/>
  <c r="G45" i="17"/>
  <c r="H42" i="17"/>
  <c r="E42" i="17"/>
  <c r="E14" i="17"/>
  <c r="H14" i="17"/>
  <c r="K26" i="17"/>
  <c r="I26" i="17"/>
  <c r="I44" i="17"/>
  <c r="E28" i="17"/>
  <c r="H28" i="17"/>
  <c r="K28" i="17" l="1"/>
  <c r="I28" i="17"/>
  <c r="K42" i="17"/>
  <c r="I42" i="17"/>
  <c r="K38" i="17"/>
  <c r="H45" i="17"/>
  <c r="I38" i="17"/>
  <c r="K14" i="17"/>
  <c r="I14" i="17"/>
  <c r="N14" i="17"/>
  <c r="H10" i="17"/>
  <c r="D17" i="17"/>
  <c r="E10" i="17"/>
  <c r="K40" i="17"/>
  <c r="I40" i="17"/>
  <c r="E24" i="17"/>
  <c r="D31" i="17"/>
  <c r="H24" i="17"/>
  <c r="K44" i="17" l="1"/>
  <c r="H17" i="17"/>
  <c r="N10" i="17"/>
  <c r="K10" i="17"/>
  <c r="K16" i="17" s="1"/>
  <c r="I10" i="17"/>
  <c r="K24" i="17"/>
  <c r="K30" i="17" s="1"/>
  <c r="I24" i="17"/>
  <c r="H31" i="17"/>
  <c r="B14" i="14" l="1"/>
  <c r="Y39" i="12" l="1"/>
  <c r="Y38" i="12"/>
  <c r="Y37" i="12"/>
  <c r="Y36" i="12"/>
  <c r="Y23" i="12"/>
  <c r="Y28" i="12"/>
  <c r="AC28" i="12"/>
  <c r="Y29" i="12"/>
  <c r="AE29" i="12"/>
  <c r="AF29" i="12" s="1"/>
  <c r="Y16" i="12"/>
  <c r="N42" i="12"/>
  <c r="K42" i="12"/>
  <c r="H42" i="12"/>
  <c r="AN38" i="12"/>
  <c r="N32" i="12"/>
  <c r="K32" i="12"/>
  <c r="H32" i="12"/>
  <c r="H44" i="12" s="1"/>
  <c r="H48" i="12" s="1"/>
  <c r="N19" i="12"/>
  <c r="K19" i="12"/>
  <c r="H19" i="12"/>
  <c r="B19" i="12"/>
  <c r="Y19" i="12"/>
  <c r="I19" i="12"/>
  <c r="AE28" i="12" l="1"/>
  <c r="AI28" i="12" s="1"/>
  <c r="AE37" i="12"/>
  <c r="AF37" i="12" s="1"/>
  <c r="AE39" i="12"/>
  <c r="AF39" i="12" s="1"/>
  <c r="B10" i="14"/>
  <c r="Q42" i="12"/>
  <c r="B11" i="14"/>
  <c r="AE36" i="12"/>
  <c r="AF36" i="12" s="1"/>
  <c r="AE38" i="12"/>
  <c r="AF38" i="12" s="1"/>
  <c r="I32" i="12"/>
  <c r="N44" i="12"/>
  <c r="N48" i="12" s="1"/>
  <c r="AN36" i="12"/>
  <c r="K44" i="12"/>
  <c r="K48" i="12" s="1"/>
  <c r="O32" i="12"/>
  <c r="Q32" i="12"/>
  <c r="O42" i="12"/>
  <c r="O16" i="12"/>
  <c r="B9" i="14" s="1"/>
  <c r="AN37" i="12"/>
  <c r="AN39" i="12"/>
  <c r="I42" i="12"/>
  <c r="B22" i="12"/>
  <c r="AN29" i="12"/>
  <c r="B12" i="14" l="1"/>
  <c r="B16" i="14" s="1"/>
  <c r="B19" i="14" s="1"/>
  <c r="B20" i="14" s="1"/>
  <c r="B21" i="14" s="1"/>
  <c r="I44" i="12"/>
  <c r="I48" i="12" s="1"/>
  <c r="Q19" i="12"/>
  <c r="O19" i="12"/>
  <c r="Q44" i="12"/>
  <c r="Q48" i="12" s="1"/>
  <c r="B23" i="12"/>
  <c r="B24" i="12" s="1"/>
  <c r="O44" i="12" l="1"/>
  <c r="O48" i="12" s="1"/>
  <c r="U52" i="12" s="1"/>
  <c r="S35" i="12" s="1"/>
  <c r="B25" i="12"/>
  <c r="S23" i="12" l="1"/>
  <c r="S38" i="12"/>
  <c r="S16" i="12"/>
  <c r="S27" i="12"/>
  <c r="S25" i="12"/>
  <c r="S26" i="12"/>
  <c r="S37" i="12"/>
  <c r="S39" i="12"/>
  <c r="S22" i="12"/>
  <c r="S29" i="12"/>
  <c r="S36" i="12"/>
  <c r="S24" i="12"/>
  <c r="B26" i="12"/>
  <c r="B28" i="12"/>
  <c r="B27" i="12"/>
  <c r="B29" i="12" l="1"/>
  <c r="B32" i="12" s="1"/>
  <c r="B35" i="12" s="1"/>
  <c r="B36" i="12" s="1"/>
  <c r="B37" i="12" s="1"/>
  <c r="B38" i="12" s="1"/>
  <c r="B39" i="12" s="1"/>
  <c r="B42" i="12" s="1"/>
  <c r="B44" i="12" s="1"/>
  <c r="AC46" i="12" l="1"/>
  <c r="Y26" i="12" l="1"/>
  <c r="Y25" i="12"/>
  <c r="Y24" i="12" l="1"/>
  <c r="Y35" i="12" l="1"/>
  <c r="Y42" i="12" s="1"/>
  <c r="Y22" i="12"/>
  <c r="Y27" i="12"/>
  <c r="Y32" i="12" l="1"/>
  <c r="Y44" i="12" s="1"/>
  <c r="Y48" i="12" s="1"/>
  <c r="AE16" i="12" l="1"/>
  <c r="AN26" i="12"/>
  <c r="AA42" i="12" l="1"/>
  <c r="AA19" i="12"/>
  <c r="AN19" i="12" s="1"/>
  <c r="AE26" i="12"/>
  <c r="AF16" i="12"/>
  <c r="AE19" i="12"/>
  <c r="AF19" i="12" s="1"/>
  <c r="AN16" i="12"/>
  <c r="AN35" i="12"/>
  <c r="AE35" i="12" l="1"/>
  <c r="AF35" i="12" s="1"/>
  <c r="AN42" i="12"/>
  <c r="AE42" i="12" l="1"/>
  <c r="AF42" i="12" s="1"/>
  <c r="AF26" i="12" l="1"/>
  <c r="AN27" i="12" l="1"/>
  <c r="AE22" i="12"/>
  <c r="AF22" i="12" s="1"/>
  <c r="AE27" i="12" l="1"/>
  <c r="AF27" i="12" s="1"/>
  <c r="AN22" i="12"/>
  <c r="AE25" i="12" l="1"/>
  <c r="AF25" i="12" s="1"/>
  <c r="AN25" i="12"/>
  <c r="E33" i="4" l="1"/>
  <c r="E32" i="4"/>
  <c r="E31" i="4"/>
  <c r="E29" i="4"/>
  <c r="E28" i="4"/>
  <c r="E27" i="4"/>
  <c r="E25" i="4"/>
  <c r="E24" i="4"/>
  <c r="E23" i="4"/>
  <c r="V21" i="4"/>
  <c r="V20" i="4"/>
  <c r="E20" i="4"/>
  <c r="V19" i="4"/>
  <c r="E19" i="4"/>
  <c r="E18" i="4"/>
  <c r="T12" i="3"/>
  <c r="T11" i="3"/>
  <c r="T10" i="3"/>
  <c r="V14" i="4" l="1"/>
  <c r="G19" i="4"/>
  <c r="G20" i="4"/>
  <c r="I24" i="4"/>
  <c r="V17" i="4"/>
  <c r="I33" i="4"/>
  <c r="V18" i="4"/>
  <c r="D34" i="3"/>
  <c r="G18" i="4"/>
  <c r="I19" i="4"/>
  <c r="I23" i="4"/>
  <c r="G24" i="4"/>
  <c r="I25" i="4"/>
  <c r="G27" i="4"/>
  <c r="I28" i="4"/>
  <c r="I29" i="4"/>
  <c r="G31" i="4"/>
  <c r="I32" i="4"/>
  <c r="G33" i="4"/>
  <c r="I18" i="4"/>
  <c r="I20" i="4"/>
  <c r="G23" i="4"/>
  <c r="G25" i="4"/>
  <c r="I27" i="4"/>
  <c r="G28" i="4"/>
  <c r="G29" i="4"/>
  <c r="I31" i="4"/>
  <c r="G32" i="4"/>
  <c r="D13" i="3"/>
  <c r="D16" i="3"/>
  <c r="D18" i="3"/>
  <c r="D22" i="3"/>
  <c r="D24" i="3"/>
  <c r="D25" i="3"/>
  <c r="D28" i="3"/>
  <c r="D30" i="3"/>
  <c r="D33" i="3"/>
  <c r="D35" i="3"/>
  <c r="D12" i="3"/>
  <c r="D14" i="3"/>
  <c r="D17" i="3"/>
  <c r="D19" i="3"/>
  <c r="D21" i="3"/>
  <c r="D23" i="3"/>
  <c r="D27" i="3"/>
  <c r="D29" i="3"/>
  <c r="D31" i="3"/>
  <c r="M33" i="4" l="1"/>
  <c r="Q33" i="4" s="1"/>
  <c r="M31" i="4"/>
  <c r="Q31" i="4" s="1"/>
  <c r="M29" i="4"/>
  <c r="Q29" i="4" s="1"/>
  <c r="M32" i="4"/>
  <c r="Q32" i="4" s="1"/>
  <c r="M28" i="4"/>
  <c r="Q28" i="4" s="1"/>
  <c r="M27" i="4"/>
  <c r="Q27" i="4" s="1"/>
  <c r="M24" i="4"/>
  <c r="Q24" i="4" s="1"/>
  <c r="M23" i="4"/>
  <c r="Q23" i="4" s="1"/>
  <c r="M19" i="4"/>
  <c r="Q19" i="4" s="1"/>
  <c r="M18" i="4"/>
  <c r="M25" i="4"/>
  <c r="Q25" i="4" s="1"/>
  <c r="M20" i="4"/>
  <c r="Q20" i="4" s="1"/>
  <c r="Q18" i="4"/>
  <c r="K18" i="4" l="1"/>
  <c r="O18" i="4" s="1"/>
  <c r="K28" i="4" l="1"/>
  <c r="O28" i="4" s="1"/>
  <c r="K33" i="4"/>
  <c r="O33" i="4" s="1"/>
  <c r="K31" i="4"/>
  <c r="O31" i="4" s="1"/>
  <c r="K27" i="4"/>
  <c r="O27" i="4" s="1"/>
  <c r="K20" i="4"/>
  <c r="O20" i="4" s="1"/>
  <c r="K24" i="4"/>
  <c r="O24" i="4" s="1"/>
  <c r="K23" i="4"/>
  <c r="O23" i="4" s="1"/>
  <c r="K19" i="4"/>
  <c r="O19" i="4" s="1"/>
  <c r="K25" i="4"/>
  <c r="O25" i="4" s="1"/>
  <c r="K32" i="4"/>
  <c r="O32" i="4" s="1"/>
  <c r="K29" i="4"/>
  <c r="O29" i="4" s="1"/>
  <c r="F23" i="3"/>
  <c r="F22" i="3"/>
  <c r="F12" i="3"/>
  <c r="F35" i="3"/>
  <c r="F27" i="3"/>
  <c r="F31" i="3"/>
  <c r="F14" i="3"/>
  <c r="F19" i="3"/>
  <c r="F30" i="3"/>
  <c r="F18" i="3"/>
  <c r="F34" i="3"/>
  <c r="F28" i="3"/>
  <c r="F16" i="3"/>
  <c r="F33" i="3"/>
  <c r="F24" i="3"/>
  <c r="F29" i="3"/>
  <c r="F21" i="3"/>
  <c r="F17" i="3"/>
  <c r="F25" i="3"/>
  <c r="F13" i="3"/>
  <c r="L13" i="3" l="1"/>
  <c r="J13" i="3"/>
  <c r="N13" i="3"/>
  <c r="N17" i="3"/>
  <c r="L17" i="3"/>
  <c r="J17" i="3"/>
  <c r="J29" i="3"/>
  <c r="N29" i="3"/>
  <c r="L29" i="3"/>
  <c r="L33" i="3"/>
  <c r="J33" i="3"/>
  <c r="N33" i="3"/>
  <c r="L28" i="3"/>
  <c r="J28" i="3"/>
  <c r="N28" i="3"/>
  <c r="L18" i="3"/>
  <c r="J18" i="3"/>
  <c r="N18" i="3"/>
  <c r="J19" i="3"/>
  <c r="N19" i="3"/>
  <c r="L19" i="3"/>
  <c r="N31" i="3"/>
  <c r="L31" i="3"/>
  <c r="J31" i="3"/>
  <c r="N35" i="3"/>
  <c r="L35" i="3"/>
  <c r="J35" i="3"/>
  <c r="L22" i="3"/>
  <c r="J22" i="3"/>
  <c r="N22" i="3"/>
  <c r="N25" i="3"/>
  <c r="L25" i="3"/>
  <c r="J25" i="3"/>
  <c r="N21" i="3"/>
  <c r="L21" i="3"/>
  <c r="J21" i="3"/>
  <c r="N24" i="3"/>
  <c r="L24" i="3"/>
  <c r="J24" i="3"/>
  <c r="N16" i="3"/>
  <c r="L16" i="3"/>
  <c r="J16" i="3"/>
  <c r="J34" i="3"/>
  <c r="N34" i="3"/>
  <c r="L34" i="3"/>
  <c r="N30" i="3"/>
  <c r="L30" i="3"/>
  <c r="J30" i="3"/>
  <c r="J14" i="3"/>
  <c r="N14" i="3"/>
  <c r="L14" i="3"/>
  <c r="N27" i="3"/>
  <c r="L27" i="3"/>
  <c r="J27" i="3"/>
  <c r="N12" i="3"/>
  <c r="L12" i="3"/>
  <c r="J12" i="3"/>
  <c r="J23" i="3"/>
  <c r="N23" i="3"/>
  <c r="L23" i="3"/>
  <c r="U16" i="12" l="1"/>
  <c r="W16" i="12" s="1"/>
  <c r="S19" i="12"/>
  <c r="U19" i="12" s="1"/>
  <c r="U22" i="12"/>
  <c r="W22" i="12" s="1"/>
  <c r="U23" i="12"/>
  <c r="U24" i="12"/>
  <c r="U25" i="12"/>
  <c r="W25" i="12" s="1"/>
  <c r="U26" i="12"/>
  <c r="W26" i="12" s="1"/>
  <c r="U27" i="12"/>
  <c r="W27" i="12" s="1"/>
  <c r="U29" i="12"/>
  <c r="W29" i="12" s="1"/>
  <c r="U35" i="12"/>
  <c r="W35" i="12" s="1"/>
  <c r="U36" i="12"/>
  <c r="W36" i="12" s="1"/>
  <c r="U37" i="12"/>
  <c r="W37" i="12" s="1"/>
  <c r="U38" i="12"/>
  <c r="W38" i="12" s="1"/>
  <c r="S42" i="12"/>
  <c r="U39" i="12"/>
  <c r="W39" i="12" s="1"/>
  <c r="U42" i="12" l="1"/>
  <c r="W42" i="12" s="1"/>
  <c r="W24" i="12"/>
  <c r="AA32" i="12"/>
  <c r="AN32" i="12" l="1"/>
  <c r="AA44" i="12"/>
  <c r="AL24" i="12" s="1"/>
  <c r="AN24" i="12"/>
  <c r="AE24" i="12"/>
  <c r="AE23" i="12"/>
  <c r="AE32" i="12" l="1"/>
  <c r="AL28" i="12"/>
  <c r="AN44" i="12"/>
  <c r="AL44" i="12"/>
  <c r="AA48" i="12"/>
  <c r="AN48" i="12" s="1"/>
  <c r="AL39" i="12"/>
  <c r="AG39" i="12" s="1"/>
  <c r="AL26" i="12"/>
  <c r="AG26" i="12" s="1"/>
  <c r="AL37" i="12"/>
  <c r="AG37" i="12" s="1"/>
  <c r="AL27" i="12"/>
  <c r="AG27" i="12" s="1"/>
  <c r="AL29" i="12"/>
  <c r="AG29" i="12" s="1"/>
  <c r="AL35" i="12"/>
  <c r="AG35" i="12" s="1"/>
  <c r="AL38" i="12"/>
  <c r="AG38" i="12" s="1"/>
  <c r="AL22" i="12"/>
  <c r="AG22" i="12" s="1"/>
  <c r="AL36" i="12"/>
  <c r="AG36" i="12" s="1"/>
  <c r="AL25" i="12"/>
  <c r="AG25" i="12" s="1"/>
  <c r="AL16" i="12"/>
  <c r="AG16" i="12" s="1"/>
  <c r="AL23" i="12"/>
  <c r="AG23" i="12" s="1"/>
  <c r="AC23" i="12" s="1"/>
  <c r="AG24" i="12"/>
  <c r="AI24" i="12" s="1"/>
  <c r="AJ24" i="12" s="1"/>
  <c r="AF24" i="12"/>
  <c r="AF23" i="12" s="1"/>
  <c r="AH25" i="12" l="1"/>
  <c r="AI25" i="12"/>
  <c r="AJ25" i="12" s="1"/>
  <c r="AC25" i="12"/>
  <c r="AH26" i="12"/>
  <c r="AC26" i="12"/>
  <c r="AI26" i="12"/>
  <c r="AJ26" i="12" s="1"/>
  <c r="AH36" i="12"/>
  <c r="AI36" i="12"/>
  <c r="AJ36" i="12" s="1"/>
  <c r="AC36" i="12"/>
  <c r="AH29" i="12"/>
  <c r="AC29" i="12"/>
  <c r="AI29" i="12"/>
  <c r="AJ29" i="12" s="1"/>
  <c r="AH39" i="12"/>
  <c r="AI39" i="12"/>
  <c r="AJ39" i="12" s="1"/>
  <c r="AC39" i="12"/>
  <c r="AH22" i="12"/>
  <c r="AI22" i="12"/>
  <c r="AJ22" i="12" s="1"/>
  <c r="AC22" i="12"/>
  <c r="AG32" i="12"/>
  <c r="AH32" i="12" s="1"/>
  <c r="AH27" i="12"/>
  <c r="AI27" i="12"/>
  <c r="AJ27" i="12" s="1"/>
  <c r="AC27" i="12"/>
  <c r="AF32" i="12"/>
  <c r="AE44" i="12"/>
  <c r="AH35" i="12"/>
  <c r="AG42" i="12"/>
  <c r="AC35" i="12"/>
  <c r="AI35" i="12"/>
  <c r="AJ35" i="12" s="1"/>
  <c r="AH24" i="12"/>
  <c r="AH23" i="12" s="1"/>
  <c r="AJ23" i="12" s="1"/>
  <c r="AC24" i="12"/>
  <c r="AH16" i="12"/>
  <c r="AG19" i="12"/>
  <c r="AC16" i="12"/>
  <c r="AI16" i="12"/>
  <c r="AJ16" i="12" s="1"/>
  <c r="AH38" i="12"/>
  <c r="AC38" i="12"/>
  <c r="AI38" i="12"/>
  <c r="AJ38" i="12" s="1"/>
  <c r="AH37" i="12"/>
  <c r="AI37" i="12"/>
  <c r="AJ37" i="12" s="1"/>
  <c r="AC37" i="12"/>
  <c r="AI23" i="12"/>
  <c r="AI19" i="12" l="1"/>
  <c r="AJ19" i="12" s="1"/>
  <c r="AH19" i="12"/>
  <c r="AC42" i="12"/>
  <c r="AC32" i="12"/>
  <c r="AH42" i="12"/>
  <c r="AG44" i="12"/>
  <c r="AI42" i="12"/>
  <c r="AJ42" i="12" s="1"/>
  <c r="AI32" i="12"/>
  <c r="AC19" i="12"/>
  <c r="R24" i="3" s="1"/>
  <c r="AF44" i="12"/>
  <c r="AE48" i="12"/>
  <c r="AF48" i="12" s="1"/>
  <c r="AH44" i="12" l="1"/>
  <c r="AG48" i="12"/>
  <c r="AH48" i="12" s="1"/>
  <c r="AC44" i="12"/>
  <c r="AC48" i="12" s="1"/>
  <c r="AI44" i="12"/>
  <c r="AJ44" i="12" s="1"/>
  <c r="U32" i="12" l="1"/>
  <c r="W32" i="12" s="1"/>
  <c r="U44" i="12" l="1"/>
  <c r="U48" i="12" s="1"/>
  <c r="S28" i="12" s="1"/>
  <c r="S32" i="12" s="1"/>
  <c r="S44" i="12" s="1"/>
  <c r="S48" i="12" s="1"/>
  <c r="W44" i="12" l="1"/>
  <c r="W48" i="12"/>
</calcChain>
</file>

<file path=xl/sharedStrings.xml><?xml version="1.0" encoding="utf-8"?>
<sst xmlns="http://schemas.openxmlformats.org/spreadsheetml/2006/main" count="993" uniqueCount="341">
  <si>
    <t xml:space="preserve"> </t>
  </si>
  <si>
    <t>TABLE A. PRESENT AND PROPOSED RATES</t>
  </si>
  <si>
    <t>PACIFIC POWER &amp; LIGHT COMPANY</t>
  </si>
  <si>
    <t>ON REVENUES FROM ELECTRIC SALES TO ULTIMATE CONSUMERS</t>
  </si>
  <si>
    <t>IN WASHINGTON</t>
  </si>
  <si>
    <t>Actual</t>
  </si>
  <si>
    <t>Present</t>
  </si>
  <si>
    <t>Proposed</t>
  </si>
  <si>
    <t>Change</t>
  </si>
  <si>
    <t>Surcharge</t>
  </si>
  <si>
    <t>Curr.</t>
  </si>
  <si>
    <t>Avg.</t>
  </si>
  <si>
    <t>Base</t>
  </si>
  <si>
    <t>Net</t>
  </si>
  <si>
    <t>Line</t>
  </si>
  <si>
    <t>Sch.</t>
  </si>
  <si>
    <t>Cust.</t>
  </si>
  <si>
    <t>MWH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</si>
  <si>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</si>
  <si>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</si>
  <si>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</si>
  <si>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</si>
  <si>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</si>
  <si>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</si>
  <si>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</si>
  <si>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</si>
  <si>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</si>
  <si>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</si>
  <si>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</si>
  <si>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</si>
  <si>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</si>
  <si>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</si>
  <si>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</si>
  <si>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</si>
  <si>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</si>
  <si>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</si>
  <si>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</si>
  <si>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(7)/(5)</t>
  </si>
  <si>
    <t>(6/4)</t>
  </si>
  <si>
    <t>Residential</t>
  </si>
  <si>
    <t>Residential Service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</si>
  <si>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</si>
  <si>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</si>
  <si>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</si>
  <si>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</si>
  <si>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</si>
  <si>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</si>
  <si>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</si>
  <si>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</si>
  <si>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</si>
  <si>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</si>
  <si>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</si>
  <si>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</si>
  <si>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</si>
  <si>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</si>
  <si>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</si>
  <si>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</si>
  <si>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</si>
  <si>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</si>
  <si>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</si>
  <si>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</si>
  <si>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AGA</t>
  </si>
  <si>
    <t>Total Sales to Ultimate Consumers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</si>
  <si>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</si>
  <si>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</si>
  <si>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</si>
  <si>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</si>
  <si>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</si>
  <si>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</si>
  <si>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</si>
  <si>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Difference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</si>
  <si>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</si>
  <si>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</si>
  <si>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</si>
  <si>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</si>
  <si>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</si>
  <si>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Total</t>
  </si>
  <si>
    <t>Percent</t>
  </si>
  <si>
    <t>Basic</t>
  </si>
  <si>
    <t>Energy - 1st 600</t>
  </si>
  <si>
    <t>SBC</t>
  </si>
  <si>
    <t>BPA Credit</t>
  </si>
  <si>
    <t>Low Income-Current</t>
  </si>
  <si>
    <t>REC Adjust</t>
  </si>
  <si>
    <t>Overall:</t>
  </si>
  <si>
    <t>*</t>
  </si>
  <si>
    <t>Notes:</t>
  </si>
  <si>
    <t>* Average Washington Customer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</si>
  <si>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</si>
  <si>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</si>
  <si>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</si>
  <si>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</si>
  <si>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</si>
  <si>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kW</t>
  </si>
  <si>
    <t>Annual</t>
  </si>
  <si>
    <t>Load Size/</t>
  </si>
  <si>
    <t>kWh per kW</t>
  </si>
  <si>
    <t>Schedule 40 ***</t>
  </si>
  <si>
    <t>Load Size</t>
  </si>
  <si>
    <t>Schedule 40 **</t>
  </si>
  <si>
    <t>Monthly **</t>
  </si>
  <si>
    <t>All kWh</t>
  </si>
  <si>
    <t>Demand</t>
  </si>
  <si>
    <t>(Equiv Hours)</t>
  </si>
  <si>
    <t>Monthly Bill</t>
  </si>
  <si>
    <t>Bill</t>
  </si>
  <si>
    <t>Single Phase</t>
  </si>
  <si>
    <t>0-50 kW</t>
  </si>
  <si>
    <t>51-300 kW</t>
  </si>
  <si>
    <t>&gt;300 kW</t>
  </si>
  <si>
    <t>Three Phase</t>
  </si>
  <si>
    <t>Low Income-current</t>
  </si>
  <si>
    <t xml:space="preserve">       * Includes SBC Charge, Low Income Charge, BPA Credit and Deferral Amortization Surcharge</t>
  </si>
  <si>
    <t xml:space="preserve">      ** Does not include November Load Size Charge</t>
  </si>
  <si>
    <t>Current</t>
  </si>
  <si>
    <t>BPA</t>
  </si>
  <si>
    <t>Percent of</t>
  </si>
  <si>
    <t xml:space="preserve">Qualifying </t>
  </si>
  <si>
    <t>MWh</t>
  </si>
  <si>
    <t>IRRIGATION SALES</t>
  </si>
  <si>
    <t>B</t>
  </si>
  <si>
    <t>02GNSB0024-WA GEN SRVC DO W/BPA</t>
  </si>
  <si>
    <t>COMMERCIAL SALES</t>
  </si>
  <si>
    <t>INDUSTRIAL SALES</t>
  </si>
  <si>
    <t>02GNSB024F-GEN SRVC DOM/F W/BPA</t>
  </si>
  <si>
    <t>02GNSB24FP-WA GEN SVC SEASONAL W/BPA</t>
  </si>
  <si>
    <t>02LGSB0036-LRG GENSVC IRG W/BPA</t>
  </si>
  <si>
    <t>02NETMT135 - WA RES NET METERING-BPA</t>
  </si>
  <si>
    <t>RESIDENTIAL SALES</t>
  </si>
  <si>
    <t>02OALTB15N-WA OUTD AR LGT NR W/BPA</t>
  </si>
  <si>
    <t>02OALTB15R-WA OUTD AR LGT RES W/BPA</t>
  </si>
  <si>
    <t>02RESD0017-BILL ASSISTANCE</t>
  </si>
  <si>
    <t>BPA Credit Proposed</t>
  </si>
  <si>
    <t>State of Washington</t>
  </si>
  <si>
    <t>Calculation of Adjustment Associated with the Pacific Northwest Electric</t>
  </si>
  <si>
    <t>Customer Class</t>
  </si>
  <si>
    <t>Street Lighting</t>
  </si>
  <si>
    <t>Benefit Dollars</t>
  </si>
  <si>
    <t>Credit Rate</t>
  </si>
  <si>
    <t>¢ per kWh</t>
  </si>
  <si>
    <t>Check</t>
  </si>
  <si>
    <t>Com/Ind/Irr</t>
  </si>
  <si>
    <t>Total Sales to Standard Tariff Customers</t>
  </si>
  <si>
    <t>(11)</t>
  </si>
  <si>
    <t>(12)</t>
  </si>
  <si>
    <t>16/17/18</t>
  </si>
  <si>
    <t>305 from Cognos (305 Reports)</t>
  </si>
  <si>
    <t>kwh</t>
  </si>
  <si>
    <t>rev</t>
  </si>
  <si>
    <t>No BPA</t>
  </si>
  <si>
    <t>Rate</t>
  </si>
  <si>
    <t>Revenue Class Description</t>
  </si>
  <si>
    <t>Rate Description</t>
  </si>
  <si>
    <t>Rate Group Description</t>
  </si>
  <si>
    <t>Revenue</t>
  </si>
  <si>
    <t>Billing Count</t>
  </si>
  <si>
    <t>unbilled</t>
  </si>
  <si>
    <t>U</t>
  </si>
  <si>
    <t>bpa</t>
  </si>
  <si>
    <t>smud</t>
  </si>
  <si>
    <t>SMUD REVENUE IMPUTATIONS</t>
  </si>
  <si>
    <t>R</t>
  </si>
  <si>
    <t>REVENUE ADJUSTMENT - DEFERRED NPC</t>
  </si>
  <si>
    <t>def</t>
  </si>
  <si>
    <t>WASHINGTON - CHEHALIS DEFERRAL</t>
  </si>
  <si>
    <t>REVENUE_ACCOUNTING ADJUSTMENTS</t>
  </si>
  <si>
    <t>dsm</t>
  </si>
  <si>
    <t>301270-DSM REVENUE-COMMERCIAL</t>
  </si>
  <si>
    <t>blue</t>
  </si>
  <si>
    <t>301280-BLUE SKY REVENUE-COMMERCIAL</t>
  </si>
  <si>
    <t>24f</t>
  </si>
  <si>
    <t>48t</t>
  </si>
  <si>
    <t>aga</t>
  </si>
  <si>
    <t>15n</t>
  </si>
  <si>
    <t>02LNX00300-LINE EXT 80% G</t>
  </si>
  <si>
    <t>02NMT24135, Net metering, WA</t>
  </si>
  <si>
    <t>02GNSB0024-WA GEN SRVC DO</t>
  </si>
  <si>
    <t>b24</t>
  </si>
  <si>
    <t>24fp</t>
  </si>
  <si>
    <t>02GNSB24FP-WA GEN SVC SEASONAL</t>
  </si>
  <si>
    <t>b24fp</t>
  </si>
  <si>
    <t>02LGSB0036-LRG GEN SVC IRG</t>
  </si>
  <si>
    <t>b36</t>
  </si>
  <si>
    <t>02OALTB15N-WA OUTD AR LGT NR</t>
  </si>
  <si>
    <t>b15n</t>
  </si>
  <si>
    <t>02GNSB024F-GEN SRVC DOM/F</t>
  </si>
  <si>
    <t>b24f</t>
  </si>
  <si>
    <t>02LNX00311 - LINE EXT 80% GUARANTEE</t>
  </si>
  <si>
    <t>02LNX00310 - IRG, 80% ANNUAL MIN + 80%</t>
  </si>
  <si>
    <t>02LNX00312 - WA IRG LINE EXT</t>
  </si>
  <si>
    <t>02NMT36135-WA NET METER LRG SVC &lt; 1000KW</t>
  </si>
  <si>
    <t>02NMT24135, Net metering, WA-BPA</t>
  </si>
  <si>
    <t>CUSTOMER COUNT - BPA</t>
  </si>
  <si>
    <t>Kwh</t>
  </si>
  <si>
    <t>301370-DSM REVENUE-INDUSTRIAL</t>
  </si>
  <si>
    <t>Sum:</t>
  </si>
  <si>
    <t>irr</t>
  </si>
  <si>
    <t>301461-IRRIGATION DEMAND CHARGE ACCRUAL</t>
  </si>
  <si>
    <t>301470-DSM REVENUE-IRRIGATION</t>
  </si>
  <si>
    <t>301480-BLUE SKY REVENUE-IRRIGATION</t>
  </si>
  <si>
    <t>b40</t>
  </si>
  <si>
    <t>40x</t>
  </si>
  <si>
    <t>bbpaadj</t>
  </si>
  <si>
    <t>bpaadj</t>
  </si>
  <si>
    <t>PUBLIC STREET&amp;HIGHWAY LIGHTING</t>
  </si>
  <si>
    <t>301670-DSM REVENUE-PSHL</t>
  </si>
  <si>
    <t>53m</t>
  </si>
  <si>
    <t>301170-DSM REVENUE-RESIDENTIAL</t>
  </si>
  <si>
    <t>301180-BLUE SKY REVENUE-RESIDENTIAL</t>
  </si>
  <si>
    <t>b16</t>
  </si>
  <si>
    <t>b18</t>
  </si>
  <si>
    <t>18x</t>
  </si>
  <si>
    <t>b18x</t>
  </si>
  <si>
    <t>b17</t>
  </si>
  <si>
    <t>301119 - UNBILLED REV - UNCOLLECTIBLE</t>
  </si>
  <si>
    <t>15r</t>
  </si>
  <si>
    <t>02OALTB15R-WA OUTD AR LGT RES</t>
  </si>
  <si>
    <t>b15r</t>
  </si>
  <si>
    <t>02NETMT135 - WA RES NET METERING</t>
  </si>
  <si>
    <t>b135</t>
  </si>
  <si>
    <t>02RGNSB024-WA SMALL GENERAL SVC-RES</t>
  </si>
  <si>
    <t>02RGNSB024-WA SMALL GENERAL SVC-RES-BPA</t>
  </si>
  <si>
    <t>Non BPA</t>
  </si>
  <si>
    <t>Regular only</t>
  </si>
  <si>
    <t>Unbilled</t>
  </si>
  <si>
    <t>(7)-(6)</t>
  </si>
  <si>
    <t>ESTIMATED EFFECT OF PROPOSED BASE RATE INCREASE</t>
  </si>
  <si>
    <t>Deferrals</t>
  </si>
  <si>
    <t>(7)+(9)</t>
  </si>
  <si>
    <t>(11)/(5)</t>
  </si>
  <si>
    <t>02NMT48135-WA LG SVC NET METER=&gt;1000 KW</t>
  </si>
  <si>
    <t>02NMT40135-WA NET METERING-IRG</t>
  </si>
  <si>
    <t>02NMT40135-WA NET METERING BPA-IRG</t>
  </si>
  <si>
    <t>53f</t>
  </si>
  <si>
    <t>Deferral Surcharge</t>
  </si>
  <si>
    <t>new rate</t>
  </si>
  <si>
    <t>Allocation of Total PacifiCorp REP Benefits</t>
  </si>
  <si>
    <t>By State</t>
  </si>
  <si>
    <t>Total Proposed Benefit</t>
  </si>
  <si>
    <t>Net REP Benefits</t>
  </si>
  <si>
    <t>Qualifying</t>
  </si>
  <si>
    <t>Initial</t>
  </si>
  <si>
    <t>REP Credit</t>
  </si>
  <si>
    <t>LB</t>
  </si>
  <si>
    <t>IOU Allocated</t>
  </si>
  <si>
    <t>FY-2014</t>
  </si>
  <si>
    <t>State</t>
  </si>
  <si>
    <t>¢/kWh</t>
  </si>
  <si>
    <t>Adjust.</t>
  </si>
  <si>
    <t>Amount $</t>
  </si>
  <si>
    <t>Oregon</t>
  </si>
  <si>
    <t>Washington</t>
  </si>
  <si>
    <t>Idaho</t>
  </si>
  <si>
    <t>Total PacifiCorp</t>
  </si>
  <si>
    <t>Amount</t>
  </si>
  <si>
    <t>ANNUAL  AVERAGE</t>
  </si>
  <si>
    <t>Average</t>
  </si>
  <si>
    <t>2-YR Rate Period Total</t>
  </si>
  <si>
    <t>Lookback</t>
  </si>
  <si>
    <t>Allocation</t>
  </si>
  <si>
    <t>2002-2008</t>
  </si>
  <si>
    <t>Allocated to state jurisdictions by ratio</t>
  </si>
  <si>
    <t xml:space="preserve">of beneifits received under overturned </t>
  </si>
  <si>
    <t>disallowed settlement 2002-2007.</t>
  </si>
  <si>
    <t>ACTUAL BASE YEAR + 12MOS.</t>
  </si>
  <si>
    <t>TOTAL</t>
  </si>
  <si>
    <t>Rate Period</t>
  </si>
  <si>
    <t>Share %</t>
  </si>
  <si>
    <t>From the 14-15 REP Allocation:</t>
  </si>
  <si>
    <t>IOU Realloc</t>
  </si>
  <si>
    <t>Balance 8-1-13</t>
  </si>
  <si>
    <t>Per Settlement Agreement IOU Section 6. Base period and subsequent period average</t>
  </si>
  <si>
    <t>ncs updated</t>
  </si>
  <si>
    <t>For FY-2018 and FY-2019</t>
  </si>
  <si>
    <t>For October 1, 2017 - September 30, 2018</t>
  </si>
  <si>
    <r>
      <t xml:space="preserve">IOU Allocation Adjustments </t>
    </r>
    <r>
      <rPr>
        <b/>
        <vertAlign val="superscript"/>
        <sz val="10"/>
        <rFont val="Tahoma"/>
        <family val="2"/>
      </rPr>
      <t>(3)</t>
    </r>
  </si>
  <si>
    <t>FY-2018</t>
  </si>
  <si>
    <r>
      <t>kWh</t>
    </r>
    <r>
      <rPr>
        <b/>
        <vertAlign val="superscript"/>
        <sz val="10"/>
        <rFont val="Tahoma"/>
        <family val="2"/>
      </rPr>
      <t>(1)</t>
    </r>
  </si>
  <si>
    <r>
      <t>Amount $</t>
    </r>
    <r>
      <rPr>
        <b/>
        <vertAlign val="superscript"/>
        <sz val="10"/>
        <rFont val="Tahoma"/>
        <family val="2"/>
      </rPr>
      <t>(2)</t>
    </r>
  </si>
  <si>
    <r>
      <t>Adjust.</t>
    </r>
    <r>
      <rPr>
        <b/>
        <vertAlign val="superscript"/>
        <sz val="10"/>
        <rFont val="Tahoma"/>
        <family val="2"/>
      </rPr>
      <t xml:space="preserve"> (4)</t>
    </r>
  </si>
  <si>
    <t>Balance 7-31-17</t>
  </si>
  <si>
    <t>For October 1, 2018 - September 30, 2019</t>
  </si>
  <si>
    <t>FY-2019</t>
  </si>
  <si>
    <r>
      <t>MWh</t>
    </r>
    <r>
      <rPr>
        <b/>
        <vertAlign val="superscript"/>
        <sz val="10"/>
        <rFont val="Tahoma"/>
        <family val="2"/>
      </rPr>
      <t>(1)</t>
    </r>
  </si>
  <si>
    <t>Balance 7-31-18</t>
  </si>
  <si>
    <t>For Two-Year Rate Period:  October 1, 2017 - September 30, 2019</t>
  </si>
  <si>
    <t>Total REP Benefits from BP-18 Table 2.4.11</t>
  </si>
  <si>
    <t>CY-2015(kWH)</t>
  </si>
  <si>
    <t>CY-2016(kWH)</t>
  </si>
  <si>
    <t>12 MONTHS ENDED JUNE 2015</t>
  </si>
  <si>
    <t>Effective October 4, 2016</t>
  </si>
  <si>
    <t>Effective September 15, 2017</t>
  </si>
  <si>
    <t>9/15/16</t>
  </si>
  <si>
    <t>9/15/17</t>
  </si>
  <si>
    <t>(13)</t>
  </si>
  <si>
    <t>(10)/(6)</t>
  </si>
  <si>
    <t xml:space="preserve">BPA BALANCING ACCOUNT                   </t>
  </si>
  <si>
    <t xml:space="preserve">CUSTOMER COUNT - BPA                    </t>
  </si>
  <si>
    <t xml:space="preserve">02GNSV0024-WA GEN SRVC                  </t>
  </si>
  <si>
    <t xml:space="preserve">02GNSV024F-WA GEN SRVC-FL               </t>
  </si>
  <si>
    <t xml:space="preserve">02LGSV0036-WA LRG GEN SRV               </t>
  </si>
  <si>
    <t xml:space="preserve">02LGSV048T-LRG GEN SRVC 1               </t>
  </si>
  <si>
    <t xml:space="preserve">02LNX00102-LINE EXT 80% G               </t>
  </si>
  <si>
    <t xml:space="preserve">02LNX00103-LINE EXT 80% G               </t>
  </si>
  <si>
    <t xml:space="preserve">02LNX00105-CNTRCT $ MIN G               </t>
  </si>
  <si>
    <t xml:space="preserve">02LNX00109-REF/NREF ADV +               </t>
  </si>
  <si>
    <t xml:space="preserve">02LNX00110-REF/NREF ADV +               </t>
  </si>
  <si>
    <t xml:space="preserve">02LNX00112-YR INCURRED CH               </t>
  </si>
  <si>
    <t xml:space="preserve">02OALT015N-WA OUTD AR LGT               </t>
  </si>
  <si>
    <t xml:space="preserve">02RCFL0054-WA REC FIELD L               </t>
  </si>
  <si>
    <t xml:space="preserve">CUSTOMER COUNT - REGULAR                </t>
  </si>
  <si>
    <t xml:space="preserve">UNBILLED REVENUE                        </t>
  </si>
  <si>
    <t xml:space="preserve">02PRSV47TM-LRG PART REQMT               </t>
  </si>
  <si>
    <t xml:space="preserve">02APSV0040-WA AG PMP SRVC               </t>
  </si>
  <si>
    <t xml:space="preserve">02BPADEBIT-BPA ADJUST FEE               </t>
  </si>
  <si>
    <t xml:space="preserve">CUSTOMER CNT - IRRIG BPA                </t>
  </si>
  <si>
    <t xml:space="preserve">IRRIGATION BPA BAL ACCT                 </t>
  </si>
  <si>
    <t xml:space="preserve">02APSV040X-WA AG PMP SRVC               </t>
  </si>
  <si>
    <t xml:space="preserve">CUSTOMER CNT - IRRIGATION               </t>
  </si>
  <si>
    <t xml:space="preserve">IRRIGATION UNBILLED                     </t>
  </si>
  <si>
    <t xml:space="preserve">02CFR00012-STR LGTS (CONV               </t>
  </si>
  <si>
    <t xml:space="preserve">02COSL0052-WA STR LGT SRV               </t>
  </si>
  <si>
    <t xml:space="preserve">02CUSL053F-WA STR LGT SRV               </t>
  </si>
  <si>
    <t xml:space="preserve">02CUSL053M-WA STR LGT SRV               </t>
  </si>
  <si>
    <t xml:space="preserve">02MVSL0057-WA MERC VAPSTR               </t>
  </si>
  <si>
    <t>02SLCO0051-WA COMPANY STREET LIGHTING</t>
  </si>
  <si>
    <t>02RESD0016-WA RES SRVC-BPA</t>
  </si>
  <si>
    <t>02RESD0018-WA 3 PHASE RES-BPA</t>
  </si>
  <si>
    <t>02RESD018X-WA 3 PHASE RES-BPA</t>
  </si>
  <si>
    <t xml:space="preserve">02BLSKY01R-BLUESKY ENERGY               </t>
  </si>
  <si>
    <t xml:space="preserve">02RESD0016-WA RES SRVC                  </t>
  </si>
  <si>
    <t xml:space="preserve">02RESD0017-BILL ASSISTANC               </t>
  </si>
  <si>
    <t xml:space="preserve">02RESD0018-WA 3 PHASE RES               </t>
  </si>
  <si>
    <t xml:space="preserve">02RESD018X-WA 3 PHASE RES               </t>
  </si>
  <si>
    <t xml:space="preserve">02UPPL000R-BASE SCH FALL                </t>
  </si>
  <si>
    <t>Washington- June 2015</t>
  </si>
  <si>
    <t>12 Months Ended June 2015</t>
  </si>
  <si>
    <t>Washington- 12 Months Ended June 2015</t>
  </si>
  <si>
    <t>2015 Qualifying</t>
  </si>
  <si>
    <t>Power Planning and Conservation Act (BPA Credit) for October 1, 2017</t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</si>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</sst>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########\-###\-###"/>
    <numFmt numFmtId="172" formatCode="General_)"/>
    <numFmt numFmtId="173" formatCode="0.000"/>
    <numFmt numFmtId="174" formatCode="0.00_)"/>
    <numFmt numFmtId="175" formatCode="&quot;$&quot;#,##0"/>
    <numFmt numFmtId="176" formatCode="&quot;$&quot;#,##0.000"/>
    <numFmt numFmtId="177" formatCode="#,##0;\-#,##0;#,##0"/>
    <numFmt numFmtId="178" formatCode="#,##0.00;\-#,##0.00"/>
    <numFmt numFmtId="179" formatCode="&quot;$&quot;#,##0.00"/>
    <numFmt numFmtId="180" formatCode="0.00000"/>
    <numFmt numFmtId="181" formatCode="&quot;$&quot;#,##0.00_);\-&quot;$&quot;#,##0.00_);&quot;$&quot;#,##0.00_)"/>
    <numFmt numFmtId="182" formatCode="_-* #,##0\ &quot;F&quot;_-;\-* #,##0\ &quot;F&quot;_-;_-* &quot;-&quot;\ &quot;F&quot;_-;_-@_-"/>
    <numFmt numFmtId="183" formatCode="_(* #,##0.00_);[Red]_(* \(#,##0.00\);_(* &quot;-&quot;??_);_(@_)"/>
    <numFmt numFmtId="184" formatCode="&quot;$&quot;###0;[Red]\(&quot;$&quot;###0\)"/>
    <numFmt numFmtId="185" formatCode="&quot;$&quot;#,##0\ ;\(&quot;$&quot;#,##0\)"/>
    <numFmt numFmtId="186" formatCode="mmmm\ d\,\ yyyy"/>
    <numFmt numFmtId="187" formatCode="0.000%"/>
    <numFmt numFmtId="188" formatCode="0.0"/>
    <numFmt numFmtId="189" formatCode="#,##0.000;[Red]\-#,##0.000"/>
    <numFmt numFmtId="190" formatCode="_(* #,##0_);[Red]_(* \(#,##0\);_(* &quot;-&quot;_);_(@_)"/>
    <numFmt numFmtId="191" formatCode="#,##0.0_);\(#,##0.0\);\-\ ;"/>
    <numFmt numFmtId="192" formatCode="#,##0.0000"/>
    <numFmt numFmtId="193" formatCode="mmm\ dd\,\ yyyy"/>
    <numFmt numFmtId="194" formatCode="0.0000000"/>
    <numFmt numFmtId="195" formatCode="_(* #,##0.00000_);_(* \(#,##0.00000\);_(* &quot;-&quot;??_);_(@_)"/>
    <numFmt numFmtId="196" formatCode="0.000000"/>
    <numFmt numFmtId="197" formatCode="_(* #,##0.0_);_(* \(#,##0.0\);_(* &quot;-&quot;_);_(@_)"/>
    <numFmt numFmtId="198" formatCode="#,##0.0000_);[Red]\(#,##0.0000\)"/>
    <numFmt numFmtId="199" formatCode="0_);\(0\)"/>
    <numFmt numFmtId="200" formatCode="0.0000"/>
  </numFmts>
  <fonts count="99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sz val="7"/>
      <name val="Arial"/>
      <family val="2"/>
    </font>
    <font>
      <sz val="10"/>
      <name val="LinePrinte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0"/>
      <name val="SWISS"/>
    </font>
    <font>
      <i/>
      <sz val="12"/>
      <name val="Times New Roman"/>
      <family val="1"/>
    </font>
    <font>
      <sz val="12"/>
      <name val="Arial"/>
      <family val="2"/>
      <charset val="1"/>
    </font>
    <font>
      <b/>
      <sz val="12"/>
      <name val="Times New Roman"/>
      <family val="1"/>
    </font>
    <font>
      <sz val="12"/>
      <name val="Arial"/>
      <family val="2"/>
    </font>
    <font>
      <sz val="7"/>
      <name val="Arial"/>
      <family val="2"/>
      <charset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sz val="12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Geneva"/>
    </font>
    <font>
      <sz val="10"/>
      <color theme="1"/>
      <name val="Arial"/>
      <family val="2"/>
    </font>
    <font>
      <sz val="10"/>
      <color indexed="24"/>
      <name val="Courier New"/>
      <family val="3"/>
    </font>
    <font>
      <sz val="10"/>
      <name val="Helv"/>
    </font>
    <font>
      <sz val="10"/>
      <name val="MS Sans Serif"/>
      <family val="2"/>
    </font>
    <font>
      <sz val="8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8"/>
      <name val="Times New Roman"/>
      <family val="1"/>
    </font>
    <font>
      <b/>
      <sz val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12"/>
      <color rgb="FF0000FF"/>
      <name val="Tahoma"/>
      <family val="2"/>
    </font>
    <font>
      <sz val="10"/>
      <name val="Tahoma"/>
      <family val="2"/>
    </font>
    <font>
      <b/>
      <u/>
      <sz val="14"/>
      <color rgb="FF0000FF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10"/>
      <color rgb="FF0000FF"/>
      <name val="Tahoma"/>
      <family val="2"/>
    </font>
    <font>
      <b/>
      <vertAlign val="superscript"/>
      <sz val="10"/>
      <name val="Tahoma"/>
      <family val="2"/>
    </font>
    <font>
      <b/>
      <u/>
      <sz val="10"/>
      <name val="Tahoma"/>
      <family val="2"/>
    </font>
    <font>
      <sz val="10"/>
      <color rgb="FF0000FF"/>
      <name val="Tahoma"/>
      <family val="2"/>
    </font>
    <font>
      <sz val="8"/>
      <name val="Tahoma"/>
      <family val="2"/>
    </font>
    <font>
      <b/>
      <u/>
      <sz val="14"/>
      <name val="Tahoma"/>
      <family val="2"/>
    </font>
    <font>
      <b/>
      <sz val="11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b/>
      <vertAlign val="superscript"/>
      <sz val="8"/>
      <name val="Tahoma"/>
      <family val="2"/>
    </font>
    <font>
      <b/>
      <sz val="8"/>
      <color rgb="FF0000FF"/>
      <name val="Tahoma"/>
      <family val="2"/>
    </font>
    <font>
      <sz val="8"/>
      <color rgb="FF0000FF"/>
      <name val="Tahoma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8"/>
      </patternFill>
    </fill>
    <fill>
      <patternFill patternType="solid">
        <fgColor indexed="1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</patternFill>
    </fill>
    <fill>
      <patternFill patternType="gray125">
        <fgColor indexed="21"/>
      </patternFill>
    </fill>
    <fill>
      <patternFill patternType="solid">
        <fgColor indexed="19"/>
      </patternFill>
    </fill>
    <fill>
      <patternFill patternType="mediumGray">
        <fgColor indexed="2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41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171" fontId="8" fillId="0" borderId="0"/>
    <xf numFmtId="168" fontId="13" fillId="0" borderId="0" applyFont="0" applyAlignment="0" applyProtection="0"/>
    <xf numFmtId="0" fontId="8" fillId="0" borderId="0">
      <alignment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9" fontId="8" fillId="0" borderId="0" applyFont="0" applyFill="0" applyBorder="0" applyAlignment="0" applyProtection="0"/>
    <xf numFmtId="172" fontId="15" fillId="0" borderId="0">
      <alignment horizontal="left"/>
    </xf>
    <xf numFmtId="0" fontId="8" fillId="0" borderId="0"/>
    <xf numFmtId="0" fontId="3" fillId="0" borderId="0"/>
    <xf numFmtId="0" fontId="25" fillId="0" borderId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1" fontId="26" fillId="0" borderId="0" applyFont="0" applyFill="0" applyBorder="0" applyAlignment="0" applyProtection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3" fillId="0" borderId="0"/>
    <xf numFmtId="44" fontId="30" fillId="0" borderId="0" applyFont="0" applyFill="0" applyBorder="0" applyAlignment="0" applyProtection="0"/>
    <xf numFmtId="0" fontId="30" fillId="0" borderId="0"/>
    <xf numFmtId="0" fontId="8" fillId="0" borderId="0"/>
    <xf numFmtId="0" fontId="34" fillId="0" borderId="0"/>
    <xf numFmtId="0" fontId="3" fillId="0" borderId="0"/>
    <xf numFmtId="9" fontId="8" fillId="0" borderId="0" applyFont="0" applyFill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7" fillId="20" borderId="21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24" fillId="21" borderId="0" applyNumberFormat="0" applyBorder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39" fillId="22" borderId="22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0" fillId="23" borderId="23" applyNumberFormat="0" applyAlignment="0" applyProtection="0"/>
    <xf numFmtId="0" fontId="41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" fontId="42" fillId="0" borderId="0"/>
    <xf numFmtId="41" fontId="8" fillId="0" borderId="0" applyFont="0" applyFill="0" applyBorder="0" applyAlignment="0" applyProtection="0"/>
    <xf numFmtId="4" fontId="4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4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83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37" fontId="8" fillId="0" borderId="0" applyFill="0" applyBorder="0" applyAlignment="0" applyProtection="0"/>
    <xf numFmtId="0" fontId="46" fillId="0" borderId="0"/>
    <xf numFmtId="0" fontId="46" fillId="0" borderId="0"/>
    <xf numFmtId="0" fontId="46" fillId="0" borderId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1" fillId="0" borderId="0" applyFont="0" applyFill="0" applyBorder="0" applyAlignment="0" applyProtection="0"/>
    <xf numFmtId="184" fontId="48" fillId="0" borderId="0" applyFont="0" applyFill="0" applyBorder="0" applyProtection="0">
      <alignment horizontal="right"/>
    </xf>
    <xf numFmtId="5" fontId="46" fillId="0" borderId="0"/>
    <xf numFmtId="185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6" fillId="0" borderId="0"/>
    <xf numFmtId="0" fontId="46" fillId="0" borderId="0"/>
    <xf numFmtId="186" fontId="8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38" fontId="51" fillId="24" borderId="0" applyNumberFormat="0" applyBorder="0" applyAlignment="0" applyProtection="0"/>
    <xf numFmtId="38" fontId="51" fillId="24" borderId="0" applyNumberFormat="0" applyBorder="0" applyAlignment="0" applyProtection="0"/>
    <xf numFmtId="38" fontId="51" fillId="24" borderId="0" applyNumberFormat="0" applyBorder="0" applyAlignment="0" applyProtection="0"/>
    <xf numFmtId="0" fontId="52" fillId="0" borderId="0"/>
    <xf numFmtId="0" fontId="53" fillId="0" borderId="24" applyNumberFormat="0" applyAlignment="0" applyProtection="0">
      <alignment horizontal="left" vertical="center"/>
    </xf>
    <xf numFmtId="0" fontId="53" fillId="0" borderId="19">
      <alignment horizontal="left" vertical="center"/>
    </xf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187" fontId="8" fillId="0" borderId="0">
      <protection locked="0"/>
    </xf>
    <xf numFmtId="187" fontId="8" fillId="0" borderId="0"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10" fontId="51" fillId="25" borderId="21" applyNumberFormat="0" applyBorder="0" applyAlignment="0" applyProtection="0"/>
    <xf numFmtId="10" fontId="51" fillId="25" borderId="21" applyNumberFormat="0" applyBorder="0" applyAlignment="0" applyProtection="0"/>
    <xf numFmtId="10" fontId="51" fillId="25" borderId="21" applyNumberFormat="0" applyBorder="0" applyAlignment="0" applyProtection="0"/>
    <xf numFmtId="38" fontId="56" fillId="0" borderId="0">
      <alignment horizontal="left" wrapText="1"/>
    </xf>
    <xf numFmtId="38" fontId="57" fillId="0" borderId="0">
      <alignment horizontal="left" wrapText="1"/>
    </xf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8" fillId="0" borderId="26" applyNumberFormat="0" applyFill="0" applyAlignment="0" applyProtection="0"/>
    <xf numFmtId="0" fontId="59" fillId="26" borderId="0"/>
    <xf numFmtId="0" fontId="59" fillId="27" borderId="0"/>
    <xf numFmtId="0" fontId="24" fillId="28" borderId="15" applyBorder="0"/>
    <xf numFmtId="0" fontId="8" fillId="29" borderId="14" applyNumberFormat="0" applyFont="0" applyBorder="0" applyAlignment="0" applyProtection="0"/>
    <xf numFmtId="188" fontId="60" fillId="0" borderId="0" applyNumberFormat="0" applyFill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61" fillId="30" borderId="0" applyNumberFormat="0" applyBorder="0" applyAlignment="0" applyProtection="0"/>
    <xf numFmtId="0" fontId="51" fillId="0" borderId="27" applyNumberFormat="0" applyBorder="0" applyAlignment="0"/>
    <xf numFmtId="0" fontId="51" fillId="0" borderId="27" applyNumberFormat="0" applyBorder="0" applyAlignment="0"/>
    <xf numFmtId="0" fontId="51" fillId="0" borderId="27" applyNumberFormat="0" applyBorder="0" applyAlignment="0"/>
    <xf numFmtId="189" fontId="8" fillId="0" borderId="0"/>
    <xf numFmtId="189" fontId="8" fillId="0" borderId="0"/>
    <xf numFmtId="189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>
      <alignment wrapText="1"/>
    </xf>
    <xf numFmtId="0" fontId="8" fillId="0" borderId="0"/>
    <xf numFmtId="0" fontId="8" fillId="0" borderId="0"/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41" fontId="21" fillId="0" borderId="0"/>
    <xf numFmtId="0" fontId="8" fillId="0" borderId="0"/>
    <xf numFmtId="41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190" fontId="8" fillId="0" borderId="0"/>
    <xf numFmtId="0" fontId="1" fillId="0" borderId="0"/>
    <xf numFmtId="0" fontId="8" fillId="0" borderId="0">
      <alignment wrapText="1"/>
    </xf>
    <xf numFmtId="0" fontId="8" fillId="0" borderId="0">
      <alignment wrapText="1"/>
    </xf>
    <xf numFmtId="41" fontId="8" fillId="0" borderId="0"/>
    <xf numFmtId="0" fontId="8" fillId="0" borderId="0"/>
    <xf numFmtId="37" fontId="46" fillId="0" borderId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0" fontId="8" fillId="31" borderId="28" applyNumberFormat="0" applyFont="0" applyAlignment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191" fontId="3" fillId="0" borderId="0" applyFont="0" applyFill="0" applyBorder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0" fontId="62" fillId="22" borderId="29" applyNumberFormat="0" applyAlignment="0" applyProtection="0"/>
    <xf numFmtId="12" fontId="53" fillId="32" borderId="30">
      <alignment horizontal="left"/>
    </xf>
    <xf numFmtId="0" fontId="46" fillId="0" borderId="0"/>
    <xf numFmtId="0" fontId="46" fillId="0" borderId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3" fillId="0" borderId="0"/>
    <xf numFmtId="4" fontId="64" fillId="30" borderId="31" applyNumberFormat="0" applyProtection="0">
      <alignment vertical="center"/>
    </xf>
    <xf numFmtId="4" fontId="65" fillId="33" borderId="31" applyNumberFormat="0" applyProtection="0">
      <alignment vertical="center"/>
    </xf>
    <xf numFmtId="4" fontId="64" fillId="33" borderId="31" applyNumberFormat="0" applyProtection="0">
      <alignment horizontal="left" vertical="center" indent="1"/>
    </xf>
    <xf numFmtId="0" fontId="64" fillId="33" borderId="31" applyNumberFormat="0" applyProtection="0">
      <alignment horizontal="left" vertical="top" indent="1"/>
    </xf>
    <xf numFmtId="4" fontId="64" fillId="34" borderId="31" applyNumberFormat="0" applyProtection="0"/>
    <xf numFmtId="4" fontId="66" fillId="3" borderId="31" applyNumberFormat="0" applyProtection="0">
      <alignment horizontal="right" vertical="center"/>
    </xf>
    <xf numFmtId="4" fontId="66" fillId="9" borderId="31" applyNumberFormat="0" applyProtection="0">
      <alignment horizontal="right" vertical="center"/>
    </xf>
    <xf numFmtId="4" fontId="66" fillId="17" borderId="31" applyNumberFormat="0" applyProtection="0">
      <alignment horizontal="right" vertical="center"/>
    </xf>
    <xf numFmtId="4" fontId="66" fillId="11" borderId="31" applyNumberFormat="0" applyProtection="0">
      <alignment horizontal="right" vertical="center"/>
    </xf>
    <xf numFmtId="4" fontId="66" fillId="15" borderId="31" applyNumberFormat="0" applyProtection="0">
      <alignment horizontal="right" vertical="center"/>
    </xf>
    <xf numFmtId="4" fontId="66" fillId="19" borderId="31" applyNumberFormat="0" applyProtection="0">
      <alignment horizontal="right" vertical="center"/>
    </xf>
    <xf numFmtId="4" fontId="66" fillId="18" borderId="31" applyNumberFormat="0" applyProtection="0">
      <alignment horizontal="right" vertical="center"/>
    </xf>
    <xf numFmtId="4" fontId="66" fillId="35" borderId="31" applyNumberFormat="0" applyProtection="0">
      <alignment horizontal="right" vertical="center"/>
    </xf>
    <xf numFmtId="4" fontId="66" fillId="10" borderId="31" applyNumberFormat="0" applyProtection="0">
      <alignment horizontal="right" vertical="center"/>
    </xf>
    <xf numFmtId="4" fontId="64" fillId="36" borderId="32" applyNumberFormat="0" applyProtection="0">
      <alignment horizontal="left" vertical="center" indent="1"/>
    </xf>
    <xf numFmtId="4" fontId="66" fillId="37" borderId="0" applyNumberFormat="0" applyProtection="0">
      <alignment horizontal="left" indent="1"/>
    </xf>
    <xf numFmtId="4" fontId="67" fillId="38" borderId="0" applyNumberFormat="0" applyProtection="0">
      <alignment horizontal="left" vertical="center" indent="1"/>
    </xf>
    <xf numFmtId="4" fontId="67" fillId="38" borderId="0" applyNumberFormat="0" applyProtection="0">
      <alignment horizontal="left" vertical="center" indent="1"/>
    </xf>
    <xf numFmtId="4" fontId="67" fillId="38" borderId="0" applyNumberFormat="0" applyProtection="0">
      <alignment horizontal="left" vertical="center" indent="1"/>
    </xf>
    <xf numFmtId="4" fontId="66" fillId="39" borderId="31" applyNumberFormat="0" applyProtection="0">
      <alignment horizontal="right" vertical="center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8" fillId="40" borderId="0" applyNumberFormat="0" applyProtection="0">
      <alignment horizontal="left" indent="1"/>
    </xf>
    <xf numFmtId="4" fontId="69" fillId="41" borderId="0" applyNumberFormat="0" applyProtection="0"/>
    <xf numFmtId="4" fontId="69" fillId="41" borderId="0" applyNumberFormat="0" applyProtection="0"/>
    <xf numFmtId="4" fontId="69" fillId="41" borderId="0" applyNumberFormat="0" applyProtection="0"/>
    <xf numFmtId="4" fontId="69" fillId="41" borderId="0" applyNumberFormat="0" applyProtection="0"/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center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8" borderId="31" applyNumberFormat="0" applyProtection="0">
      <alignment horizontal="left" vertical="top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center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34" borderId="31" applyNumberFormat="0" applyProtection="0">
      <alignment horizontal="left" vertical="top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center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2" borderId="31" applyNumberFormat="0" applyProtection="0">
      <alignment horizontal="left" vertical="top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center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0" fontId="8" fillId="43" borderId="31" applyNumberFormat="0" applyProtection="0">
      <alignment horizontal="left" vertical="top" indent="1"/>
    </xf>
    <xf numFmtId="4" fontId="66" fillId="25" borderId="31" applyNumberFormat="0" applyProtection="0">
      <alignment vertical="center"/>
    </xf>
    <xf numFmtId="4" fontId="70" fillId="25" borderId="31" applyNumberFormat="0" applyProtection="0">
      <alignment vertical="center"/>
    </xf>
    <xf numFmtId="4" fontId="66" fillId="25" borderId="31" applyNumberFormat="0" applyProtection="0">
      <alignment horizontal="left" vertical="center" indent="1"/>
    </xf>
    <xf numFmtId="0" fontId="66" fillId="25" borderId="31" applyNumberFormat="0" applyProtection="0">
      <alignment horizontal="left" vertical="top" indent="1"/>
    </xf>
    <xf numFmtId="4" fontId="66" fillId="0" borderId="31" applyNumberFormat="0" applyProtection="0">
      <alignment horizontal="right" vertical="center"/>
    </xf>
    <xf numFmtId="4" fontId="70" fillId="37" borderId="31" applyNumberFormat="0" applyProtection="0">
      <alignment horizontal="right" vertical="center"/>
    </xf>
    <xf numFmtId="4" fontId="66" fillId="0" borderId="31" applyNumberFormat="0" applyProtection="0">
      <alignment horizontal="left" vertical="center" indent="1"/>
    </xf>
    <xf numFmtId="0" fontId="66" fillId="34" borderId="31" applyNumberFormat="0" applyProtection="0">
      <alignment horizontal="left" vertical="top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1" fillId="44" borderId="0" applyNumberFormat="0" applyProtection="0">
      <alignment horizontal="left"/>
    </xf>
    <xf numFmtId="4" fontId="72" fillId="37" borderId="31" applyNumberFormat="0" applyProtection="0">
      <alignment horizontal="right" vertical="center"/>
    </xf>
    <xf numFmtId="37" fontId="34" fillId="45" borderId="0" applyNumberFormat="0" applyFont="0" applyBorder="0" applyAlignment="0" applyProtection="0"/>
    <xf numFmtId="192" fontId="8" fillId="0" borderId="33">
      <alignment horizontal="justify" vertical="top" wrapText="1"/>
    </xf>
    <xf numFmtId="192" fontId="8" fillId="0" borderId="33">
      <alignment horizontal="justify" vertical="top" wrapText="1"/>
    </xf>
    <xf numFmtId="192" fontId="8" fillId="0" borderId="33">
      <alignment horizontal="justify" vertical="top" wrapText="1"/>
    </xf>
    <xf numFmtId="0" fontId="8" fillId="0" borderId="0">
      <alignment horizontal="left" wrapText="1"/>
    </xf>
    <xf numFmtId="193" fontId="8" fillId="0" borderId="0" applyFill="0" applyBorder="0" applyAlignment="0" applyProtection="0">
      <alignment wrapText="1"/>
    </xf>
    <xf numFmtId="0" fontId="24" fillId="0" borderId="0" applyNumberFormat="0" applyFill="0" applyBorder="0">
      <alignment horizontal="center" wrapText="1"/>
    </xf>
    <xf numFmtId="0" fontId="24" fillId="0" borderId="0" applyNumberFormat="0" applyFill="0" applyBorder="0">
      <alignment horizontal="center" wrapText="1"/>
    </xf>
    <xf numFmtId="38" fontId="8" fillId="0" borderId="0">
      <alignment horizontal="left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4" fillId="0" borderId="21">
      <alignment horizontal="center" vertical="center" wrapText="1"/>
    </xf>
    <xf numFmtId="0" fontId="46" fillId="0" borderId="34"/>
    <xf numFmtId="0" fontId="46" fillId="0" borderId="3"/>
    <xf numFmtId="38" fontId="66" fillId="0" borderId="35" applyFill="0" applyBorder="0" applyAlignment="0" applyProtection="0">
      <protection locked="0"/>
    </xf>
    <xf numFmtId="37" fontId="51" fillId="33" borderId="0" applyNumberFormat="0" applyBorder="0" applyAlignment="0" applyProtection="0"/>
    <xf numFmtId="37" fontId="51" fillId="33" borderId="0" applyNumberFormat="0" applyBorder="0" applyAlignment="0" applyProtection="0"/>
    <xf numFmtId="37" fontId="51" fillId="33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33" borderId="0" applyNumberFormat="0" applyBorder="0" applyAlignment="0" applyProtection="0"/>
    <xf numFmtId="3" fontId="74" fillId="46" borderId="36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" fillId="0" borderId="0"/>
    <xf numFmtId="194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6" fontId="8" fillId="0" borderId="0">
      <alignment horizontal="left" wrapText="1"/>
    </xf>
    <xf numFmtId="0" fontId="3" fillId="0" borderId="0"/>
    <xf numFmtId="196" fontId="8" fillId="0" borderId="0">
      <alignment horizontal="left" wrapText="1"/>
    </xf>
    <xf numFmtId="196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195" fontId="8" fillId="0" borderId="0">
      <alignment horizontal="left" wrapText="1"/>
    </xf>
    <xf numFmtId="0" fontId="3" fillId="0" borderId="0"/>
    <xf numFmtId="0" fontId="46" fillId="0" borderId="0"/>
    <xf numFmtId="0" fontId="46" fillId="0" borderId="0"/>
    <xf numFmtId="196" fontId="8" fillId="0" borderId="0"/>
    <xf numFmtId="0" fontId="46" fillId="0" borderId="0"/>
    <xf numFmtId="44" fontId="24" fillId="0" borderId="37" applyNumberFormat="0" applyFont="0" applyAlignment="0">
      <alignment horizontal="center"/>
    </xf>
    <xf numFmtId="44" fontId="24" fillId="0" borderId="38" applyNumberFormat="0" applyFont="0" applyAlignment="0">
      <alignment horizontal="center"/>
    </xf>
    <xf numFmtId="0" fontId="8" fillId="0" borderId="0"/>
    <xf numFmtId="168" fontId="60" fillId="0" borderId="0" applyBorder="0" applyAlignment="0"/>
    <xf numFmtId="197" fontId="8" fillId="0" borderId="0" applyFont="0" applyFill="0" applyAlignment="0">
      <alignment horizontal="right"/>
    </xf>
    <xf numFmtId="38" fontId="51" fillId="0" borderId="39"/>
    <xf numFmtId="38" fontId="60" fillId="0" borderId="2"/>
    <xf numFmtId="39" fontId="48" fillId="47" borderId="0"/>
    <xf numFmtId="0" fontId="78" fillId="0" borderId="0"/>
  </cellStyleXfs>
  <cellXfs count="425">
    <xf numFmtId="0" fontId="0" fillId="0" borderId="0" xfId="0"/>
    <xf numFmtId="0" fontId="3" fillId="0" borderId="0" xfId="4" applyFill="1"/>
    <xf numFmtId="0" fontId="4" fillId="0" borderId="0" xfId="4" applyFont="1" applyFill="1"/>
    <xf numFmtId="0" fontId="3" fillId="0" borderId="0" xfId="4" applyFont="1" applyFill="1"/>
    <xf numFmtId="0" fontId="5" fillId="0" borderId="0" xfId="4" applyFont="1" applyFill="1" applyAlignment="1"/>
    <xf numFmtId="0" fontId="5" fillId="0" borderId="0" xfId="4" quotePrefix="1" applyFont="1" applyFill="1" applyAlignment="1"/>
    <xf numFmtId="0" fontId="3" fillId="0" borderId="0" xfId="4" applyFill="1" applyBorder="1"/>
    <xf numFmtId="0" fontId="5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3" fillId="0" borderId="0" xfId="4" applyFont="1" applyFill="1" applyAlignment="1">
      <alignment horizontal="center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/>
    <xf numFmtId="0" fontId="4" fillId="0" borderId="0" xfId="4" applyFont="1" applyFill="1" applyAlignment="1">
      <alignment horizontal="center"/>
    </xf>
    <xf numFmtId="0" fontId="3" fillId="0" borderId="0" xfId="4" quotePrefix="1" applyFont="1" applyFill="1" applyBorder="1" applyAlignment="1">
      <alignment horizontal="center"/>
    </xf>
    <xf numFmtId="0" fontId="3" fillId="0" borderId="0" xfId="4" applyFill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ill="1" applyBorder="1" applyAlignment="1">
      <alignment horizontal="center"/>
    </xf>
    <xf numFmtId="0" fontId="3" fillId="0" borderId="3" xfId="4" applyFill="1" applyBorder="1" applyAlignment="1">
      <alignment horizontal="center"/>
    </xf>
    <xf numFmtId="0" fontId="4" fillId="0" borderId="3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6" fontId="3" fillId="0" borderId="3" xfId="4" quotePrefix="1" applyNumberFormat="1" applyFont="1" applyFill="1" applyBorder="1" applyAlignment="1">
      <alignment horizontal="center"/>
    </xf>
    <xf numFmtId="6" fontId="3" fillId="0" borderId="0" xfId="4" quotePrefix="1" applyNumberFormat="1" applyFont="1" applyFill="1" applyBorder="1" applyAlignment="1">
      <alignment horizontal="center"/>
    </xf>
    <xf numFmtId="0" fontId="3" fillId="0" borderId="1" xfId="4" quotePrefix="1" applyFont="1" applyFill="1" applyBorder="1" applyAlignment="1">
      <alignment horizontal="center"/>
    </xf>
    <xf numFmtId="6" fontId="3" fillId="0" borderId="1" xfId="4" quotePrefix="1" applyNumberFormat="1" applyFont="1" applyFill="1" applyBorder="1" applyAlignment="1">
      <alignment horizontal="center"/>
    </xf>
    <xf numFmtId="0" fontId="3" fillId="0" borderId="0" xfId="4" quotePrefix="1" applyFont="1" applyFill="1"/>
    <xf numFmtId="0" fontId="7" fillId="0" borderId="0" xfId="4" applyFont="1" applyFill="1"/>
    <xf numFmtId="0" fontId="4" fillId="0" borderId="0" xfId="4" quotePrefix="1" applyFont="1" applyFill="1" applyAlignment="1">
      <alignment horizontal="center"/>
    </xf>
    <xf numFmtId="37" fontId="3" fillId="0" borderId="0" xfId="4" applyNumberFormat="1" applyFont="1" applyFill="1" applyProtection="1"/>
    <xf numFmtId="5" fontId="4" fillId="0" borderId="0" xfId="4" applyNumberFormat="1" applyFont="1" applyFill="1" applyProtection="1">
      <protection locked="0"/>
    </xf>
    <xf numFmtId="10" fontId="4" fillId="0" borderId="0" xfId="3" applyNumberFormat="1" applyFont="1" applyFill="1" applyProtection="1">
      <protection locked="0"/>
    </xf>
    <xf numFmtId="5" fontId="4" fillId="0" borderId="0" xfId="3" applyNumberFormat="1" applyFont="1" applyFill="1" applyProtection="1">
      <protection locked="0"/>
    </xf>
    <xf numFmtId="164" fontId="4" fillId="0" borderId="0" xfId="3" applyNumberFormat="1" applyFont="1" applyFill="1" applyProtection="1">
      <protection locked="0"/>
    </xf>
    <xf numFmtId="165" fontId="4" fillId="0" borderId="0" xfId="1" applyNumberFormat="1" applyFont="1" applyFill="1" applyProtection="1">
      <protection locked="0"/>
    </xf>
    <xf numFmtId="166" fontId="3" fillId="0" borderId="0" xfId="4" applyNumberFormat="1" applyFont="1" applyFill="1" applyProtection="1"/>
    <xf numFmtId="0" fontId="3" fillId="0" borderId="0" xfId="4" applyFont="1" applyFill="1" applyBorder="1"/>
    <xf numFmtId="10" fontId="4" fillId="0" borderId="0" xfId="3" applyNumberFormat="1" applyFont="1" applyFill="1" applyBorder="1" applyProtection="1">
      <protection locked="0"/>
    </xf>
    <xf numFmtId="2" fontId="3" fillId="0" borderId="0" xfId="4" applyNumberFormat="1" applyFont="1" applyFill="1"/>
    <xf numFmtId="0" fontId="3" fillId="0" borderId="3" xfId="4" applyFill="1" applyBorder="1"/>
    <xf numFmtId="0" fontId="3" fillId="0" borderId="1" xfId="4" applyFill="1" applyBorder="1"/>
    <xf numFmtId="164" fontId="3" fillId="0" borderId="1" xfId="4" applyNumberFormat="1" applyFill="1" applyBorder="1"/>
    <xf numFmtId="165" fontId="3" fillId="0" borderId="1" xfId="4" applyNumberFormat="1" applyFill="1" applyBorder="1"/>
    <xf numFmtId="164" fontId="3" fillId="0" borderId="0" xfId="4" applyNumberFormat="1" applyFill="1"/>
    <xf numFmtId="165" fontId="3" fillId="0" borderId="0" xfId="4" applyNumberFormat="1" applyFill="1"/>
    <xf numFmtId="0" fontId="9" fillId="0" borderId="0" xfId="5" applyFont="1" applyFill="1" applyAlignment="1">
      <alignment horizontal="center"/>
    </xf>
    <xf numFmtId="37" fontId="3" fillId="0" borderId="0" xfId="4" applyNumberFormat="1" applyFill="1" applyProtection="1"/>
    <xf numFmtId="5" fontId="3" fillId="0" borderId="0" xfId="4" applyNumberFormat="1" applyFill="1" applyProtection="1"/>
    <xf numFmtId="165" fontId="4" fillId="0" borderId="0" xfId="3" applyNumberFormat="1" applyFont="1" applyFill="1" applyProtection="1">
      <protection locked="0"/>
    </xf>
    <xf numFmtId="37" fontId="3" fillId="0" borderId="0" xfId="4" applyNumberFormat="1" applyFill="1"/>
    <xf numFmtId="5" fontId="3" fillId="0" borderId="0" xfId="4" applyNumberFormat="1" applyFill="1"/>
    <xf numFmtId="164" fontId="3" fillId="0" borderId="0" xfId="3" applyNumberFormat="1" applyFont="1" applyFill="1"/>
    <xf numFmtId="0" fontId="9" fillId="0" borderId="0" xfId="5" applyFont="1" applyFill="1"/>
    <xf numFmtId="37" fontId="3" fillId="0" borderId="3" xfId="4" applyNumberFormat="1" applyFill="1" applyBorder="1" applyProtection="1"/>
    <xf numFmtId="5" fontId="3" fillId="0" borderId="3" xfId="4" applyNumberFormat="1" applyFill="1" applyBorder="1" applyProtection="1"/>
    <xf numFmtId="5" fontId="3" fillId="0" borderId="0" xfId="4" applyNumberFormat="1" applyFill="1" applyBorder="1" applyProtection="1"/>
    <xf numFmtId="164" fontId="4" fillId="0" borderId="1" xfId="3" applyNumberFormat="1" applyFont="1" applyFill="1" applyBorder="1" applyProtection="1">
      <protection locked="0"/>
    </xf>
    <xf numFmtId="166" fontId="3" fillId="0" borderId="1" xfId="4" applyNumberFormat="1" applyFont="1" applyFill="1" applyBorder="1" applyProtection="1"/>
    <xf numFmtId="37" fontId="3" fillId="0" borderId="0" xfId="4" applyNumberFormat="1" applyFill="1" applyBorder="1" applyProtection="1"/>
    <xf numFmtId="164" fontId="3" fillId="0" borderId="0" xfId="4" applyNumberFormat="1" applyFill="1" applyBorder="1" applyProtection="1"/>
    <xf numFmtId="10" fontId="3" fillId="0" borderId="0" xfId="4" applyNumberFormat="1" applyFill="1" applyBorder="1" applyProtection="1"/>
    <xf numFmtId="165" fontId="3" fillId="0" borderId="0" xfId="4" applyNumberFormat="1" applyFill="1" applyBorder="1" applyProtection="1"/>
    <xf numFmtId="37" fontId="3" fillId="0" borderId="4" xfId="4" applyNumberFormat="1" applyFill="1" applyBorder="1"/>
    <xf numFmtId="5" fontId="3" fillId="0" borderId="4" xfId="4" applyNumberFormat="1" applyFill="1" applyBorder="1"/>
    <xf numFmtId="5" fontId="3" fillId="0" borderId="0" xfId="4" applyNumberFormat="1" applyFill="1" applyBorder="1"/>
    <xf numFmtId="164" fontId="4" fillId="0" borderId="4" xfId="3" applyNumberFormat="1" applyFont="1" applyFill="1" applyBorder="1" applyProtection="1">
      <protection locked="0"/>
    </xf>
    <xf numFmtId="37" fontId="3" fillId="0" borderId="0" xfId="4" applyNumberFormat="1" applyFill="1" applyBorder="1"/>
    <xf numFmtId="10" fontId="4" fillId="0" borderId="0" xfId="3" quotePrefix="1" applyNumberFormat="1" applyFont="1" applyFill="1" applyBorder="1" applyProtection="1">
      <protection locked="0"/>
    </xf>
    <xf numFmtId="0" fontId="11" fillId="0" borderId="0" xfId="5" applyFont="1" applyFill="1"/>
    <xf numFmtId="37" fontId="3" fillId="0" borderId="4" xfId="4" applyNumberFormat="1" applyFont="1" applyFill="1" applyBorder="1" applyProtection="1"/>
    <xf numFmtId="5" fontId="4" fillId="0" borderId="4" xfId="3" applyNumberFormat="1" applyFont="1" applyFill="1" applyBorder="1" applyProtection="1">
      <protection locked="0"/>
    </xf>
    <xf numFmtId="5" fontId="3" fillId="0" borderId="0" xfId="4" applyNumberFormat="1" applyFont="1" applyFill="1"/>
    <xf numFmtId="168" fontId="3" fillId="0" borderId="0" xfId="1" applyNumberFormat="1" applyFont="1" applyFill="1"/>
    <xf numFmtId="0" fontId="3" fillId="0" borderId="0" xfId="4" applyFont="1" applyFill="1" applyAlignment="1">
      <alignment horizontal="right"/>
    </xf>
    <xf numFmtId="43" fontId="3" fillId="0" borderId="0" xfId="1" applyFont="1" applyFill="1"/>
    <xf numFmtId="10" fontId="3" fillId="0" borderId="0" xfId="3" applyNumberFormat="1" applyFont="1" applyFill="1"/>
    <xf numFmtId="169" fontId="12" fillId="0" borderId="0" xfId="2" applyNumberFormat="1" applyFont="1" applyFill="1"/>
    <xf numFmtId="164" fontId="12" fillId="0" borderId="0" xfId="3" applyNumberFormat="1" applyFont="1" applyFill="1" applyBorder="1" applyProtection="1">
      <protection locked="0"/>
    </xf>
    <xf numFmtId="1" fontId="3" fillId="0" borderId="0" xfId="4" applyNumberFormat="1" applyFill="1"/>
    <xf numFmtId="164" fontId="3" fillId="0" borderId="0" xfId="3" applyNumberFormat="1" applyFont="1" applyFill="1" applyBorder="1"/>
    <xf numFmtId="1" fontId="12" fillId="0" borderId="0" xfId="4" applyNumberFormat="1" applyFont="1" applyFill="1"/>
    <xf numFmtId="164" fontId="12" fillId="0" borderId="0" xfId="3" applyNumberFormat="1" applyFont="1" applyFill="1"/>
    <xf numFmtId="170" fontId="3" fillId="0" borderId="0" xfId="4" applyNumberFormat="1" applyFill="1"/>
    <xf numFmtId="164" fontId="13" fillId="0" borderId="0" xfId="3" applyNumberFormat="1" applyFont="1" applyFill="1"/>
    <xf numFmtId="0" fontId="9" fillId="0" borderId="0" xfId="16" applyFont="1" applyFill="1"/>
    <xf numFmtId="0" fontId="11" fillId="0" borderId="0" xfId="16" applyFont="1" applyFill="1"/>
    <xf numFmtId="0" fontId="11" fillId="0" borderId="0" xfId="16" applyFont="1" applyFill="1" applyAlignment="1">
      <alignment horizontal="centerContinuous"/>
    </xf>
    <xf numFmtId="0" fontId="16" fillId="0" borderId="0" xfId="16" applyFont="1" applyFill="1" applyBorder="1" applyAlignment="1">
      <alignment horizontal="centerContinuous"/>
    </xf>
    <xf numFmtId="0" fontId="16" fillId="0" borderId="0" xfId="16" applyFont="1" applyFill="1" applyAlignment="1">
      <alignment horizontal="centerContinuous"/>
    </xf>
    <xf numFmtId="0" fontId="9" fillId="0" borderId="0" xfId="16" applyFont="1" applyFill="1" applyAlignment="1">
      <alignment horizontal="centerContinuous"/>
    </xf>
    <xf numFmtId="0" fontId="9" fillId="0" borderId="1" xfId="16" applyFont="1" applyFill="1" applyBorder="1" applyAlignment="1">
      <alignment horizontal="centerContinuous"/>
    </xf>
    <xf numFmtId="0" fontId="9" fillId="0" borderId="1" xfId="16" applyFont="1" applyFill="1" applyBorder="1" applyAlignment="1"/>
    <xf numFmtId="0" fontId="9" fillId="0" borderId="0" xfId="16" applyFont="1" applyFill="1" applyBorder="1" applyAlignment="1"/>
    <xf numFmtId="0" fontId="9" fillId="0" borderId="0" xfId="16" applyFill="1"/>
    <xf numFmtId="0" fontId="9" fillId="0" borderId="0" xfId="16" applyFont="1" applyFill="1" applyBorder="1" applyAlignment="1">
      <alignment horizontal="center"/>
    </xf>
    <xf numFmtId="0" fontId="9" fillId="0" borderId="0" xfId="16" applyFont="1" applyFill="1" applyBorder="1" applyAlignment="1">
      <alignment horizontal="centerContinuous"/>
    </xf>
    <xf numFmtId="0" fontId="9" fillId="0" borderId="0" xfId="16" applyFont="1" applyFill="1" applyAlignment="1">
      <alignment horizontal="center"/>
    </xf>
    <xf numFmtId="0" fontId="18" fillId="0" borderId="5" xfId="16" applyFont="1" applyFill="1" applyBorder="1"/>
    <xf numFmtId="0" fontId="18" fillId="0" borderId="6" xfId="16" applyFont="1" applyFill="1" applyBorder="1"/>
    <xf numFmtId="0" fontId="9" fillId="0" borderId="1" xfId="16" applyFont="1" applyFill="1" applyBorder="1" applyAlignment="1">
      <alignment horizontal="center"/>
    </xf>
    <xf numFmtId="0" fontId="9" fillId="0" borderId="3" xfId="16" applyFont="1" applyFill="1" applyBorder="1" applyAlignment="1">
      <alignment horizontal="centerContinuous"/>
    </xf>
    <xf numFmtId="0" fontId="17" fillId="0" borderId="0" xfId="16" applyFont="1" applyFill="1"/>
    <xf numFmtId="0" fontId="18" fillId="0" borderId="7" xfId="16" applyFont="1" applyFill="1" applyBorder="1"/>
    <xf numFmtId="7" fontId="19" fillId="0" borderId="8" xfId="16" applyNumberFormat="1" applyFont="1" applyFill="1" applyBorder="1"/>
    <xf numFmtId="0" fontId="20" fillId="0" borderId="0" xfId="16" applyFont="1" applyFill="1"/>
    <xf numFmtId="173" fontId="19" fillId="0" borderId="8" xfId="16" applyNumberFormat="1" applyFont="1" applyFill="1" applyBorder="1"/>
    <xf numFmtId="165" fontId="19" fillId="0" borderId="8" xfId="1" applyNumberFormat="1" applyFont="1" applyFill="1" applyBorder="1" applyAlignment="1">
      <alignment horizontal="right"/>
    </xf>
    <xf numFmtId="43" fontId="9" fillId="0" borderId="0" xfId="16" applyNumberFormat="1" applyFont="1" applyFill="1"/>
    <xf numFmtId="37" fontId="9" fillId="0" borderId="0" xfId="16" applyNumberFormat="1" applyFont="1" applyFill="1" applyProtection="1"/>
    <xf numFmtId="7" fontId="9" fillId="0" borderId="0" xfId="16" applyNumberFormat="1" applyFill="1"/>
    <xf numFmtId="7" fontId="9" fillId="0" borderId="0" xfId="16" applyNumberFormat="1" applyFont="1" applyFill="1"/>
    <xf numFmtId="10" fontId="9" fillId="0" borderId="0" xfId="16" applyNumberFormat="1" applyFont="1" applyFill="1" applyProtection="1"/>
    <xf numFmtId="0" fontId="18" fillId="0" borderId="9" xfId="16" applyFont="1" applyFill="1" applyBorder="1"/>
    <xf numFmtId="173" fontId="19" fillId="0" borderId="10" xfId="16" applyNumberFormat="1" applyFont="1" applyFill="1" applyBorder="1"/>
    <xf numFmtId="0" fontId="18" fillId="0" borderId="0" xfId="16" applyFont="1" applyFill="1"/>
    <xf numFmtId="173" fontId="18" fillId="0" borderId="0" xfId="16" applyNumberFormat="1" applyFont="1" applyFill="1"/>
    <xf numFmtId="0" fontId="9" fillId="0" borderId="0" xfId="16" applyFont="1" applyFill="1" applyBorder="1"/>
    <xf numFmtId="7" fontId="9" fillId="0" borderId="0" xfId="16" applyNumberFormat="1" applyFont="1" applyFill="1" applyProtection="1"/>
    <xf numFmtId="164" fontId="18" fillId="0" borderId="0" xfId="16" applyNumberFormat="1" applyFont="1" applyFill="1"/>
    <xf numFmtId="0" fontId="9" fillId="0" borderId="0" xfId="16" applyFont="1" applyFill="1" applyAlignment="1">
      <alignment horizontal="right"/>
    </xf>
    <xf numFmtId="10" fontId="9" fillId="0" borderId="0" xfId="3" applyNumberFormat="1" applyFont="1" applyFill="1" applyAlignment="1">
      <alignment horizontal="center"/>
    </xf>
    <xf numFmtId="174" fontId="9" fillId="0" borderId="0" xfId="16" applyNumberFormat="1" applyFont="1" applyFill="1" applyProtection="1"/>
    <xf numFmtId="37" fontId="9" fillId="0" borderId="1" xfId="16" applyNumberFormat="1" applyFont="1" applyFill="1" applyBorder="1" applyProtection="1"/>
    <xf numFmtId="0" fontId="9" fillId="0" borderId="1" xfId="16" applyFont="1" applyFill="1" applyBorder="1"/>
    <xf numFmtId="7" fontId="9" fillId="0" borderId="1" xfId="16" applyNumberFormat="1" applyFont="1" applyFill="1" applyBorder="1" applyProtection="1"/>
    <xf numFmtId="174" fontId="9" fillId="0" borderId="1" xfId="16" applyNumberFormat="1" applyFont="1" applyFill="1" applyBorder="1" applyProtection="1"/>
    <xf numFmtId="0" fontId="21" fillId="0" borderId="0" xfId="16" applyFont="1" applyFill="1"/>
    <xf numFmtId="0" fontId="21" fillId="0" borderId="0" xfId="16" quotePrefix="1" applyFont="1" applyFill="1" applyBorder="1" applyAlignment="1">
      <alignment horizontal="left"/>
    </xf>
    <xf numFmtId="5" fontId="9" fillId="0" borderId="0" xfId="16" applyNumberFormat="1" applyFont="1" applyFill="1"/>
    <xf numFmtId="0" fontId="23" fillId="0" borderId="0" xfId="16" applyFont="1" applyFill="1" applyBorder="1" applyAlignment="1">
      <alignment horizontal="centerContinuous"/>
    </xf>
    <xf numFmtId="0" fontId="9" fillId="0" borderId="0" xfId="16" applyFont="1" applyFill="1" applyAlignment="1" applyProtection="1">
      <alignment horizontal="center"/>
    </xf>
    <xf numFmtId="0" fontId="9" fillId="0" borderId="5" xfId="16" applyFont="1" applyFill="1" applyBorder="1" applyAlignment="1">
      <alignment horizontal="center"/>
    </xf>
    <xf numFmtId="0" fontId="9" fillId="0" borderId="6" xfId="16" applyFont="1" applyFill="1" applyBorder="1"/>
    <xf numFmtId="0" fontId="9" fillId="0" borderId="11" xfId="16" applyFont="1" applyFill="1" applyBorder="1"/>
    <xf numFmtId="0" fontId="9" fillId="0" borderId="0" xfId="16" applyFont="1" applyFill="1" applyBorder="1" applyAlignment="1" applyProtection="1">
      <alignment horizontal="center"/>
    </xf>
    <xf numFmtId="0" fontId="9" fillId="0" borderId="1" xfId="16" applyFont="1" applyFill="1" applyBorder="1" applyAlignment="1" applyProtection="1">
      <alignment horizontal="center"/>
    </xf>
    <xf numFmtId="0" fontId="9" fillId="0" borderId="7" xfId="16" applyFont="1" applyFill="1" applyBorder="1"/>
    <xf numFmtId="0" fontId="19" fillId="0" borderId="0" xfId="16" applyFont="1" applyFill="1" applyBorder="1"/>
    <xf numFmtId="0" fontId="20" fillId="0" borderId="0" xfId="16" applyFont="1" applyFill="1" applyAlignment="1">
      <alignment horizontal="center"/>
    </xf>
    <xf numFmtId="0" fontId="18" fillId="0" borderId="8" xfId="16" applyFont="1" applyFill="1" applyBorder="1"/>
    <xf numFmtId="0" fontId="18" fillId="0" borderId="0" xfId="16" applyFont="1" applyFill="1" applyBorder="1"/>
    <xf numFmtId="0" fontId="9" fillId="0" borderId="12" xfId="16" applyFont="1" applyFill="1" applyBorder="1"/>
    <xf numFmtId="0" fontId="9" fillId="0" borderId="2" xfId="16" applyFont="1" applyFill="1" applyBorder="1"/>
    <xf numFmtId="0" fontId="9" fillId="0" borderId="13" xfId="16" applyFont="1" applyFill="1" applyBorder="1"/>
    <xf numFmtId="0" fontId="20" fillId="0" borderId="0" xfId="16" applyFont="1" applyFill="1" applyBorder="1"/>
    <xf numFmtId="0" fontId="9" fillId="0" borderId="14" xfId="16" applyFont="1" applyFill="1" applyBorder="1"/>
    <xf numFmtId="7" fontId="19" fillId="0" borderId="0" xfId="16" applyNumberFormat="1" applyFont="1" applyFill="1" applyBorder="1"/>
    <xf numFmtId="7" fontId="19" fillId="0" borderId="15" xfId="16" applyNumberFormat="1" applyFont="1" applyFill="1" applyBorder="1"/>
    <xf numFmtId="5" fontId="9" fillId="0" borderId="0" xfId="16" applyNumberFormat="1" applyFont="1" applyFill="1" applyProtection="1"/>
    <xf numFmtId="5" fontId="19" fillId="0" borderId="0" xfId="16" applyNumberFormat="1" applyFont="1" applyFill="1" applyBorder="1"/>
    <xf numFmtId="5" fontId="19" fillId="0" borderId="15" xfId="16" applyNumberFormat="1" applyFont="1" applyFill="1" applyBorder="1"/>
    <xf numFmtId="0" fontId="9" fillId="0" borderId="16" xfId="16" applyFont="1" applyFill="1" applyBorder="1"/>
    <xf numFmtId="5" fontId="19" fillId="0" borderId="1" xfId="16" applyNumberFormat="1" applyFont="1" applyFill="1" applyBorder="1"/>
    <xf numFmtId="0" fontId="19" fillId="0" borderId="1" xfId="16" applyFont="1" applyFill="1" applyBorder="1"/>
    <xf numFmtId="5" fontId="19" fillId="0" borderId="17" xfId="16" applyNumberFormat="1" applyFont="1" applyFill="1" applyBorder="1"/>
    <xf numFmtId="7" fontId="9" fillId="0" borderId="0" xfId="2" applyNumberFormat="1" applyFont="1" applyFill="1"/>
    <xf numFmtId="10" fontId="9" fillId="0" borderId="0" xfId="3" applyNumberFormat="1" applyFont="1" applyFill="1"/>
    <xf numFmtId="0" fontId="21" fillId="0" borderId="0" xfId="16" quotePrefix="1" applyFont="1" applyFill="1" applyBorder="1"/>
    <xf numFmtId="0" fontId="11" fillId="0" borderId="0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9" fillId="0" borderId="0" xfId="5" applyFill="1"/>
    <xf numFmtId="0" fontId="11" fillId="0" borderId="0" xfId="5" applyFont="1" applyFill="1" applyAlignment="1">
      <alignment horizontal="center"/>
    </xf>
    <xf numFmtId="0" fontId="11" fillId="0" borderId="3" xfId="5" applyFont="1" applyFill="1" applyBorder="1" applyAlignment="1">
      <alignment horizontal="center"/>
    </xf>
    <xf numFmtId="0" fontId="11" fillId="0" borderId="3" xfId="5" quotePrefix="1" applyFont="1" applyFill="1" applyBorder="1" applyAlignment="1">
      <alignment horizontal="center"/>
    </xf>
    <xf numFmtId="5" fontId="9" fillId="0" borderId="0" xfId="5" applyNumberFormat="1" applyFont="1" applyFill="1" applyProtection="1"/>
    <xf numFmtId="164" fontId="9" fillId="0" borderId="0" xfId="3" applyNumberFormat="1" applyFont="1" applyFill="1"/>
    <xf numFmtId="0" fontId="0" fillId="0" borderId="0" xfId="4" applyFont="1" applyFill="1"/>
    <xf numFmtId="5" fontId="9" fillId="0" borderId="1" xfId="5" applyNumberFormat="1" applyFont="1" applyFill="1" applyBorder="1" applyProtection="1"/>
    <xf numFmtId="5" fontId="9" fillId="0" borderId="4" xfId="5" applyNumberFormat="1" applyFont="1" applyFill="1" applyBorder="1" applyProtection="1"/>
    <xf numFmtId="164" fontId="9" fillId="0" borderId="1" xfId="3" applyNumberFormat="1" applyFont="1" applyFill="1" applyBorder="1"/>
    <xf numFmtId="164" fontId="9" fillId="0" borderId="4" xfId="3" applyNumberFormat="1" applyFont="1" applyFill="1" applyBorder="1"/>
    <xf numFmtId="5" fontId="4" fillId="0" borderId="0" xfId="4" applyNumberFormat="1" applyFont="1" applyFill="1" applyBorder="1" applyProtection="1">
      <protection locked="0"/>
    </xf>
    <xf numFmtId="164" fontId="4" fillId="0" borderId="0" xfId="3" applyNumberFormat="1" applyFont="1" applyFill="1" applyBorder="1" applyProtection="1">
      <protection locked="0"/>
    </xf>
    <xf numFmtId="37" fontId="3" fillId="0" borderId="0" xfId="4" applyNumberFormat="1" applyFont="1" applyFill="1" applyBorder="1" applyProtection="1"/>
    <xf numFmtId="5" fontId="9" fillId="0" borderId="0" xfId="5" applyNumberFormat="1" applyFont="1" applyFill="1" applyBorder="1" applyProtection="1"/>
    <xf numFmtId="164" fontId="9" fillId="0" borderId="0" xfId="3" applyNumberFormat="1" applyFont="1" applyFill="1" applyBorder="1"/>
    <xf numFmtId="0" fontId="8" fillId="0" borderId="0" xfId="19" applyFont="1"/>
    <xf numFmtId="0" fontId="8" fillId="0" borderId="0" xfId="19"/>
    <xf numFmtId="0" fontId="8" fillId="0" borderId="0" xfId="19" applyFont="1" applyAlignment="1">
      <alignment horizontal="center"/>
    </xf>
    <xf numFmtId="0" fontId="8" fillId="0" borderId="0" xfId="19" applyAlignment="1">
      <alignment horizontal="left"/>
    </xf>
    <xf numFmtId="3" fontId="8" fillId="0" borderId="0" xfId="19" applyNumberFormat="1" applyFill="1"/>
    <xf numFmtId="0" fontId="8" fillId="0" borderId="4" xfId="19" applyFont="1" applyBorder="1" applyAlignment="1">
      <alignment horizontal="left"/>
    </xf>
    <xf numFmtId="175" fontId="8" fillId="0" borderId="0" xfId="19" applyNumberFormat="1"/>
    <xf numFmtId="0" fontId="24" fillId="0" borderId="18" xfId="19" applyFont="1" applyBorder="1"/>
    <xf numFmtId="176" fontId="24" fillId="0" borderId="19" xfId="19" applyNumberFormat="1" applyFont="1" applyBorder="1"/>
    <xf numFmtId="0" fontId="24" fillId="0" borderId="20" xfId="19" applyFont="1" applyBorder="1"/>
    <xf numFmtId="10" fontId="8" fillId="0" borderId="0" xfId="3" applyNumberFormat="1" applyFont="1"/>
    <xf numFmtId="37" fontId="8" fillId="0" borderId="4" xfId="19" applyNumberFormat="1" applyBorder="1"/>
    <xf numFmtId="0" fontId="10" fillId="0" borderId="0" xfId="4" applyFont="1" applyFill="1"/>
    <xf numFmtId="173" fontId="9" fillId="0" borderId="0" xfId="16" applyNumberFormat="1" applyFont="1" applyFill="1"/>
    <xf numFmtId="0" fontId="3" fillId="0" borderId="1" xfId="4" applyFont="1" applyFill="1" applyBorder="1" applyAlignment="1"/>
    <xf numFmtId="5" fontId="3" fillId="0" borderId="0" xfId="20" applyNumberFormat="1" applyBorder="1" applyAlignment="1">
      <alignment horizontal="center"/>
    </xf>
    <xf numFmtId="5" fontId="3" fillId="0" borderId="1" xfId="20" quotePrefix="1" applyNumberFormat="1" applyBorder="1" applyAlignment="1">
      <alignment horizontal="center"/>
    </xf>
    <xf numFmtId="164" fontId="3" fillId="0" borderId="1" xfId="3" applyNumberFormat="1" applyFont="1" applyFill="1" applyBorder="1"/>
    <xf numFmtId="0" fontId="3" fillId="0" borderId="0" xfId="30" applyFont="1" applyFill="1" applyBorder="1"/>
    <xf numFmtId="1" fontId="3" fillId="0" borderId="0" xfId="1" applyNumberFormat="1" applyFont="1" applyFill="1" applyBorder="1" applyAlignment="1">
      <alignment horizontal="right"/>
    </xf>
    <xf numFmtId="0" fontId="29" fillId="0" borderId="0" xfId="30" applyFont="1" applyFill="1" applyBorder="1"/>
    <xf numFmtId="168" fontId="3" fillId="0" borderId="0" xfId="1" applyNumberFormat="1" applyFont="1" applyFill="1" applyBorder="1"/>
    <xf numFmtId="169" fontId="28" fillId="0" borderId="0" xfId="2" applyNumberFormat="1" applyFont="1" applyFill="1" applyBorder="1" applyAlignment="1" applyProtection="1">
      <alignment horizontal="right" vertical="top"/>
      <protection locked="0"/>
    </xf>
    <xf numFmtId="180" fontId="9" fillId="0" borderId="0" xfId="5" applyNumberFormat="1" applyFill="1"/>
    <xf numFmtId="0" fontId="0" fillId="0" borderId="0" xfId="4" quotePrefix="1" applyFont="1" applyFill="1" applyAlignment="1">
      <alignment horizontal="center"/>
    </xf>
    <xf numFmtId="0" fontId="3" fillId="0" borderId="0" xfId="4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11" fillId="0" borderId="1" xfId="5" applyFont="1" applyFill="1" applyBorder="1" applyAlignment="1">
      <alignment horizontal="center"/>
    </xf>
    <xf numFmtId="0" fontId="16" fillId="0" borderId="0" xfId="4" applyFont="1" applyFill="1"/>
    <xf numFmtId="0" fontId="32" fillId="0" borderId="0" xfId="4" applyFont="1" applyFill="1"/>
    <xf numFmtId="0" fontId="33" fillId="0" borderId="0" xfId="32" applyFill="1" applyBorder="1"/>
    <xf numFmtId="167" fontId="33" fillId="0" borderId="0" xfId="32" applyNumberFormat="1" applyFill="1" applyBorder="1" applyProtection="1"/>
    <xf numFmtId="167" fontId="3" fillId="0" borderId="0" xfId="32" applyNumberFormat="1" applyFont="1" applyFill="1" applyBorder="1" applyProtection="1"/>
    <xf numFmtId="167" fontId="33" fillId="0" borderId="4" xfId="32" applyNumberFormat="1" applyFill="1" applyBorder="1" applyProtection="1"/>
    <xf numFmtId="5" fontId="3" fillId="0" borderId="0" xfId="4" applyNumberFormat="1" applyFont="1" applyFill="1" applyBorder="1"/>
    <xf numFmtId="37" fontId="3" fillId="0" borderId="1" xfId="4" applyNumberFormat="1" applyFill="1" applyBorder="1" applyProtection="1"/>
    <xf numFmtId="0" fontId="3" fillId="0" borderId="1" xfId="4" applyFont="1" applyFill="1" applyBorder="1" applyAlignment="1">
      <alignment horizontal="center"/>
    </xf>
    <xf numFmtId="0" fontId="79" fillId="0" borderId="0" xfId="302" applyFont="1" applyBorder="1" applyAlignment="1">
      <alignment horizontal="centerContinuous" vertical="center"/>
    </xf>
    <xf numFmtId="0" fontId="80" fillId="0" borderId="0" xfId="302" applyFont="1" applyBorder="1" applyAlignment="1">
      <alignment vertical="center"/>
    </xf>
    <xf numFmtId="0" fontId="80" fillId="0" borderId="0" xfId="302" applyFont="1" applyAlignment="1">
      <alignment vertical="center"/>
    </xf>
    <xf numFmtId="0" fontId="81" fillId="0" borderId="0" xfId="302" applyFont="1" applyBorder="1" applyAlignment="1">
      <alignment horizontal="centerContinuous" vertical="center"/>
    </xf>
    <xf numFmtId="0" fontId="82" fillId="0" borderId="0" xfId="302" applyFont="1" applyBorder="1" applyAlignment="1">
      <alignment vertical="center"/>
    </xf>
    <xf numFmtId="0" fontId="82" fillId="0" borderId="0" xfId="302" applyFont="1" applyAlignment="1">
      <alignment vertical="center"/>
    </xf>
    <xf numFmtId="0" fontId="79" fillId="0" borderId="0" xfId="302" applyFont="1" applyBorder="1" applyAlignment="1">
      <alignment horizontal="center" vertical="center"/>
    </xf>
    <xf numFmtId="0" fontId="83" fillId="0" borderId="0" xfId="302" applyFont="1" applyBorder="1" applyAlignment="1">
      <alignment vertical="center"/>
    </xf>
    <xf numFmtId="0" fontId="84" fillId="0" borderId="0" xfId="302" applyFont="1" applyBorder="1" applyAlignment="1">
      <alignment vertical="center"/>
    </xf>
    <xf numFmtId="6" fontId="84" fillId="0" borderId="0" xfId="302" applyNumberFormat="1" applyFont="1" applyBorder="1" applyAlignment="1">
      <alignment horizontal="centerContinuous" vertical="center"/>
    </xf>
    <xf numFmtId="0" fontId="84" fillId="0" borderId="0" xfId="302" applyFont="1" applyBorder="1" applyAlignment="1">
      <alignment horizontal="centerContinuous" vertical="center"/>
    </xf>
    <xf numFmtId="0" fontId="85" fillId="0" borderId="0" xfId="302" applyFont="1" applyBorder="1" applyAlignment="1">
      <alignment horizontal="center" vertical="center"/>
    </xf>
    <xf numFmtId="0" fontId="86" fillId="0" borderId="0" xfId="302" applyFont="1" applyBorder="1" applyAlignment="1">
      <alignment horizontal="left" vertical="center"/>
    </xf>
    <xf numFmtId="0" fontId="84" fillId="0" borderId="0" xfId="302" applyFont="1" applyAlignment="1">
      <alignment vertical="center"/>
    </xf>
    <xf numFmtId="0" fontId="86" fillId="0" borderId="0" xfId="302" applyFont="1" applyBorder="1" applyAlignment="1">
      <alignment vertical="center"/>
    </xf>
    <xf numFmtId="0" fontId="86" fillId="0" borderId="12" xfId="302" applyFont="1" applyBorder="1" applyAlignment="1">
      <alignment vertical="center"/>
    </xf>
    <xf numFmtId="0" fontId="87" fillId="0" borderId="40" xfId="302" applyFont="1" applyBorder="1" applyAlignment="1">
      <alignment horizontal="center" vertical="center"/>
    </xf>
    <xf numFmtId="0" fontId="86" fillId="0" borderId="12" xfId="302" applyFont="1" applyBorder="1" applyAlignment="1">
      <alignment horizontal="centerContinuous" vertical="center"/>
    </xf>
    <xf numFmtId="0" fontId="86" fillId="0" borderId="13" xfId="302" applyFont="1" applyFill="1" applyBorder="1" applyAlignment="1">
      <alignment horizontal="centerContinuous" vertical="center"/>
    </xf>
    <xf numFmtId="0" fontId="86" fillId="0" borderId="18" xfId="302" applyFont="1" applyBorder="1" applyAlignment="1">
      <alignment horizontal="centerContinuous" vertical="center"/>
    </xf>
    <xf numFmtId="0" fontId="86" fillId="0" borderId="19" xfId="302" applyFont="1" applyBorder="1" applyAlignment="1">
      <alignment horizontal="centerContinuous" vertical="center"/>
    </xf>
    <xf numFmtId="0" fontId="86" fillId="0" borderId="20" xfId="302" applyFont="1" applyBorder="1" applyAlignment="1">
      <alignment horizontal="centerContinuous" vertical="center"/>
    </xf>
    <xf numFmtId="0" fontId="86" fillId="49" borderId="0" xfId="302" applyFont="1" applyFill="1" applyBorder="1" applyAlignment="1">
      <alignment vertical="center"/>
    </xf>
    <xf numFmtId="0" fontId="82" fillId="49" borderId="0" xfId="302" applyFont="1" applyFill="1" applyBorder="1" applyAlignment="1">
      <alignment vertical="center"/>
    </xf>
    <xf numFmtId="0" fontId="86" fillId="0" borderId="0" xfId="302" applyFont="1" applyAlignment="1">
      <alignment vertical="center"/>
    </xf>
    <xf numFmtId="0" fontId="86" fillId="0" borderId="14" xfId="302" applyFont="1" applyBorder="1" applyAlignment="1">
      <alignment vertical="center"/>
    </xf>
    <xf numFmtId="0" fontId="86" fillId="0" borderId="35" xfId="302" applyFont="1" applyBorder="1" applyAlignment="1">
      <alignment horizontal="center" vertical="center"/>
    </xf>
    <xf numFmtId="0" fontId="86" fillId="0" borderId="12" xfId="302" applyFont="1" applyBorder="1" applyAlignment="1">
      <alignment horizontal="center" vertical="center"/>
    </xf>
    <xf numFmtId="0" fontId="86" fillId="0" borderId="13" xfId="302" applyFont="1" applyFill="1" applyBorder="1" applyAlignment="1">
      <alignment horizontal="center" vertical="center"/>
    </xf>
    <xf numFmtId="0" fontId="86" fillId="0" borderId="2" xfId="302" applyFont="1" applyBorder="1" applyAlignment="1">
      <alignment horizontal="center" vertical="center"/>
    </xf>
    <xf numFmtId="0" fontId="86" fillId="0" borderId="2" xfId="302" applyFont="1" applyFill="1" applyBorder="1" applyAlignment="1">
      <alignment horizontal="center" vertical="center"/>
    </xf>
    <xf numFmtId="0" fontId="86" fillId="0" borderId="14" xfId="302" applyFont="1" applyBorder="1" applyAlignment="1">
      <alignment horizontal="center" vertical="center"/>
    </xf>
    <xf numFmtId="0" fontId="87" fillId="0" borderId="15" xfId="302" applyFont="1" applyBorder="1" applyAlignment="1">
      <alignment horizontal="center" vertical="center"/>
    </xf>
    <xf numFmtId="0" fontId="89" fillId="0" borderId="14" xfId="302" applyFont="1" applyBorder="1" applyAlignment="1">
      <alignment horizontal="center" vertical="center"/>
    </xf>
    <xf numFmtId="0" fontId="86" fillId="0" borderId="33" xfId="302" applyFont="1" applyBorder="1" applyAlignment="1">
      <alignment horizontal="center" vertical="center"/>
    </xf>
    <xf numFmtId="6" fontId="86" fillId="0" borderId="16" xfId="302" quotePrefix="1" applyNumberFormat="1" applyFont="1" applyBorder="1" applyAlignment="1">
      <alignment horizontal="center" vertical="center"/>
    </xf>
    <xf numFmtId="0" fontId="86" fillId="0" borderId="17" xfId="302" applyFont="1" applyFill="1" applyBorder="1" applyAlignment="1">
      <alignment horizontal="center" vertical="center"/>
    </xf>
    <xf numFmtId="0" fontId="86" fillId="0" borderId="1" xfId="302" applyFont="1" applyBorder="1" applyAlignment="1">
      <alignment horizontal="center" vertical="center"/>
    </xf>
    <xf numFmtId="6" fontId="86" fillId="0" borderId="1" xfId="302" quotePrefix="1" applyNumberFormat="1" applyFont="1" applyBorder="1" applyAlignment="1">
      <alignment horizontal="center" vertical="center"/>
    </xf>
    <xf numFmtId="0" fontId="87" fillId="0" borderId="16" xfId="302" applyFont="1" applyBorder="1" applyAlignment="1">
      <alignment horizontal="center" vertical="center"/>
    </xf>
    <xf numFmtId="6" fontId="86" fillId="0" borderId="17" xfId="302" quotePrefix="1" applyNumberFormat="1" applyFont="1" applyBorder="1" applyAlignment="1">
      <alignment horizontal="center" vertical="center"/>
    </xf>
    <xf numFmtId="6" fontId="82" fillId="0" borderId="0" xfId="302" applyNumberFormat="1" applyFont="1" applyBorder="1" applyAlignment="1">
      <alignment vertical="center"/>
    </xf>
    <xf numFmtId="0" fontId="82" fillId="0" borderId="14" xfId="302" applyFont="1" applyBorder="1" applyAlignment="1">
      <alignment vertical="center"/>
    </xf>
    <xf numFmtId="37" fontId="82" fillId="0" borderId="35" xfId="302" applyNumberFormat="1" applyFont="1" applyBorder="1" applyAlignment="1">
      <alignment vertical="center"/>
    </xf>
    <xf numFmtId="6" fontId="82" fillId="0" borderId="14" xfId="2" applyNumberFormat="1" applyFont="1" applyFill="1" applyBorder="1" applyAlignment="1">
      <alignment vertical="center"/>
    </xf>
    <xf numFmtId="8" fontId="82" fillId="0" borderId="15" xfId="2" applyNumberFormat="1" applyFont="1" applyFill="1" applyBorder="1" applyAlignment="1">
      <alignment vertical="center"/>
    </xf>
    <xf numFmtId="6" fontId="82" fillId="0" borderId="0" xfId="2" applyNumberFormat="1" applyFont="1" applyFill="1" applyBorder="1" applyAlignment="1">
      <alignment vertical="center"/>
    </xf>
    <xf numFmtId="8" fontId="82" fillId="0" borderId="0" xfId="2" applyNumberFormat="1" applyFont="1" applyFill="1" applyBorder="1" applyAlignment="1">
      <alignment vertical="center"/>
    </xf>
    <xf numFmtId="6" fontId="82" fillId="0" borderId="15" xfId="2" applyNumberFormat="1" applyFont="1" applyFill="1" applyBorder="1" applyAlignment="1">
      <alignment vertical="center"/>
    </xf>
    <xf numFmtId="8" fontId="82" fillId="0" borderId="0" xfId="302" applyNumberFormat="1" applyFont="1" applyBorder="1" applyAlignment="1">
      <alignment vertical="center"/>
    </xf>
    <xf numFmtId="0" fontId="86" fillId="0" borderId="14" xfId="302" applyFont="1" applyBorder="1" applyAlignment="1">
      <alignment horizontal="left" vertical="center"/>
    </xf>
    <xf numFmtId="198" fontId="82" fillId="0" borderId="15" xfId="2" applyNumberFormat="1" applyFont="1" applyFill="1" applyBorder="1" applyAlignment="1">
      <alignment vertical="center"/>
    </xf>
    <xf numFmtId="5" fontId="82" fillId="0" borderId="0" xfId="2" applyNumberFormat="1" applyFont="1" applyFill="1" applyBorder="1" applyAlignment="1">
      <alignment vertical="center"/>
    </xf>
    <xf numFmtId="5" fontId="90" fillId="0" borderId="14" xfId="2" applyNumberFormat="1" applyFont="1" applyFill="1" applyBorder="1" applyAlignment="1">
      <alignment vertical="center"/>
    </xf>
    <xf numFmtId="6" fontId="82" fillId="48" borderId="41" xfId="2" applyNumberFormat="1" applyFont="1" applyFill="1" applyBorder="1" applyAlignment="1">
      <alignment vertical="center"/>
    </xf>
    <xf numFmtId="198" fontId="82" fillId="0" borderId="0" xfId="302" applyNumberFormat="1" applyFont="1" applyBorder="1" applyAlignment="1">
      <alignment vertical="center"/>
    </xf>
    <xf numFmtId="0" fontId="86" fillId="0" borderId="16" xfId="302" applyFont="1" applyBorder="1" applyAlignment="1">
      <alignment horizontal="left" vertical="center"/>
    </xf>
    <xf numFmtId="37" fontId="82" fillId="0" borderId="33" xfId="302" applyNumberFormat="1" applyFont="1" applyBorder="1" applyAlignment="1">
      <alignment vertical="center"/>
    </xf>
    <xf numFmtId="6" fontId="90" fillId="0" borderId="16" xfId="2" applyNumberFormat="1" applyFont="1" applyBorder="1" applyAlignment="1">
      <alignment vertical="center"/>
    </xf>
    <xf numFmtId="198" fontId="82" fillId="0" borderId="17" xfId="2" applyNumberFormat="1" applyFont="1" applyBorder="1" applyAlignment="1">
      <alignment vertical="center"/>
    </xf>
    <xf numFmtId="5" fontId="90" fillId="0" borderId="1" xfId="2" applyNumberFormat="1" applyFont="1" applyBorder="1" applyAlignment="1">
      <alignment vertical="center"/>
    </xf>
    <xf numFmtId="6" fontId="82" fillId="0" borderId="1" xfId="2" applyNumberFormat="1" applyFont="1" applyBorder="1" applyAlignment="1">
      <alignment vertical="center"/>
    </xf>
    <xf numFmtId="6" fontId="82" fillId="0" borderId="16" xfId="2" applyNumberFormat="1" applyFont="1" applyBorder="1" applyAlignment="1">
      <alignment vertical="center"/>
    </xf>
    <xf numFmtId="0" fontId="91" fillId="0" borderId="0" xfId="302" applyFont="1" applyBorder="1" applyAlignment="1">
      <alignment horizontal="right" vertical="center"/>
    </xf>
    <xf numFmtId="0" fontId="91" fillId="0" borderId="0" xfId="302" applyFont="1" applyBorder="1" applyAlignment="1">
      <alignment horizontal="left" vertical="center"/>
    </xf>
    <xf numFmtId="6" fontId="91" fillId="0" borderId="0" xfId="302" applyNumberFormat="1" applyFont="1" applyBorder="1" applyAlignment="1">
      <alignment horizontal="left" vertical="center"/>
    </xf>
    <xf numFmtId="5" fontId="91" fillId="0" borderId="0" xfId="302" applyNumberFormat="1" applyFont="1" applyBorder="1" applyAlignment="1">
      <alignment horizontal="left" vertical="center"/>
    </xf>
    <xf numFmtId="5" fontId="85" fillId="0" borderId="0" xfId="302" applyNumberFormat="1" applyFont="1" applyBorder="1" applyAlignment="1">
      <alignment horizontal="center" vertical="center"/>
    </xf>
    <xf numFmtId="5" fontId="86" fillId="0" borderId="18" xfId="302" applyNumberFormat="1" applyFont="1" applyBorder="1" applyAlignment="1">
      <alignment horizontal="centerContinuous" vertical="center"/>
    </xf>
    <xf numFmtId="5" fontId="86" fillId="0" borderId="19" xfId="302" applyNumberFormat="1" applyFont="1" applyBorder="1" applyAlignment="1">
      <alignment horizontal="centerContinuous" vertical="center"/>
    </xf>
    <xf numFmtId="5" fontId="86" fillId="0" borderId="2" xfId="302" applyNumberFormat="1" applyFont="1" applyBorder="1" applyAlignment="1">
      <alignment horizontal="center" vertical="center"/>
    </xf>
    <xf numFmtId="5" fontId="86" fillId="0" borderId="1" xfId="302" applyNumberFormat="1" applyFont="1" applyBorder="1" applyAlignment="1">
      <alignment horizontal="center" vertical="center"/>
    </xf>
    <xf numFmtId="5" fontId="82" fillId="0" borderId="0" xfId="302" applyNumberFormat="1" applyFont="1" applyAlignment="1">
      <alignment vertical="center"/>
    </xf>
    <xf numFmtId="5" fontId="82" fillId="0" borderId="1" xfId="2" applyNumberFormat="1" applyFont="1" applyBorder="1" applyAlignment="1">
      <alignment vertical="center"/>
    </xf>
    <xf numFmtId="0" fontId="92" fillId="0" borderId="0" xfId="302" applyFont="1" applyBorder="1" applyAlignment="1">
      <alignment vertical="center"/>
    </xf>
    <xf numFmtId="0" fontId="77" fillId="0" borderId="0" xfId="302" applyFont="1" applyBorder="1" applyAlignment="1">
      <alignment vertical="center"/>
    </xf>
    <xf numFmtId="0" fontId="93" fillId="0" borderId="12" xfId="302" applyFont="1" applyBorder="1" applyAlignment="1">
      <alignment horizontal="center" vertical="center"/>
    </xf>
    <xf numFmtId="0" fontId="94" fillId="0" borderId="0" xfId="302" applyFont="1" applyBorder="1" applyAlignment="1">
      <alignment horizontal="center" vertical="center"/>
    </xf>
    <xf numFmtId="0" fontId="86" fillId="0" borderId="14" xfId="302" applyFont="1" applyBorder="1" applyAlignment="1">
      <alignment horizontal="centerContinuous" vertical="center"/>
    </xf>
    <xf numFmtId="0" fontId="94" fillId="0" borderId="0" xfId="302" applyFont="1" applyFill="1" applyBorder="1" applyAlignment="1">
      <alignment horizontal="center" vertical="center"/>
    </xf>
    <xf numFmtId="0" fontId="86" fillId="0" borderId="16" xfId="302" applyFont="1" applyBorder="1" applyAlignment="1">
      <alignment horizontal="center" vertical="center"/>
    </xf>
    <xf numFmtId="0" fontId="95" fillId="0" borderId="0" xfId="302" applyFont="1" applyFill="1" applyBorder="1" applyAlignment="1">
      <alignment horizontal="center" vertical="center"/>
    </xf>
    <xf numFmtId="0" fontId="82" fillId="0" borderId="35" xfId="302" applyFont="1" applyBorder="1" applyAlignment="1">
      <alignment horizontal="center" vertical="center"/>
    </xf>
    <xf numFmtId="0" fontId="86" fillId="0" borderId="15" xfId="302" applyFont="1" applyFill="1" applyBorder="1" applyAlignment="1">
      <alignment horizontal="center" vertical="center"/>
    </xf>
    <xf numFmtId="0" fontId="82" fillId="0" borderId="0" xfId="302" applyFont="1" applyBorder="1" applyAlignment="1">
      <alignment horizontal="center" vertical="center"/>
    </xf>
    <xf numFmtId="5" fontId="82" fillId="0" borderId="0" xfId="302" applyNumberFormat="1" applyFont="1" applyBorder="1" applyAlignment="1">
      <alignment horizontal="center" vertical="center"/>
    </xf>
    <xf numFmtId="0" fontId="86" fillId="0" borderId="0" xfId="302" applyFont="1" applyFill="1" applyBorder="1" applyAlignment="1">
      <alignment horizontal="center" vertical="center"/>
    </xf>
    <xf numFmtId="0" fontId="82" fillId="0" borderId="14" xfId="302" applyFont="1" applyBorder="1" applyAlignment="1">
      <alignment horizontal="center" vertical="center"/>
    </xf>
    <xf numFmtId="0" fontId="91" fillId="0" borderId="0" xfId="302" applyFont="1" applyBorder="1" applyAlignment="1">
      <alignment vertical="center"/>
    </xf>
    <xf numFmtId="5" fontId="82" fillId="0" borderId="14" xfId="2" applyNumberFormat="1" applyFont="1" applyFill="1" applyBorder="1" applyAlignment="1">
      <alignment vertical="center"/>
    </xf>
    <xf numFmtId="198" fontId="91" fillId="0" borderId="0" xfId="2" applyNumberFormat="1" applyFont="1" applyFill="1" applyBorder="1" applyAlignment="1">
      <alignment vertical="center"/>
    </xf>
    <xf numFmtId="0" fontId="91" fillId="0" borderId="1" xfId="302" applyFont="1" applyBorder="1" applyAlignment="1">
      <alignment vertical="center"/>
    </xf>
    <xf numFmtId="0" fontId="91" fillId="0" borderId="1" xfId="302" applyFont="1" applyBorder="1" applyAlignment="1">
      <alignment horizontal="right" vertical="center"/>
    </xf>
    <xf numFmtId="0" fontId="91" fillId="0" borderId="1" xfId="302" applyFont="1" applyBorder="1" applyAlignment="1">
      <alignment horizontal="left" vertical="center"/>
    </xf>
    <xf numFmtId="6" fontId="91" fillId="0" borderId="1" xfId="302" applyNumberFormat="1" applyFont="1" applyBorder="1" applyAlignment="1">
      <alignment horizontal="left" vertical="center"/>
    </xf>
    <xf numFmtId="0" fontId="94" fillId="0" borderId="0" xfId="302" applyFont="1" applyAlignment="1">
      <alignment horizontal="center" vertical="center"/>
    </xf>
    <xf numFmtId="0" fontId="91" fillId="0" borderId="0" xfId="302" applyFont="1" applyAlignment="1">
      <alignment vertical="center"/>
    </xf>
    <xf numFmtId="199" fontId="96" fillId="0" borderId="0" xfId="302" applyNumberFormat="1" applyFont="1" applyBorder="1" applyAlignment="1">
      <alignment vertical="center"/>
    </xf>
    <xf numFmtId="0" fontId="94" fillId="0" borderId="0" xfId="302" applyFont="1" applyBorder="1" applyAlignment="1">
      <alignment horizontal="left" vertical="center"/>
    </xf>
    <xf numFmtId="0" fontId="91" fillId="0" borderId="0" xfId="302" applyFont="1" applyAlignment="1">
      <alignment horizontal="left" vertical="center"/>
    </xf>
    <xf numFmtId="164" fontId="91" fillId="0" borderId="0" xfId="302" applyNumberFormat="1" applyFont="1" applyAlignment="1">
      <alignment vertical="center"/>
    </xf>
    <xf numFmtId="10" fontId="91" fillId="0" borderId="0" xfId="302" applyNumberFormat="1" applyFont="1" applyAlignment="1">
      <alignment vertical="center"/>
    </xf>
    <xf numFmtId="0" fontId="95" fillId="0" borderId="0" xfId="302" applyFont="1" applyAlignment="1">
      <alignment horizontal="center" vertical="center"/>
    </xf>
    <xf numFmtId="164" fontId="91" fillId="0" borderId="0" xfId="302" applyNumberFormat="1" applyFont="1" applyAlignment="1">
      <alignment horizontal="center" vertical="center"/>
    </xf>
    <xf numFmtId="0" fontId="94" fillId="0" borderId="0" xfId="302" applyFont="1" applyAlignment="1">
      <alignment horizontal="left" vertical="center"/>
    </xf>
    <xf numFmtId="200" fontId="91" fillId="0" borderId="0" xfId="302" applyNumberFormat="1" applyFont="1" applyBorder="1" applyAlignment="1">
      <alignment vertical="center"/>
    </xf>
    <xf numFmtId="173" fontId="91" fillId="0" borderId="0" xfId="302" applyNumberFormat="1" applyFont="1" applyBorder="1" applyAlignment="1">
      <alignment vertical="center"/>
    </xf>
    <xf numFmtId="6" fontId="91" fillId="0" borderId="0" xfId="302" applyNumberFormat="1" applyFont="1" applyBorder="1" applyAlignment="1">
      <alignment vertical="center"/>
    </xf>
    <xf numFmtId="10" fontId="91" fillId="0" borderId="0" xfId="3" applyNumberFormat="1" applyFont="1" applyBorder="1" applyAlignment="1">
      <alignment vertical="center"/>
    </xf>
    <xf numFmtId="0" fontId="97" fillId="0" borderId="0" xfId="302" applyFont="1" applyAlignment="1">
      <alignment horizontal="center" vertical="center"/>
    </xf>
    <xf numFmtId="0" fontId="94" fillId="0" borderId="12" xfId="302" applyFont="1" applyBorder="1" applyAlignment="1">
      <alignment horizontal="left" vertical="center"/>
    </xf>
    <xf numFmtId="37" fontId="98" fillId="0" borderId="13" xfId="302" applyNumberFormat="1" applyFont="1" applyBorder="1" applyAlignment="1">
      <alignment vertical="center"/>
    </xf>
    <xf numFmtId="37" fontId="91" fillId="0" borderId="40" xfId="302" applyNumberFormat="1" applyFont="1" applyBorder="1" applyAlignment="1">
      <alignment vertical="center"/>
    </xf>
    <xf numFmtId="37" fontId="91" fillId="0" borderId="12" xfId="302" applyNumberFormat="1" applyFont="1" applyBorder="1" applyAlignment="1">
      <alignment vertical="center"/>
    </xf>
    <xf numFmtId="10" fontId="91" fillId="0" borderId="40" xfId="3" applyNumberFormat="1" applyFont="1" applyBorder="1" applyAlignment="1">
      <alignment vertical="center"/>
    </xf>
    <xf numFmtId="37" fontId="91" fillId="0" borderId="0" xfId="302" applyNumberFormat="1" applyFont="1" applyAlignment="1">
      <alignment vertical="center"/>
    </xf>
    <xf numFmtId="0" fontId="94" fillId="0" borderId="14" xfId="302" applyFont="1" applyBorder="1" applyAlignment="1">
      <alignment horizontal="left" vertical="center"/>
    </xf>
    <xf numFmtId="37" fontId="98" fillId="0" borderId="15" xfId="302" applyNumberFormat="1" applyFont="1" applyBorder="1" applyAlignment="1">
      <alignment vertical="center"/>
    </xf>
    <xf numFmtId="37" fontId="91" fillId="0" borderId="35" xfId="302" applyNumberFormat="1" applyFont="1" applyBorder="1" applyAlignment="1">
      <alignment vertical="center"/>
    </xf>
    <xf numFmtId="37" fontId="91" fillId="0" borderId="14" xfId="302" applyNumberFormat="1" applyFont="1" applyBorder="1" applyAlignment="1">
      <alignment vertical="center"/>
    </xf>
    <xf numFmtId="10" fontId="91" fillId="0" borderId="35" xfId="3" applyNumberFormat="1" applyFont="1" applyBorder="1" applyAlignment="1">
      <alignment vertical="center"/>
    </xf>
    <xf numFmtId="0" fontId="94" fillId="0" borderId="14" xfId="302" applyFont="1" applyBorder="1" applyAlignment="1">
      <alignment horizontal="left" vertical="center" indent="2"/>
    </xf>
    <xf numFmtId="37" fontId="91" fillId="0" borderId="15" xfId="302" applyNumberFormat="1" applyFont="1" applyBorder="1" applyAlignment="1">
      <alignment vertical="center"/>
    </xf>
    <xf numFmtId="0" fontId="91" fillId="0" borderId="14" xfId="302" applyFont="1" applyBorder="1" applyAlignment="1">
      <alignment vertical="center"/>
    </xf>
    <xf numFmtId="10" fontId="91" fillId="0" borderId="35" xfId="302" applyNumberFormat="1" applyFont="1" applyBorder="1" applyAlignment="1">
      <alignment vertical="center"/>
    </xf>
    <xf numFmtId="0" fontId="94" fillId="0" borderId="16" xfId="302" applyFont="1" applyBorder="1" applyAlignment="1">
      <alignment horizontal="left" vertical="center" indent="1"/>
    </xf>
    <xf numFmtId="37" fontId="91" fillId="0" borderId="17" xfId="302" applyNumberFormat="1" applyFont="1" applyBorder="1" applyAlignment="1">
      <alignment vertical="center"/>
    </xf>
    <xf numFmtId="37" fontId="91" fillId="0" borderId="33" xfId="302" applyNumberFormat="1" applyFont="1" applyBorder="1" applyAlignment="1">
      <alignment vertical="center"/>
    </xf>
    <xf numFmtId="37" fontId="91" fillId="0" borderId="16" xfId="302" applyNumberFormat="1" applyFont="1" applyBorder="1" applyAlignment="1">
      <alignment vertical="center"/>
    </xf>
    <xf numFmtId="10" fontId="91" fillId="0" borderId="33" xfId="3" applyNumberFormat="1" applyFont="1" applyBorder="1" applyAlignment="1">
      <alignment vertical="center"/>
    </xf>
    <xf numFmtId="0" fontId="94" fillId="0" borderId="0" xfId="302" applyFont="1" applyAlignment="1">
      <alignment horizontal="left" vertical="center" indent="1"/>
    </xf>
    <xf numFmtId="0" fontId="94" fillId="0" borderId="0" xfId="302" applyFont="1" applyAlignment="1">
      <alignment vertical="center"/>
    </xf>
    <xf numFmtId="37" fontId="82" fillId="0" borderId="0" xfId="302" applyNumberFormat="1" applyFont="1" applyAlignment="1">
      <alignment vertical="center"/>
    </xf>
    <xf numFmtId="0" fontId="6" fillId="0" borderId="0" xfId="4" quotePrefix="1" applyFont="1" applyFill="1" applyBorder="1" applyAlignment="1">
      <alignment horizontal="center"/>
    </xf>
    <xf numFmtId="10" fontId="3" fillId="0" borderId="1" xfId="3" applyNumberFormat="1" applyFont="1" applyFill="1" applyBorder="1"/>
    <xf numFmtId="0" fontId="0" fillId="0" borderId="0" xfId="0" applyFill="1" applyBorder="1"/>
    <xf numFmtId="10" fontId="3" fillId="0" borderId="0" xfId="4" applyNumberFormat="1" applyFill="1"/>
    <xf numFmtId="167" fontId="0" fillId="0" borderId="0" xfId="0" applyNumberFormat="1" applyFill="1" applyBorder="1" applyProtection="1"/>
    <xf numFmtId="10" fontId="3" fillId="0" borderId="1" xfId="4" applyNumberFormat="1" applyFill="1" applyBorder="1"/>
    <xf numFmtId="10" fontId="4" fillId="0" borderId="1" xfId="3" applyNumberFormat="1" applyFont="1" applyFill="1" applyBorder="1" applyProtection="1">
      <protection locked="0"/>
    </xf>
    <xf numFmtId="167" fontId="3" fillId="0" borderId="0" xfId="0" applyNumberFormat="1" applyFont="1" applyFill="1" applyBorder="1" applyProtection="1"/>
    <xf numFmtId="10" fontId="4" fillId="0" borderId="4" xfId="3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10" fontId="3" fillId="0" borderId="0" xfId="4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27" fillId="0" borderId="12" xfId="0" applyFont="1" applyFill="1" applyBorder="1" applyAlignment="1">
      <alignment horizontal="left"/>
    </xf>
    <xf numFmtId="0" fontId="3" fillId="0" borderId="2" xfId="0" applyFont="1" applyFill="1" applyBorder="1"/>
    <xf numFmtId="0" fontId="3" fillId="0" borderId="13" xfId="0" applyFont="1" applyFill="1" applyBorder="1"/>
    <xf numFmtId="0" fontId="3" fillId="0" borderId="14" xfId="0" applyFont="1" applyFill="1" applyBorder="1"/>
    <xf numFmtId="0" fontId="3" fillId="0" borderId="0" xfId="0" applyFont="1" applyFill="1" applyBorder="1"/>
    <xf numFmtId="1" fontId="3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top"/>
      <protection locked="0"/>
    </xf>
    <xf numFmtId="177" fontId="28" fillId="0" borderId="0" xfId="0" applyNumberFormat="1" applyFont="1" applyFill="1" applyBorder="1" applyAlignment="1" applyProtection="1">
      <alignment horizontal="right" vertical="top"/>
      <protection locked="0"/>
    </xf>
    <xf numFmtId="181" fontId="28" fillId="0" borderId="0" xfId="0" applyNumberFormat="1" applyFont="1" applyFill="1" applyBorder="1" applyAlignment="1" applyProtection="1">
      <alignment horizontal="right" vertical="top"/>
      <protection locked="0"/>
    </xf>
    <xf numFmtId="0" fontId="29" fillId="0" borderId="0" xfId="0" applyFont="1" applyFill="1"/>
    <xf numFmtId="0" fontId="29" fillId="0" borderId="0" xfId="0" applyFont="1" applyFill="1" applyBorder="1"/>
    <xf numFmtId="177" fontId="29" fillId="0" borderId="0" xfId="0" applyNumberFormat="1" applyFont="1" applyFill="1"/>
    <xf numFmtId="178" fontId="29" fillId="0" borderId="0" xfId="0" applyNumberFormat="1" applyFont="1" applyFill="1"/>
    <xf numFmtId="3" fontId="27" fillId="0" borderId="0" xfId="0" applyNumberFormat="1" applyFont="1" applyFill="1" applyBorder="1"/>
    <xf numFmtId="3" fontId="3" fillId="0" borderId="0" xfId="0" applyNumberFormat="1" applyFont="1" applyFill="1" applyBorder="1"/>
    <xf numFmtId="8" fontId="3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178" fontId="3" fillId="0" borderId="0" xfId="0" applyNumberFormat="1" applyFont="1" applyFill="1" applyBorder="1"/>
    <xf numFmtId="3" fontId="29" fillId="0" borderId="0" xfId="0" applyNumberFormat="1" applyFont="1" applyFill="1" applyBorder="1"/>
    <xf numFmtId="6" fontId="29" fillId="0" borderId="0" xfId="0" applyNumberFormat="1" applyFont="1" applyFill="1" applyBorder="1"/>
    <xf numFmtId="177" fontId="3" fillId="0" borderId="0" xfId="0" applyNumberFormat="1" applyFont="1" applyFill="1"/>
    <xf numFmtId="181" fontId="3" fillId="0" borderId="0" xfId="0" applyNumberFormat="1" applyFont="1" applyFill="1"/>
    <xf numFmtId="177" fontId="3" fillId="0" borderId="0" xfId="0" applyNumberFormat="1" applyFont="1" applyFill="1" applyBorder="1"/>
    <xf numFmtId="181" fontId="3" fillId="0" borderId="0" xfId="0" applyNumberFormat="1" applyFont="1" applyFill="1" applyBorder="1"/>
    <xf numFmtId="8" fontId="30" fillId="0" borderId="0" xfId="0" applyNumberFormat="1" applyFont="1" applyFill="1" applyBorder="1"/>
    <xf numFmtId="0" fontId="30" fillId="0" borderId="0" xfId="0" applyFont="1" applyFill="1" applyBorder="1"/>
    <xf numFmtId="177" fontId="30" fillId="0" borderId="0" xfId="0" applyNumberFormat="1" applyFont="1" applyFill="1" applyBorder="1" applyAlignment="1" applyProtection="1">
      <alignment horizontal="right" vertical="top"/>
      <protection locked="0"/>
    </xf>
    <xf numFmtId="178" fontId="28" fillId="0" borderId="0" xfId="0" applyNumberFormat="1" applyFont="1" applyFill="1" applyBorder="1" applyAlignment="1" applyProtection="1">
      <alignment horizontal="right" vertical="top"/>
      <protection locked="0"/>
    </xf>
    <xf numFmtId="8" fontId="3" fillId="0" borderId="0" xfId="0" applyNumberFormat="1" applyFont="1" applyFill="1"/>
    <xf numFmtId="177" fontId="29" fillId="0" borderId="0" xfId="0" applyNumberFormat="1" applyFont="1" applyFill="1" applyBorder="1"/>
    <xf numFmtId="8" fontId="29" fillId="0" borderId="0" xfId="0" applyNumberFormat="1" applyFont="1" applyFill="1" applyBorder="1"/>
    <xf numFmtId="0" fontId="3" fillId="0" borderId="16" xfId="0" applyFont="1" applyFill="1" applyBorder="1"/>
    <xf numFmtId="0" fontId="3" fillId="0" borderId="1" xfId="0" applyFont="1" applyFill="1" applyBorder="1"/>
    <xf numFmtId="3" fontId="3" fillId="0" borderId="1" xfId="0" applyNumberFormat="1" applyFont="1" applyFill="1" applyBorder="1"/>
    <xf numFmtId="6" fontId="3" fillId="0" borderId="1" xfId="0" applyNumberFormat="1" applyFont="1" applyFill="1" applyBorder="1"/>
    <xf numFmtId="175" fontId="3" fillId="0" borderId="1" xfId="0" applyNumberFormat="1" applyFont="1" applyFill="1" applyBorder="1"/>
    <xf numFmtId="3" fontId="3" fillId="0" borderId="0" xfId="0" applyNumberFormat="1" applyFont="1" applyFill="1"/>
    <xf numFmtId="175" fontId="29" fillId="0" borderId="0" xfId="0" applyNumberFormat="1" applyFont="1" applyFill="1"/>
    <xf numFmtId="175" fontId="3" fillId="0" borderId="0" xfId="0" applyNumberFormat="1" applyFont="1" applyFill="1"/>
    <xf numFmtId="6" fontId="3" fillId="0" borderId="0" xfId="0" applyNumberFormat="1" applyFont="1" applyFill="1"/>
    <xf numFmtId="3" fontId="29" fillId="0" borderId="0" xfId="0" applyNumberFormat="1" applyFont="1" applyFill="1"/>
    <xf numFmtId="178" fontId="31" fillId="0" borderId="0" xfId="0" applyNumberFormat="1" applyFont="1" applyFill="1" applyBorder="1" applyAlignment="1" applyProtection="1">
      <alignment horizontal="right" vertical="top"/>
      <protection locked="0"/>
    </xf>
    <xf numFmtId="179" fontId="3" fillId="0" borderId="0" xfId="0" applyNumberFormat="1" applyFont="1" applyFill="1"/>
    <xf numFmtId="0" fontId="0" fillId="0" borderId="14" xfId="0" applyFont="1" applyFill="1" applyBorder="1"/>
    <xf numFmtId="0" fontId="0" fillId="0" borderId="0" xfId="4" applyFont="1" applyFill="1" applyBorder="1" applyAlignment="1">
      <alignment horizontal="center"/>
    </xf>
    <xf numFmtId="0" fontId="86" fillId="0" borderId="0" xfId="302" applyFont="1" applyBorder="1" applyAlignment="1">
      <alignment horizontal="centerContinuous" vertical="center"/>
    </xf>
    <xf numFmtId="0" fontId="86" fillId="0" borderId="0" xfId="302" applyFont="1" applyBorder="1" applyAlignment="1">
      <alignment horizontal="center" vertical="center"/>
    </xf>
    <xf numFmtId="0" fontId="77" fillId="0" borderId="0" xfId="302" applyFont="1" applyBorder="1" applyAlignment="1">
      <alignment horizontal="center" vertical="center"/>
    </xf>
    <xf numFmtId="0" fontId="76" fillId="0" borderId="0" xfId="302" applyFont="1" applyBorder="1" applyAlignment="1">
      <alignment vertical="center"/>
    </xf>
    <xf numFmtId="164" fontId="82" fillId="0" borderId="0" xfId="3" applyNumberFormat="1" applyFont="1" applyBorder="1" applyAlignment="1">
      <alignment vertical="center"/>
    </xf>
    <xf numFmtId="6" fontId="76" fillId="0" borderId="0" xfId="2" applyNumberFormat="1" applyFont="1" applyFill="1" applyBorder="1" applyAlignment="1">
      <alignment vertical="center"/>
    </xf>
    <xf numFmtId="6" fontId="76" fillId="0" borderId="0" xfId="302" applyNumberFormat="1" applyFont="1" applyBorder="1" applyAlignment="1">
      <alignment vertical="center"/>
    </xf>
    <xf numFmtId="0" fontId="94" fillId="0" borderId="0" xfId="302" applyFont="1" applyAlignment="1">
      <alignment horizontal="center" vertical="center"/>
    </xf>
    <xf numFmtId="0" fontId="16" fillId="0" borderId="0" xfId="16" applyFont="1" applyFill="1" applyAlignment="1">
      <alignment horizontal="center"/>
    </xf>
    <xf numFmtId="0" fontId="9" fillId="0" borderId="1" xfId="16" applyFont="1" applyFill="1" applyBorder="1" applyAlignment="1">
      <alignment horizontal="center"/>
    </xf>
    <xf numFmtId="0" fontId="3" fillId="0" borderId="1" xfId="4" applyFont="1" applyFill="1" applyBorder="1" applyAlignment="1">
      <alignment horizontal="center"/>
    </xf>
    <xf numFmtId="0" fontId="3" fillId="0" borderId="0" xfId="4" applyFont="1" applyFill="1" applyAlignment="1">
      <alignment horizontal="left"/>
    </xf>
    <xf numFmtId="0" fontId="3" fillId="0" borderId="0" xfId="4" quotePrefix="1" applyFont="1" applyFill="1" applyAlignment="1">
      <alignment horizontal="left"/>
    </xf>
    <xf numFmtId="0" fontId="11" fillId="0" borderId="1" xfId="5" applyFont="1" applyFill="1" applyBorder="1" applyAlignment="1">
      <alignment horizontal="center"/>
    </xf>
    <xf numFmtId="0" fontId="5" fillId="0" borderId="0" xfId="4" quotePrefix="1" applyFont="1" applyFill="1" applyAlignment="1">
      <alignment horizontal="center"/>
    </xf>
    <xf numFmtId="0" fontId="5" fillId="0" borderId="0" xfId="4" applyFont="1" applyFill="1" applyAlignment="1">
      <alignment horizontal="center"/>
    </xf>
    <xf numFmtId="0" fontId="3" fillId="48" borderId="12" xfId="4" applyFont="1" applyFill="1" applyBorder="1" applyAlignment="1">
      <alignment horizontal="center"/>
    </xf>
    <xf numFmtId="0" fontId="3" fillId="48" borderId="2" xfId="4" applyFont="1" applyFill="1" applyBorder="1" applyAlignment="1">
      <alignment horizontal="center"/>
    </xf>
    <xf numFmtId="0" fontId="3" fillId="48" borderId="13" xfId="4" applyFont="1" applyFill="1" applyBorder="1" applyAlignment="1">
      <alignment horizontal="center"/>
    </xf>
    <xf numFmtId="0" fontId="3" fillId="48" borderId="16" xfId="4" applyFont="1" applyFill="1" applyBorder="1" applyAlignment="1">
      <alignment horizontal="center"/>
    </xf>
    <xf numFmtId="0" fontId="3" fillId="48" borderId="1" xfId="4" applyFont="1" applyFill="1" applyBorder="1" applyAlignment="1">
      <alignment horizontal="center"/>
    </xf>
    <xf numFmtId="0" fontId="3" fillId="48" borderId="17" xfId="4" applyFont="1" applyFill="1" applyBorder="1" applyAlignment="1">
      <alignment horizontal="center"/>
    </xf>
  </cellXfs>
  <cellStyles count="541">
    <cellStyle name="_x0013_" xfId="508"/>
    <cellStyle name="_Book1" xfId="509"/>
    <cellStyle name="_Book1 (2)" xfId="510"/>
    <cellStyle name="_Book2" xfId="511"/>
    <cellStyle name="_Chelan Debt Forecast 12.19.05" xfId="512"/>
    <cellStyle name="_Costs not in AURORA 06GRC" xfId="513"/>
    <cellStyle name="_Costs not in AURORA 2006GRC 6.15.06" xfId="514"/>
    <cellStyle name="_Costs not in AURORA 2007 Rate Case" xfId="515"/>
    <cellStyle name="_Costs not in KWI3000 '06Budget" xfId="516"/>
    <cellStyle name="_DEM-WP (C) Power Cost 2006GRC Order" xfId="517"/>
    <cellStyle name="_DEM-WP(C) Costs not in AURORA 2006GRC" xfId="518"/>
    <cellStyle name="_DEM-WP(C) Costs not in AURORA 2007GRC" xfId="519"/>
    <cellStyle name="_DEM-WP(C) Prod O&amp;M 2007GRC" xfId="520"/>
    <cellStyle name="_DEM-WP(C) Rate Year Sumas by Month Update Corrected" xfId="521"/>
    <cellStyle name="_Recon to Darrin's 5.11.05 proforma" xfId="522"/>
    <cellStyle name="_Tenaska Comparison" xfId="523"/>
    <cellStyle name="_VC 6.15.06 update on 06GRC power costs.xls Chart 1" xfId="524"/>
    <cellStyle name="_VC 6.15.06 update on 06GRC power costs.xls Chart 2" xfId="525"/>
    <cellStyle name="_VC 6.15.06 update on 06GRC power costs.xls Chart 3" xfId="526"/>
    <cellStyle name="0,0_x000d__x000a_NA_x000d__x000a_" xfId="527"/>
    <cellStyle name="20% - Accent1 2" xfId="39"/>
    <cellStyle name="20% - Accent1 3" xfId="40"/>
    <cellStyle name="20% - Accent1 4" xfId="41"/>
    <cellStyle name="20% - Accent1 5" xfId="42"/>
    <cellStyle name="20% - Accent1 6" xfId="43"/>
    <cellStyle name="20% - Accent2 2" xfId="44"/>
    <cellStyle name="20% - Accent2 3" xfId="45"/>
    <cellStyle name="20% - Accent2 4" xfId="46"/>
    <cellStyle name="20% - Accent2 5" xfId="47"/>
    <cellStyle name="20% - Accent2 6" xfId="48"/>
    <cellStyle name="20% - Accent3 2" xfId="49"/>
    <cellStyle name="20% - Accent3 3" xfId="50"/>
    <cellStyle name="20% - Accent3 4" xfId="51"/>
    <cellStyle name="20% - Accent3 5" xfId="52"/>
    <cellStyle name="20% - Accent3 6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6 2" xfId="64"/>
    <cellStyle name="20% - Accent6 3" xfId="65"/>
    <cellStyle name="20% - Accent6 4" xfId="66"/>
    <cellStyle name="20% - Accent6 5" xfId="67"/>
    <cellStyle name="20% - Accent6 6" xfId="68"/>
    <cellStyle name="40% - Accent1 2" xfId="69"/>
    <cellStyle name="40% - Accent1 3" xfId="70"/>
    <cellStyle name="40% - Accent1 4" xfId="71"/>
    <cellStyle name="40% - Accent1 5" xfId="72"/>
    <cellStyle name="40% - Accent1 6" xfId="73"/>
    <cellStyle name="40% - Accent2 2" xfId="74"/>
    <cellStyle name="40% - Accent2 3" xfId="75"/>
    <cellStyle name="40% - Accent2 4" xfId="76"/>
    <cellStyle name="40% - Accent2 5" xfId="77"/>
    <cellStyle name="40% - Accent2 6" xfId="78"/>
    <cellStyle name="40% - Accent3 2" xfId="79"/>
    <cellStyle name="40% - Accent3 3" xfId="80"/>
    <cellStyle name="40% - Accent3 4" xfId="81"/>
    <cellStyle name="40% - Accent3 5" xfId="82"/>
    <cellStyle name="40% - Accent3 6" xfId="83"/>
    <cellStyle name="40% - Accent4 2" xfId="84"/>
    <cellStyle name="40% - Accent4 3" xfId="85"/>
    <cellStyle name="40% - Accent4 4" xfId="86"/>
    <cellStyle name="40% - Accent4 5" xfId="87"/>
    <cellStyle name="40% - Accent4 6" xfId="88"/>
    <cellStyle name="40% - Accent5 2" xfId="89"/>
    <cellStyle name="40% - Accent5 3" xfId="90"/>
    <cellStyle name="40% - Accent5 4" xfId="91"/>
    <cellStyle name="40% - Accent5 5" xfId="92"/>
    <cellStyle name="40% - Accent5 6" xfId="93"/>
    <cellStyle name="40% - Accent6 2" xfId="94"/>
    <cellStyle name="40% - Accent6 3" xfId="95"/>
    <cellStyle name="40% - Accent6 4" xfId="96"/>
    <cellStyle name="40% - Accent6 5" xfId="97"/>
    <cellStyle name="40% - Accent6 6" xfId="98"/>
    <cellStyle name="60% - Accent1 2" xfId="99"/>
    <cellStyle name="60% - Accent1 3" xfId="100"/>
    <cellStyle name="60% - Accent1 4" xfId="101"/>
    <cellStyle name="60% - Accent1 5" xfId="102"/>
    <cellStyle name="60% - Accent1 6" xfId="103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3 2" xfId="109"/>
    <cellStyle name="60% - Accent3 3" xfId="110"/>
    <cellStyle name="60% - Accent3 4" xfId="111"/>
    <cellStyle name="60% - Accent3 5" xfId="112"/>
    <cellStyle name="60% - Accent3 6" xfId="113"/>
    <cellStyle name="60% - Accent4 2" xfId="114"/>
    <cellStyle name="60% - Accent4 3" xfId="115"/>
    <cellStyle name="60% - Accent4 4" xfId="116"/>
    <cellStyle name="60% - Accent4 5" xfId="117"/>
    <cellStyle name="60% - Accent4 6" xfId="118"/>
    <cellStyle name="60% - Accent5 2" xfId="119"/>
    <cellStyle name="60% - Accent5 3" xfId="120"/>
    <cellStyle name="60% - Accent5 4" xfId="121"/>
    <cellStyle name="60% - Accent5 5" xfId="122"/>
    <cellStyle name="60% - Accent5 6" xfId="123"/>
    <cellStyle name="60% - Accent6 2" xfId="124"/>
    <cellStyle name="60% - Accent6 3" xfId="125"/>
    <cellStyle name="60% - Accent6 4" xfId="126"/>
    <cellStyle name="60% - Accent6 5" xfId="127"/>
    <cellStyle name="60% - Accent6 6" xfId="128"/>
    <cellStyle name="Accent1 2" xfId="129"/>
    <cellStyle name="Accent1 3" xfId="130"/>
    <cellStyle name="Accent1 4" xfId="131"/>
    <cellStyle name="Accent1 5" xfId="132"/>
    <cellStyle name="Accent1 6" xfId="133"/>
    <cellStyle name="Accent2 2" xfId="134"/>
    <cellStyle name="Accent2 3" xfId="135"/>
    <cellStyle name="Accent2 4" xfId="136"/>
    <cellStyle name="Accent2 5" xfId="137"/>
    <cellStyle name="Accent2 6" xfId="138"/>
    <cellStyle name="Accent3 2" xfId="139"/>
    <cellStyle name="Accent3 3" xfId="140"/>
    <cellStyle name="Accent3 4" xfId="141"/>
    <cellStyle name="Accent3 5" xfId="142"/>
    <cellStyle name="Accent3 6" xfId="143"/>
    <cellStyle name="Accent4 2" xfId="144"/>
    <cellStyle name="Accent4 3" xfId="145"/>
    <cellStyle name="Accent4 4" xfId="146"/>
    <cellStyle name="Accent4 5" xfId="147"/>
    <cellStyle name="Accent4 6" xfId="148"/>
    <cellStyle name="Accent5 2" xfId="149"/>
    <cellStyle name="Accent5 3" xfId="150"/>
    <cellStyle name="Accent5 4" xfId="151"/>
    <cellStyle name="Accent5 5" xfId="152"/>
    <cellStyle name="Accent5 6" xfId="153"/>
    <cellStyle name="Accent6 2" xfId="154"/>
    <cellStyle name="Accent6 3" xfId="155"/>
    <cellStyle name="Accent6 4" xfId="156"/>
    <cellStyle name="Accent6 5" xfId="157"/>
    <cellStyle name="Accent6 6" xfId="158"/>
    <cellStyle name="ArrayHeading" xfId="159"/>
    <cellStyle name="Bad 2" xfId="160"/>
    <cellStyle name="Bad 3" xfId="161"/>
    <cellStyle name="Bad 4" xfId="162"/>
    <cellStyle name="Bad 5" xfId="163"/>
    <cellStyle name="Bad 6" xfId="164"/>
    <cellStyle name="BetweenMacros" xfId="165"/>
    <cellStyle name="Calculation 2" xfId="166"/>
    <cellStyle name="Calculation 3" xfId="167"/>
    <cellStyle name="Calculation 4" xfId="168"/>
    <cellStyle name="Calculation 5" xfId="169"/>
    <cellStyle name="Calculation 6" xfId="170"/>
    <cellStyle name="Check Cell 2" xfId="171"/>
    <cellStyle name="Check Cell 3" xfId="172"/>
    <cellStyle name="Check Cell 4" xfId="173"/>
    <cellStyle name="Check Cell 5" xfId="174"/>
    <cellStyle name="Check Cell 6" xfId="175"/>
    <cellStyle name="Column total in dollars" xfId="176"/>
    <cellStyle name="Comma" xfId="1" builtinId="3"/>
    <cellStyle name="Comma  - Style1" xfId="177"/>
    <cellStyle name="Comma  - Style1 2" xfId="178"/>
    <cellStyle name="Comma  - Style1 3" xfId="179"/>
    <cellStyle name="Comma  - Style2" xfId="180"/>
    <cellStyle name="Comma  - Style2 2" xfId="181"/>
    <cellStyle name="Comma  - Style2 3" xfId="182"/>
    <cellStyle name="Comma  - Style3" xfId="183"/>
    <cellStyle name="Comma  - Style3 2" xfId="184"/>
    <cellStyle name="Comma  - Style3 3" xfId="185"/>
    <cellStyle name="Comma  - Style4" xfId="186"/>
    <cellStyle name="Comma  - Style4 2" xfId="187"/>
    <cellStyle name="Comma  - Style4 3" xfId="188"/>
    <cellStyle name="Comma  - Style5" xfId="189"/>
    <cellStyle name="Comma  - Style5 2" xfId="190"/>
    <cellStyle name="Comma  - Style5 3" xfId="191"/>
    <cellStyle name="Comma  - Style6" xfId="192"/>
    <cellStyle name="Comma  - Style6 2" xfId="193"/>
    <cellStyle name="Comma  - Style6 3" xfId="194"/>
    <cellStyle name="Comma  - Style7" xfId="195"/>
    <cellStyle name="Comma  - Style7 2" xfId="196"/>
    <cellStyle name="Comma  - Style7 3" xfId="197"/>
    <cellStyle name="Comma  - Style8" xfId="198"/>
    <cellStyle name="Comma  - Style8 2" xfId="199"/>
    <cellStyle name="Comma  - Style8 3" xfId="200"/>
    <cellStyle name="Comma (0)" xfId="201"/>
    <cellStyle name="Comma [0] 2" xfId="202"/>
    <cellStyle name="Comma 10" xfId="203"/>
    <cellStyle name="Comma 2" xfId="6"/>
    <cellStyle name="Comma 2 2" xfId="7"/>
    <cellStyle name="Comma 2 2 2" xfId="204"/>
    <cellStyle name="Comma 2 3" xfId="205"/>
    <cellStyle name="Comma 2 4" xfId="206"/>
    <cellStyle name="Comma 2 5" xfId="207"/>
    <cellStyle name="Comma 2 6" xfId="208"/>
    <cellStyle name="Comma 3" xfId="22"/>
    <cellStyle name="Comma 3 2" xfId="209"/>
    <cellStyle name="Comma 4" xfId="23"/>
    <cellStyle name="Comma 4 2" xfId="210"/>
    <cellStyle name="Comma 5" xfId="211"/>
    <cellStyle name="Comma 6" xfId="212"/>
    <cellStyle name="Comma 6 2" xfId="213"/>
    <cellStyle name="Comma 7" xfId="214"/>
    <cellStyle name="Comma 8" xfId="215"/>
    <cellStyle name="Comma 9" xfId="216"/>
    <cellStyle name="Comma0" xfId="217"/>
    <cellStyle name="Comma0 - Style1" xfId="218"/>
    <cellStyle name="Comma0 - Style2" xfId="219"/>
    <cellStyle name="Comma0 - Style3" xfId="220"/>
    <cellStyle name="Comma0 - Style4" xfId="221"/>
    <cellStyle name="Comma0_1st Qtr 2009 Global Insight Factors" xfId="222"/>
    <cellStyle name="Comma1 - Style1" xfId="223"/>
    <cellStyle name="Curren - Style1" xfId="528"/>
    <cellStyle name="Curren - Style2" xfId="224"/>
    <cellStyle name="Curren - Style3" xfId="225"/>
    <cellStyle name="Curren - Style5" xfId="529"/>
    <cellStyle name="Currency" xfId="2" builtinId="4"/>
    <cellStyle name="Currency 2" xfId="24"/>
    <cellStyle name="Currency 2 2" xfId="226"/>
    <cellStyle name="Currency 2 2 2" xfId="227"/>
    <cellStyle name="Currency 3" xfId="33"/>
    <cellStyle name="Currency 3 2" xfId="228"/>
    <cellStyle name="Currency 4" xfId="229"/>
    <cellStyle name="Currency 5" xfId="230"/>
    <cellStyle name="Currency 6" xfId="231"/>
    <cellStyle name="Currency 7" xfId="232"/>
    <cellStyle name="Currency 8" xfId="233"/>
    <cellStyle name="Currency No Comma" xfId="234"/>
    <cellStyle name="Currency(0)" xfId="235"/>
    <cellStyle name="Currency0" xfId="236"/>
    <cellStyle name="Date" xfId="237"/>
    <cellStyle name="Date - Style1" xfId="238"/>
    <cellStyle name="Date - Style3" xfId="239"/>
    <cellStyle name="Date_1st Qtr 2009 Global Insight Factors" xfId="240"/>
    <cellStyle name="Entered" xfId="530"/>
    <cellStyle name="Explanatory Text 2" xfId="241"/>
    <cellStyle name="Explanatory Text 3" xfId="242"/>
    <cellStyle name="Explanatory Text 4" xfId="243"/>
    <cellStyle name="Explanatory Text 5" xfId="244"/>
    <cellStyle name="Explanatory Text 6" xfId="245"/>
    <cellStyle name="Fixed" xfId="246"/>
    <cellStyle name="Fixed2 - Style2" xfId="247"/>
    <cellStyle name="Fixed3 - Style3" xfId="531"/>
    <cellStyle name="General" xfId="8"/>
    <cellStyle name="Good 2" xfId="248"/>
    <cellStyle name="Good 3" xfId="249"/>
    <cellStyle name="Good 4" xfId="250"/>
    <cellStyle name="Good 5" xfId="251"/>
    <cellStyle name="Good 6" xfId="252"/>
    <cellStyle name="Grey" xfId="253"/>
    <cellStyle name="Grey 2" xfId="254"/>
    <cellStyle name="Grey 3" xfId="255"/>
    <cellStyle name="header" xfId="256"/>
    <cellStyle name="Header1" xfId="257"/>
    <cellStyle name="Header2" xfId="258"/>
    <cellStyle name="Heading 3 2" xfId="259"/>
    <cellStyle name="Heading 3 3" xfId="260"/>
    <cellStyle name="Heading 3 4" xfId="261"/>
    <cellStyle name="Heading 3 5" xfId="262"/>
    <cellStyle name="Heading 3 6" xfId="263"/>
    <cellStyle name="Heading 4 2" xfId="264"/>
    <cellStyle name="Heading 4 3" xfId="265"/>
    <cellStyle name="Heading 4 4" xfId="266"/>
    <cellStyle name="Heading 4 5" xfId="267"/>
    <cellStyle name="Heading 4 6" xfId="268"/>
    <cellStyle name="Heading1" xfId="269"/>
    <cellStyle name="Heading2" xfId="270"/>
    <cellStyle name="Hyperlink 2" xfId="271"/>
    <cellStyle name="Hyperlink 2 2" xfId="272"/>
    <cellStyle name="Hyperlink 2 3" xfId="273"/>
    <cellStyle name="Hyperlink 3" xfId="274"/>
    <cellStyle name="Hyperlink 4" xfId="275"/>
    <cellStyle name="Input [yellow]" xfId="276"/>
    <cellStyle name="Input [yellow] 2" xfId="277"/>
    <cellStyle name="Input [yellow] 3" xfId="278"/>
    <cellStyle name="Inst. Sections" xfId="279"/>
    <cellStyle name="Inst. Subheading" xfId="280"/>
    <cellStyle name="Linked Cell 2" xfId="281"/>
    <cellStyle name="Linked Cell 3" xfId="282"/>
    <cellStyle name="Linked Cell 4" xfId="283"/>
    <cellStyle name="Linked Cell 5" xfId="284"/>
    <cellStyle name="Linked Cell 6" xfId="285"/>
    <cellStyle name="Macro" xfId="286"/>
    <cellStyle name="macro descr" xfId="287"/>
    <cellStyle name="Macro_Comments" xfId="288"/>
    <cellStyle name="MacroText" xfId="289"/>
    <cellStyle name="Marathon" xfId="9"/>
    <cellStyle name="MCP" xfId="290"/>
    <cellStyle name="modified border" xfId="532"/>
    <cellStyle name="modified border1" xfId="533"/>
    <cellStyle name="Neutral 2" xfId="291"/>
    <cellStyle name="Neutral 3" xfId="292"/>
    <cellStyle name="Neutral 4" xfId="293"/>
    <cellStyle name="Neutral 5" xfId="294"/>
    <cellStyle name="Neutral 6" xfId="295"/>
    <cellStyle name="nONE" xfId="10"/>
    <cellStyle name="noninput" xfId="296"/>
    <cellStyle name="noninput 2" xfId="297"/>
    <cellStyle name="noninput 3" xfId="298"/>
    <cellStyle name="Normal" xfId="0" builtinId="0"/>
    <cellStyle name="Normal - Style1" xfId="299"/>
    <cellStyle name="Normal - Style1 2" xfId="300"/>
    <cellStyle name="Normal - Style1 3" xfId="301"/>
    <cellStyle name="Normal 10" xfId="32"/>
    <cellStyle name="Normal 11" xfId="34"/>
    <cellStyle name="Normal 117" xfId="302"/>
    <cellStyle name="Normal 12" xfId="35"/>
    <cellStyle name="Normal 122" xfId="303"/>
    <cellStyle name="Normal 13" xfId="36"/>
    <cellStyle name="Normal 14" xfId="37"/>
    <cellStyle name="Normal 15" xfId="304"/>
    <cellStyle name="Normal 16" xfId="305"/>
    <cellStyle name="Normal 17" xfId="540"/>
    <cellStyle name="Normal 2" xfId="11"/>
    <cellStyle name="Normal 2 2" xfId="25"/>
    <cellStyle name="Normal 2 2 2" xfId="306"/>
    <cellStyle name="Normal 2 2 2 10" xfId="307"/>
    <cellStyle name="Normal 2 3" xfId="308"/>
    <cellStyle name="Normal 2 3 2" xfId="309"/>
    <cellStyle name="Normal 2 3 2 2" xfId="310"/>
    <cellStyle name="Normal 2 3 3" xfId="311"/>
    <cellStyle name="Normal 2 3 4" xfId="312"/>
    <cellStyle name="Normal 2 3 5" xfId="313"/>
    <cellStyle name="Normal 2 3 6" xfId="314"/>
    <cellStyle name="Normal 2 4" xfId="315"/>
    <cellStyle name="Normal 2 5" xfId="316"/>
    <cellStyle name="Normal 2 5 2" xfId="317"/>
    <cellStyle name="Normal 2 6" xfId="318"/>
    <cellStyle name="Normal 2 7" xfId="319"/>
    <cellStyle name="Normal 2 8" xfId="320"/>
    <cellStyle name="Normal 2_Base Expense Data" xfId="534"/>
    <cellStyle name="Normal 3" xfId="12"/>
    <cellStyle name="Normal 3 2" xfId="26"/>
    <cellStyle name="Normal 3 2 2" xfId="321"/>
    <cellStyle name="Normal 3 2 2 2" xfId="322"/>
    <cellStyle name="Normal 3 2 3" xfId="323"/>
    <cellStyle name="Normal 3 2 4" xfId="324"/>
    <cellStyle name="Normal 3 2 5" xfId="325"/>
    <cellStyle name="Normal 3 2 6" xfId="326"/>
    <cellStyle name="Normal 3 3" xfId="327"/>
    <cellStyle name="Normal 3 4" xfId="328"/>
    <cellStyle name="Normal 3 5" xfId="329"/>
    <cellStyle name="Normal 3 5 2" xfId="330"/>
    <cellStyle name="Normal 3 6" xfId="331"/>
    <cellStyle name="Normal 3 7" xfId="332"/>
    <cellStyle name="Normal 3 8" xfId="333"/>
    <cellStyle name="Normal 4" xfId="13"/>
    <cellStyle name="Normal 4 2" xfId="27"/>
    <cellStyle name="Normal 4 3" xfId="334"/>
    <cellStyle name="Normal 4 4" xfId="335"/>
    <cellStyle name="Normal 4 5" xfId="336"/>
    <cellStyle name="Normal 4 6" xfId="337"/>
    <cellStyle name="Normal 4 7" xfId="338"/>
    <cellStyle name="Normal 5" xfId="14"/>
    <cellStyle name="Normal 5 2" xfId="339"/>
    <cellStyle name="Normal 6" xfId="15"/>
    <cellStyle name="Normal 6 2" xfId="340"/>
    <cellStyle name="Normal 6 3" xfId="341"/>
    <cellStyle name="Normal 7" xfId="21"/>
    <cellStyle name="Normal 7 2" xfId="342"/>
    <cellStyle name="Normal 7 2 2" xfId="343"/>
    <cellStyle name="Normal 8" xfId="28"/>
    <cellStyle name="Normal 8 2" xfId="344"/>
    <cellStyle name="Normal 8 3" xfId="345"/>
    <cellStyle name="Normal 9" xfId="29"/>
    <cellStyle name="Normal(0)" xfId="346"/>
    <cellStyle name="Normal_2007-2013 BPA Eligible kWh - calculation of estimated 2009 bpa rate under 4 scenarios" xfId="19"/>
    <cellStyle name="Normal_EAST Blocking 901 2" xfId="20"/>
    <cellStyle name="Normal_OR Blocking 04" xfId="5"/>
    <cellStyle name="Normal_OR Blocking 98 No Forecast" xfId="16"/>
    <cellStyle name="Normal_WA98" xfId="4"/>
    <cellStyle name="Normal_WAMar06 Blocking" xfId="30"/>
    <cellStyle name="Note 2" xfId="347"/>
    <cellStyle name="Note 3" xfId="348"/>
    <cellStyle name="Note 4" xfId="349"/>
    <cellStyle name="Note 5" xfId="350"/>
    <cellStyle name="Note 6" xfId="351"/>
    <cellStyle name="Number" xfId="352"/>
    <cellStyle name="Number 10" xfId="353"/>
    <cellStyle name="Number 11" xfId="354"/>
    <cellStyle name="Number 12" xfId="355"/>
    <cellStyle name="Number 13" xfId="356"/>
    <cellStyle name="Number 14" xfId="357"/>
    <cellStyle name="Number 2" xfId="358"/>
    <cellStyle name="Number 3" xfId="359"/>
    <cellStyle name="Number 4" xfId="360"/>
    <cellStyle name="Number 5" xfId="361"/>
    <cellStyle name="Number 6" xfId="362"/>
    <cellStyle name="Number 7" xfId="363"/>
    <cellStyle name="Number 8" xfId="364"/>
    <cellStyle name="Number 9" xfId="365"/>
    <cellStyle name="Output 2" xfId="366"/>
    <cellStyle name="Output 3" xfId="367"/>
    <cellStyle name="Output 4" xfId="368"/>
    <cellStyle name="Output 5" xfId="369"/>
    <cellStyle name="Output 6" xfId="370"/>
    <cellStyle name="Password" xfId="371"/>
    <cellStyle name="Percen - Style1" xfId="372"/>
    <cellStyle name="Percen - Style2" xfId="373"/>
    <cellStyle name="Percent" xfId="3" builtinId="5"/>
    <cellStyle name="Percent [2]" xfId="374"/>
    <cellStyle name="Percent [2] 2" xfId="375"/>
    <cellStyle name="Percent [2] 3" xfId="376"/>
    <cellStyle name="Percent 2" xfId="17"/>
    <cellStyle name="Percent 2 2" xfId="377"/>
    <cellStyle name="Percent 2 2 2" xfId="378"/>
    <cellStyle name="Percent 2 3" xfId="379"/>
    <cellStyle name="Percent 3" xfId="31"/>
    <cellStyle name="Percent 3 2" xfId="38"/>
    <cellStyle name="Percent 4" xfId="380"/>
    <cellStyle name="Percent 4 2" xfId="381"/>
    <cellStyle name="Percent 5" xfId="382"/>
    <cellStyle name="Percent 6" xfId="383"/>
    <cellStyle name="Percent 7" xfId="384"/>
    <cellStyle name="Percent 8" xfId="385"/>
    <cellStyle name="Percent(0)" xfId="386"/>
    <cellStyle name="Reports" xfId="535"/>
    <cellStyle name="round100" xfId="536"/>
    <cellStyle name="SAPBEXaggData" xfId="387"/>
    <cellStyle name="SAPBEXaggDataEmph" xfId="388"/>
    <cellStyle name="SAPBEXaggItem" xfId="389"/>
    <cellStyle name="SAPBEXaggItemX" xfId="390"/>
    <cellStyle name="SAPBEXchaText" xfId="391"/>
    <cellStyle name="SAPBEXexcBad7" xfId="392"/>
    <cellStyle name="SAPBEXexcBad8" xfId="393"/>
    <cellStyle name="SAPBEXexcBad9" xfId="394"/>
    <cellStyle name="SAPBEXexcCritical4" xfId="395"/>
    <cellStyle name="SAPBEXexcCritical5" xfId="396"/>
    <cellStyle name="SAPBEXexcCritical6" xfId="397"/>
    <cellStyle name="SAPBEXexcGood1" xfId="398"/>
    <cellStyle name="SAPBEXexcGood2" xfId="399"/>
    <cellStyle name="SAPBEXexcGood3" xfId="400"/>
    <cellStyle name="SAPBEXfilterDrill" xfId="401"/>
    <cellStyle name="SAPBEXfilterItem" xfId="402"/>
    <cellStyle name="SAPBEXfilterText" xfId="403"/>
    <cellStyle name="SAPBEXfilterText 2" xfId="404"/>
    <cellStyle name="SAPBEXfilterText 3" xfId="405"/>
    <cellStyle name="SAPBEXformats" xfId="406"/>
    <cellStyle name="SAPBEXheaderItem" xfId="407"/>
    <cellStyle name="SAPBEXheaderItem 2" xfId="408"/>
    <cellStyle name="SAPBEXheaderItem 3" xfId="409"/>
    <cellStyle name="SAPBEXheaderItem 4" xfId="410"/>
    <cellStyle name="SAPBEXheaderText" xfId="411"/>
    <cellStyle name="SAPBEXheaderText 2" xfId="412"/>
    <cellStyle name="SAPBEXheaderText 3" xfId="413"/>
    <cellStyle name="SAPBEXheaderText 4" xfId="414"/>
    <cellStyle name="SAPBEXHLevel0" xfId="415"/>
    <cellStyle name="SAPBEXHLevel0 2" xfId="416"/>
    <cellStyle name="SAPBEXHLevel0 3" xfId="417"/>
    <cellStyle name="SAPBEXHLevel0 4" xfId="418"/>
    <cellStyle name="SAPBEXHLevel0 5" xfId="419"/>
    <cellStyle name="SAPBEXHLevel0 6" xfId="420"/>
    <cellStyle name="SAPBEXHLevel0X" xfId="421"/>
    <cellStyle name="SAPBEXHLevel0X 2" xfId="422"/>
    <cellStyle name="SAPBEXHLevel0X 3" xfId="423"/>
    <cellStyle name="SAPBEXHLevel0X 4" xfId="424"/>
    <cellStyle name="SAPBEXHLevel0X 5" xfId="425"/>
    <cellStyle name="SAPBEXHLevel0X 6" xfId="426"/>
    <cellStyle name="SAPBEXHLevel1" xfId="427"/>
    <cellStyle name="SAPBEXHLevel1 2" xfId="428"/>
    <cellStyle name="SAPBEXHLevel1 3" xfId="429"/>
    <cellStyle name="SAPBEXHLevel1 4" xfId="430"/>
    <cellStyle name="SAPBEXHLevel1 5" xfId="431"/>
    <cellStyle name="SAPBEXHLevel1 6" xfId="432"/>
    <cellStyle name="SAPBEXHLevel1X" xfId="433"/>
    <cellStyle name="SAPBEXHLevel1X 2" xfId="434"/>
    <cellStyle name="SAPBEXHLevel1X 3" xfId="435"/>
    <cellStyle name="SAPBEXHLevel1X 4" xfId="436"/>
    <cellStyle name="SAPBEXHLevel1X 5" xfId="437"/>
    <cellStyle name="SAPBEXHLevel1X 6" xfId="438"/>
    <cellStyle name="SAPBEXHLevel2" xfId="439"/>
    <cellStyle name="SAPBEXHLevel2 2" xfId="440"/>
    <cellStyle name="SAPBEXHLevel2 3" xfId="441"/>
    <cellStyle name="SAPBEXHLevel2 4" xfId="442"/>
    <cellStyle name="SAPBEXHLevel2 5" xfId="443"/>
    <cellStyle name="SAPBEXHLevel2 6" xfId="444"/>
    <cellStyle name="SAPBEXHLevel2X" xfId="445"/>
    <cellStyle name="SAPBEXHLevel2X 2" xfId="446"/>
    <cellStyle name="SAPBEXHLevel2X 3" xfId="447"/>
    <cellStyle name="SAPBEXHLevel2X 4" xfId="448"/>
    <cellStyle name="SAPBEXHLevel2X 5" xfId="449"/>
    <cellStyle name="SAPBEXHLevel2X 6" xfId="450"/>
    <cellStyle name="SAPBEXHLevel3" xfId="451"/>
    <cellStyle name="SAPBEXHLevel3 2" xfId="452"/>
    <cellStyle name="SAPBEXHLevel3 3" xfId="453"/>
    <cellStyle name="SAPBEXHLevel3 4" xfId="454"/>
    <cellStyle name="SAPBEXHLevel3 5" xfId="455"/>
    <cellStyle name="SAPBEXHLevel3 6" xfId="456"/>
    <cellStyle name="SAPBEXHLevel3X" xfId="457"/>
    <cellStyle name="SAPBEXHLevel3X 2" xfId="458"/>
    <cellStyle name="SAPBEXHLevel3X 3" xfId="459"/>
    <cellStyle name="SAPBEXHLevel3X 4" xfId="460"/>
    <cellStyle name="SAPBEXHLevel3X 5" xfId="461"/>
    <cellStyle name="SAPBEXHLevel3X 6" xfId="462"/>
    <cellStyle name="SAPBEXresData" xfId="463"/>
    <cellStyle name="SAPBEXresDataEmph" xfId="464"/>
    <cellStyle name="SAPBEXresItem" xfId="465"/>
    <cellStyle name="SAPBEXresItemX" xfId="466"/>
    <cellStyle name="SAPBEXstdData" xfId="467"/>
    <cellStyle name="SAPBEXstdDataEmph" xfId="468"/>
    <cellStyle name="SAPBEXstdItem" xfId="469"/>
    <cellStyle name="SAPBEXstdItemX" xfId="470"/>
    <cellStyle name="SAPBEXtitle" xfId="471"/>
    <cellStyle name="SAPBEXtitle 2" xfId="472"/>
    <cellStyle name="SAPBEXtitle 3" xfId="473"/>
    <cellStyle name="SAPBEXtitle 4" xfId="474"/>
    <cellStyle name="SAPBEXundefined" xfId="475"/>
    <cellStyle name="Shade" xfId="476"/>
    <cellStyle name="Special" xfId="477"/>
    <cellStyle name="Special 2" xfId="478"/>
    <cellStyle name="Special 3" xfId="479"/>
    <cellStyle name="StmtTtl1" xfId="537"/>
    <cellStyle name="StmtTtl2" xfId="538"/>
    <cellStyle name="STYL1 - Style1" xfId="539"/>
    <cellStyle name="Style 1" xfId="480"/>
    <cellStyle name="Style 27" xfId="481"/>
    <cellStyle name="Style 35" xfId="482"/>
    <cellStyle name="Style 36" xfId="483"/>
    <cellStyle name="Text" xfId="484"/>
    <cellStyle name="Title 2" xfId="485"/>
    <cellStyle name="Title 3" xfId="486"/>
    <cellStyle name="Title 4" xfId="487"/>
    <cellStyle name="Title 5" xfId="488"/>
    <cellStyle name="Title 6" xfId="489"/>
    <cellStyle name="Titles" xfId="490"/>
    <cellStyle name="Total2 - Style2" xfId="491"/>
    <cellStyle name="TRANSMISSION RELIABILITY PORTION OF PROJECT" xfId="18"/>
    <cellStyle name="Underl - Style4" xfId="492"/>
    <cellStyle name="UNLocked" xfId="493"/>
    <cellStyle name="Unprot" xfId="494"/>
    <cellStyle name="Unprot 2" xfId="495"/>
    <cellStyle name="Unprot 3" xfId="496"/>
    <cellStyle name="Unprot$" xfId="497"/>
    <cellStyle name="Unprot$ 2" xfId="498"/>
    <cellStyle name="Unprot$ 3" xfId="499"/>
    <cellStyle name="Unprot$ 4" xfId="500"/>
    <cellStyle name="Unprot_CA PTAM New Wind Sept-09 - Estimated Preview" xfId="501"/>
    <cellStyle name="Unprotect" xfId="502"/>
    <cellStyle name="Warning Text 2" xfId="503"/>
    <cellStyle name="Warning Text 3" xfId="504"/>
    <cellStyle name="Warning Text 4" xfId="505"/>
    <cellStyle name="Warning Text 5" xfId="506"/>
    <cellStyle name="Warning Text 6" xfId="5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4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56.xml"/><Relationship Id="rId6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sharedStrings" Target="sharedStrings.xml"/><Relationship Id="rId75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32.xml"/><Relationship Id="rId34" Type="http://schemas.openxmlformats.org/officeDocument/2006/relationships/externalLink" Target="externalLinks/externalLink27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TEMP\AFOR%207-1-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SMRecov\2001\RECOV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10%20(2009%20GRC)\COS\WY%20COS%20FTY%20Dec%202010_0826HYBRID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03-31-2013%20(2011%20GRC)\COS\WY%20COS%20FTY%20March%202013_NS_run%20for%20mike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22-05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09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SB%201149\JAM%20OR%20Dec%202001%20-%20SB114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pa.gov/Documents%20and%20Settings/p88760/Local%20Settings/Temporary%20Internet%20Files/OLK15/PacifiCorp/PacifiCorp_FY-09%20Expedited%20ASC%20Filing_030308%20wmm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CASES\Idaho%2003\305FRevenue%20by%20Rate%20Schedule_ID200303_v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Idaho%2003\305FRevenue%20by%20Rate%20Schedule_ID200303_v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ASCM\_2010-2011%20ASC%20Reports\_FY%202010-2011%20Final%20Reports\Final%20PAC%2010\PacifiCorp_Forecast_Model_FY2010-11_rev02%20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CM\_2010-2011%20ASC%20Reports\_FY%202010-2011%20Final%20Reports\Final%20PAC%2010\PacifiCorp_Forecast_Model_FY2010-11_rev02%20repor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%20West%20Rate%20Migrati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12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~1\p88760\LOCALS~1\Temp\Temporary%20Directory%201%20for%20December%2007%20Year%20end%20B%20Tab%20(3).zip\Depreciation%20Reserve%20Dec%202007%20Y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88760\LOCALS~1\Temp\Temporary%20Directory%201%20for%20December%2007%20Year%20end%20B%20Tab%20(3).zip\Depreciation%20Reserve%20Dec%202007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DSMRecov\2001\RECOV01W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11382\Local%20Settings\Temporary%20Internet%20Files\OLK1DE\JAM%20CY06%20OR%20PARTIAL%20SETTLEMENT-Updated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Rebuttal\WY%20COS%20FTY%20June%202009%20Rebuttal%20Filing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Local%20Settings\Temporary%20Internet%20Files\Content.Outlook\1VOS77IL\Attachment%20WIEC%2035.1_no%20sit%20fix_1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GRC%20FTY%2012-2009%20(2008%20GRC)\COS\WY%20COS%20FTY%20Dec%202009%20Draft%2006-17-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4933\Application%20Data\Microsoft\Excel\Rate%20Spread%20-%20RMM\WY%20COS%20FTY%20Dec%202011%20Rebuttal%20-%20RMM.xlsm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Documents%20and%20Settings\p09653\My%20Documents\Oregon%20Rate%20Case\SB%201149\Rebuttal\MC%20OR%202001%20Rebutt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Oregon%2099\Portfolio\TOU%20Tariff%20Rates%209-10-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WA%20Alternate%20RC%2015\Final%20Order\WA%202015%20Order%20Final%20filing%20Workpap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4">
          <cell r="C4" t="str">
            <v>State of Wyoming</v>
          </cell>
        </row>
        <row r="5">
          <cell r="C5" t="str">
            <v>12 Months Ending December 31, 2010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1724573805.7033823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0.74495515661281908</v>
          </cell>
        </row>
      </sheetData>
      <sheetData sheetId="23"/>
      <sheetData sheetId="24">
        <row r="251">
          <cell r="AG251" t="str">
            <v>DIS</v>
          </cell>
        </row>
        <row r="275">
          <cell r="H275">
            <v>0</v>
          </cell>
        </row>
        <row r="276">
          <cell r="H276">
            <v>0</v>
          </cell>
          <cell r="AG276">
            <v>0</v>
          </cell>
        </row>
        <row r="287">
          <cell r="AG287">
            <v>0</v>
          </cell>
        </row>
        <row r="288">
          <cell r="H288">
            <v>115938437.37436633</v>
          </cell>
        </row>
        <row r="325">
          <cell r="AG325">
            <v>0</v>
          </cell>
        </row>
        <row r="326">
          <cell r="AG326">
            <v>0</v>
          </cell>
        </row>
        <row r="608">
          <cell r="AG608">
            <v>0</v>
          </cell>
        </row>
        <row r="631">
          <cell r="AG631">
            <v>0</v>
          </cell>
        </row>
        <row r="732">
          <cell r="H732">
            <v>25091221.66910474</v>
          </cell>
        </row>
        <row r="827">
          <cell r="H827">
            <v>98238.50889699017</v>
          </cell>
        </row>
        <row r="828">
          <cell r="H828">
            <v>652910.76721132139</v>
          </cell>
        </row>
        <row r="982">
          <cell r="AG982">
            <v>0</v>
          </cell>
        </row>
        <row r="1076">
          <cell r="AG1076">
            <v>0</v>
          </cell>
        </row>
        <row r="1091">
          <cell r="AG1091">
            <v>0</v>
          </cell>
        </row>
        <row r="1092">
          <cell r="AG1092">
            <v>0</v>
          </cell>
        </row>
        <row r="1093">
          <cell r="AG1093">
            <v>0</v>
          </cell>
        </row>
        <row r="1097">
          <cell r="AG1097">
            <v>0</v>
          </cell>
        </row>
        <row r="1098">
          <cell r="AG1098">
            <v>0</v>
          </cell>
        </row>
        <row r="1123">
          <cell r="AG1123">
            <v>872.16970535431574</v>
          </cell>
        </row>
        <row r="1125">
          <cell r="AG1125">
            <v>0</v>
          </cell>
        </row>
        <row r="1127">
          <cell r="AG1127">
            <v>10294.054225680906</v>
          </cell>
        </row>
        <row r="1132">
          <cell r="AG1132">
            <v>0</v>
          </cell>
        </row>
        <row r="1141">
          <cell r="AG1141">
            <v>0</v>
          </cell>
        </row>
        <row r="1142">
          <cell r="AG1142">
            <v>0</v>
          </cell>
        </row>
        <row r="1143">
          <cell r="AG1143">
            <v>0</v>
          </cell>
        </row>
        <row r="1779">
          <cell r="AG1779">
            <v>0</v>
          </cell>
        </row>
        <row r="1782">
          <cell r="AG1782">
            <v>0</v>
          </cell>
        </row>
        <row r="1794">
          <cell r="AG1794">
            <v>0</v>
          </cell>
        </row>
        <row r="1814">
          <cell r="AG1814">
            <v>0</v>
          </cell>
        </row>
        <row r="1825">
          <cell r="AG1825">
            <v>0</v>
          </cell>
        </row>
        <row r="1850">
          <cell r="AG1850">
            <v>1676.148392889191</v>
          </cell>
        </row>
        <row r="1851">
          <cell r="AG1851">
            <v>-26.194269122424597</v>
          </cell>
        </row>
        <row r="1937">
          <cell r="AG1937">
            <v>0</v>
          </cell>
        </row>
        <row r="2000">
          <cell r="AG2000">
            <v>0</v>
          </cell>
        </row>
        <row r="2002">
          <cell r="AG2002">
            <v>0</v>
          </cell>
        </row>
        <row r="2034">
          <cell r="H2034">
            <v>128921.22893744383</v>
          </cell>
        </row>
        <row r="2035">
          <cell r="AG2035">
            <v>0</v>
          </cell>
        </row>
        <row r="2067">
          <cell r="AG2067">
            <v>0</v>
          </cell>
        </row>
        <row r="2151">
          <cell r="H2151">
            <v>-3.4157553211878022E-2</v>
          </cell>
        </row>
        <row r="2152">
          <cell r="AG2152">
            <v>-2.3196400239771436E-4</v>
          </cell>
        </row>
        <row r="2155">
          <cell r="H2155">
            <v>0</v>
          </cell>
        </row>
        <row r="2156">
          <cell r="AG2156">
            <v>0</v>
          </cell>
        </row>
        <row r="2171">
          <cell r="AG2171">
            <v>0</v>
          </cell>
        </row>
        <row r="2183">
          <cell r="AG2183">
            <v>0</v>
          </cell>
        </row>
        <row r="2219">
          <cell r="AG2219">
            <v>864.02560103648705</v>
          </cell>
        </row>
        <row r="2389">
          <cell r="AG2389">
            <v>0</v>
          </cell>
        </row>
        <row r="2390">
          <cell r="AG2390">
            <v>0</v>
          </cell>
        </row>
        <row r="2403">
          <cell r="AG2403">
            <v>0</v>
          </cell>
        </row>
        <row r="2410">
          <cell r="AG2410">
            <v>0</v>
          </cell>
        </row>
        <row r="2411">
          <cell r="AG2411">
            <v>0</v>
          </cell>
        </row>
        <row r="2471">
          <cell r="AG2471">
            <v>-8728.8933272206759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  <sheetName val="Sheet1"/>
    </sheetNames>
    <sheetDataSet>
      <sheetData sheetId="0">
        <row r="3">
          <cell r="C3" t="str">
            <v>Rocky Mountain Power</v>
          </cell>
        </row>
        <row r="19">
          <cell r="K19">
            <v>67875230.453694463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1935861328.0220451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0.81307706711145988</v>
          </cell>
        </row>
      </sheetData>
      <sheetData sheetId="23"/>
      <sheetData sheetId="24">
        <row r="251">
          <cell r="AG251" t="str">
            <v>DIS</v>
          </cell>
        </row>
        <row r="328">
          <cell r="AG328">
            <v>0</v>
          </cell>
        </row>
        <row r="409">
          <cell r="AG409">
            <v>0</v>
          </cell>
        </row>
        <row r="559">
          <cell r="AG559">
            <v>0</v>
          </cell>
        </row>
        <row r="583">
          <cell r="AG583">
            <v>0</v>
          </cell>
        </row>
        <row r="991">
          <cell r="AG991">
            <v>0</v>
          </cell>
        </row>
        <row r="1354">
          <cell r="AG1354">
            <v>0</v>
          </cell>
        </row>
        <row r="1359">
          <cell r="AG1359">
            <v>0</v>
          </cell>
        </row>
        <row r="1518">
          <cell r="I1518">
            <v>970663.84981162648</v>
          </cell>
        </row>
        <row r="1795">
          <cell r="AG1795">
            <v>6925.8930178870532</v>
          </cell>
        </row>
        <row r="1855">
          <cell r="AG1855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Allocation Factors"/>
      <sheetName val="Public Benefits"/>
      <sheetName val="Sch 1- Rate Base (2)"/>
      <sheetName val="Sch 1A - Cash Working Capital"/>
      <sheetName val="Sch 2 -Weighted Cost of Capital"/>
      <sheetName val="Sch 3 - Expenses"/>
      <sheetName val="Sch 3A - Taxes"/>
      <sheetName val="Sch 3B - Other Items "/>
      <sheetName val="Ratios"/>
      <sheetName val="Average System Cost"/>
      <sheetName val="TOTAL WMM"/>
      <sheetName val="Tax Detail Total"/>
      <sheetName val="Other Def Credits &amp; Reg Liab"/>
      <sheetName val="Other Reg Asst &amp; Misc Def Debit"/>
      <sheetName val="110-111 Bal Sht Assets &amp; Debits"/>
      <sheetName val="112-113 Bal Sht Liablts &amp; Crdts"/>
      <sheetName val="114-117 Statement of Income"/>
      <sheetName val="200 Utly Plnt Dep, Amort, Depl"/>
      <sheetName val="205-207 Elect Plnt-In-Service"/>
      <sheetName val="219 Accum Prov for Depr of E Pl"/>
      <sheetName val="232 Other Reg Assets"/>
      <sheetName val="233 Misc Deferred Debit"/>
      <sheetName val="257 Long-Term Debt"/>
      <sheetName val="262 Taxes"/>
      <sheetName val="269 Other Deferred Credits"/>
      <sheetName val="278 Other Reg Liabilities"/>
      <sheetName val="300-301 Elect Oper Revenues"/>
      <sheetName val="Wheeling"/>
      <sheetName val="310-311 Sales for Resale"/>
      <sheetName val="320-323 Electric O&amp;M"/>
      <sheetName val="Purch Power"/>
      <sheetName val="336 Elec Plnt Depr &amp; Amort"/>
      <sheetName val="Retail Sales"/>
      <sheetName val="Salaries"/>
      <sheetName val="354 Labor"/>
      <sheetName val="Allocation Factors (2)"/>
      <sheetName val="Tax detail States"/>
      <sheetName val="Pacific Total "/>
    </sheetNames>
    <sheetDataSet>
      <sheetData sheetId="0"/>
      <sheetData sheetId="1">
        <row r="9">
          <cell r="A9" t="str">
            <v>BADDEBT</v>
          </cell>
          <cell r="B9">
            <v>0.35141439395553692</v>
          </cell>
          <cell r="C9">
            <v>0.11484572755151312</v>
          </cell>
          <cell r="D9">
            <v>3.2883034197675104E-2</v>
          </cell>
        </row>
        <row r="10">
          <cell r="A10" t="str">
            <v>CIAC</v>
          </cell>
          <cell r="B10">
            <v>0.30624652604495922</v>
          </cell>
          <cell r="C10">
            <v>7.0800777882893337E-2</v>
          </cell>
          <cell r="D10">
            <v>4.5163203238062999E-2</v>
          </cell>
        </row>
        <row r="11">
          <cell r="A11" t="str">
            <v>CN</v>
          </cell>
          <cell r="B11">
            <v>0.32667535775829776</v>
          </cell>
          <cell r="C11">
            <v>7.4395144976399194E-2</v>
          </cell>
          <cell r="D11">
            <v>4.0345845508353941E-2</v>
          </cell>
        </row>
        <row r="12">
          <cell r="A12" t="str">
            <v>CNP</v>
          </cell>
          <cell r="B12">
            <v>0.69581908757344169</v>
          </cell>
          <cell r="C12">
            <v>0.15846178987174347</v>
          </cell>
          <cell r="D12">
            <v>0</v>
          </cell>
        </row>
        <row r="13">
          <cell r="A13" t="str">
            <v>CNU</v>
          </cell>
          <cell r="B13">
            <v>0</v>
          </cell>
          <cell r="C13">
            <v>0</v>
          </cell>
          <cell r="D13">
            <v>8.0088712479237753E-2</v>
          </cell>
        </row>
        <row r="14">
          <cell r="A14" t="str">
            <v>DEP</v>
          </cell>
          <cell r="B14">
            <v>0.53467729444624135</v>
          </cell>
          <cell r="C14">
            <v>0.15951260012332932</v>
          </cell>
          <cell r="D14">
            <v>0</v>
          </cell>
        </row>
        <row r="15">
          <cell r="A15" t="str">
            <v>DEU</v>
          </cell>
          <cell r="B15">
            <v>0</v>
          </cell>
          <cell r="C15">
            <v>0</v>
          </cell>
          <cell r="D15">
            <v>0.13440828536836275</v>
          </cell>
        </row>
        <row r="16">
          <cell r="A16" t="str">
            <v>DEUH</v>
          </cell>
          <cell r="B16">
            <v>0</v>
          </cell>
          <cell r="C16">
            <v>0</v>
          </cell>
          <cell r="D16">
            <v>0.13440828536836275</v>
          </cell>
        </row>
        <row r="17">
          <cell r="A17" t="str">
            <v>DGP</v>
          </cell>
          <cell r="B17">
            <v>0.55774534365141204</v>
          </cell>
          <cell r="C17">
            <v>0.16131555650408205</v>
          </cell>
          <cell r="D17">
            <v>0</v>
          </cell>
        </row>
        <row r="18">
          <cell r="A18" t="str">
            <v>DGU</v>
          </cell>
          <cell r="B18">
            <v>0</v>
          </cell>
          <cell r="C18">
            <v>0</v>
          </cell>
          <cell r="D18">
            <v>0.12942927026274684</v>
          </cell>
        </row>
        <row r="19">
          <cell r="A19" t="str">
            <v>DGUH</v>
          </cell>
          <cell r="B19">
            <v>0</v>
          </cell>
          <cell r="C19">
            <v>0</v>
          </cell>
          <cell r="D19">
            <v>0.12942927026274684</v>
          </cell>
        </row>
        <row r="20">
          <cell r="A20" t="str">
            <v>DITBAL</v>
          </cell>
          <cell r="B20">
            <v>0.27428482654037295</v>
          </cell>
          <cell r="C20">
            <v>6.9203065307797712E-2</v>
          </cell>
          <cell r="D20">
            <v>6.5593176671185624E-2</v>
          </cell>
        </row>
        <row r="21">
          <cell r="A21" t="str">
            <v>DITEXP</v>
          </cell>
          <cell r="B21">
            <v>0.3452290807307869</v>
          </cell>
          <cell r="C21">
            <v>7.7351684311256164E-2</v>
          </cell>
          <cell r="D21">
            <v>4.2384904806221244E-2</v>
          </cell>
        </row>
        <row r="22">
          <cell r="A22" t="str">
            <v>DNPGMP</v>
          </cell>
          <cell r="B22">
            <v>0</v>
          </cell>
          <cell r="C22">
            <v>0</v>
          </cell>
          <cell r="D22">
            <v>0</v>
          </cell>
        </row>
        <row r="23">
          <cell r="A23" t="str">
            <v>DNPGMU</v>
          </cell>
          <cell r="B23">
            <v>0.27285827953685193</v>
          </cell>
          <cell r="C23">
            <v>8.1402995949508353E-2</v>
          </cell>
          <cell r="D23">
            <v>6.5816606084332333E-2</v>
          </cell>
        </row>
        <row r="24">
          <cell r="A24" t="str">
            <v>DNPIP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DNPIU</v>
          </cell>
          <cell r="B25">
            <v>0</v>
          </cell>
          <cell r="C25">
            <v>0</v>
          </cell>
          <cell r="D25">
            <v>0</v>
          </cell>
        </row>
        <row r="26">
          <cell r="A26" t="str">
            <v>DNPPHP</v>
          </cell>
          <cell r="B26">
            <v>0</v>
          </cell>
          <cell r="C26">
            <v>0</v>
          </cell>
          <cell r="D26">
            <v>0</v>
          </cell>
        </row>
        <row r="27">
          <cell r="A27" t="str">
            <v>DNPPHU</v>
          </cell>
          <cell r="B27">
            <v>0</v>
          </cell>
          <cell r="C27">
            <v>0</v>
          </cell>
          <cell r="D27">
            <v>0</v>
          </cell>
        </row>
        <row r="28">
          <cell r="A28" t="str">
            <v>DNPPSP</v>
          </cell>
          <cell r="B28">
            <v>0</v>
          </cell>
          <cell r="C28">
            <v>0</v>
          </cell>
          <cell r="D28">
            <v>0</v>
          </cell>
        </row>
        <row r="29">
          <cell r="A29" t="str">
            <v>DNPPSU</v>
          </cell>
          <cell r="B29">
            <v>0</v>
          </cell>
          <cell r="C29">
            <v>0</v>
          </cell>
          <cell r="D29">
            <v>0</v>
          </cell>
        </row>
        <row r="30">
          <cell r="A30" t="str">
            <v>DONOTUSE</v>
          </cell>
          <cell r="B30">
            <v>0</v>
          </cell>
          <cell r="C30">
            <v>0</v>
          </cell>
          <cell r="D30">
            <v>0</v>
          </cell>
        </row>
        <row r="31">
          <cell r="A31" t="str">
            <v>DONOTUSE</v>
          </cell>
          <cell r="B31">
            <v>0</v>
          </cell>
          <cell r="C31">
            <v>0</v>
          </cell>
          <cell r="D31">
            <v>0</v>
          </cell>
        </row>
        <row r="32">
          <cell r="A32" t="str">
            <v>DONOTUSE</v>
          </cell>
          <cell r="B32">
            <v>0</v>
          </cell>
          <cell r="C32">
            <v>0</v>
          </cell>
          <cell r="D32">
            <v>0</v>
          </cell>
        </row>
        <row r="33">
          <cell r="A33" t="str">
            <v>DONOTUSE</v>
          </cell>
          <cell r="B33">
            <v>0</v>
          </cell>
          <cell r="C33">
            <v>0</v>
          </cell>
          <cell r="D33">
            <v>0</v>
          </cell>
        </row>
        <row r="34">
          <cell r="A34" t="str">
            <v>DONOTUSE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DONOTUSE</v>
          </cell>
          <cell r="B35">
            <v>0</v>
          </cell>
          <cell r="C35">
            <v>0</v>
          </cell>
          <cell r="D35">
            <v>0</v>
          </cell>
        </row>
        <row r="36">
          <cell r="A36" t="str">
            <v>DOP</v>
          </cell>
          <cell r="B36">
            <v>0</v>
          </cell>
          <cell r="C36">
            <v>0</v>
          </cell>
          <cell r="D36">
            <v>0</v>
          </cell>
        </row>
        <row r="37">
          <cell r="A37" t="str">
            <v>DOU</v>
          </cell>
          <cell r="B37">
            <v>0</v>
          </cell>
          <cell r="C37">
            <v>0</v>
          </cell>
          <cell r="D37">
            <v>0</v>
          </cell>
        </row>
        <row r="38">
          <cell r="A38" t="str">
            <v>EXCTAX</v>
          </cell>
          <cell r="B38">
            <v>0.42290748680235485</v>
          </cell>
          <cell r="C38">
            <v>8.7753815778953248E-2</v>
          </cell>
          <cell r="D38">
            <v>2.1853622934589867E-2</v>
          </cell>
        </row>
        <row r="39">
          <cell r="A39" t="str">
            <v>GPS</v>
          </cell>
          <cell r="B39">
            <v>0.29861165374396953</v>
          </cell>
          <cell r="C39">
            <v>8.0550373122060467E-2</v>
          </cell>
          <cell r="D39">
            <v>5.8734926793188202E-2</v>
          </cell>
        </row>
        <row r="40">
          <cell r="A40" t="str">
            <v>IBT</v>
          </cell>
          <cell r="B40">
            <v>0.42282495592392177</v>
          </cell>
          <cell r="C40">
            <v>8.7320036096678905E-2</v>
          </cell>
          <cell r="D40">
            <v>2.2090755419769632E-2</v>
          </cell>
        </row>
        <row r="41">
          <cell r="A41" t="str">
            <v>IDSIT</v>
          </cell>
          <cell r="B41">
            <v>0</v>
          </cell>
          <cell r="C41">
            <v>0</v>
          </cell>
          <cell r="D41">
            <v>1</v>
          </cell>
        </row>
        <row r="42">
          <cell r="A42" t="str">
            <v>INT</v>
          </cell>
          <cell r="B42">
            <v>0.29380632043695454</v>
          </cell>
          <cell r="C42">
            <v>7.895010834108844E-2</v>
          </cell>
          <cell r="D42">
            <v>5.7129682322204854E-2</v>
          </cell>
        </row>
        <row r="43">
          <cell r="A43" t="str">
            <v>ITC84</v>
          </cell>
          <cell r="B43">
            <v>0.70975999999999995</v>
          </cell>
          <cell r="C43">
            <v>0.14180000000000001</v>
          </cell>
          <cell r="D43">
            <v>0</v>
          </cell>
        </row>
        <row r="44">
          <cell r="A44" t="str">
            <v>ITC85</v>
          </cell>
          <cell r="B44">
            <v>0.67689999999999995</v>
          </cell>
          <cell r="C44">
            <v>0.1336</v>
          </cell>
          <cell r="D44">
            <v>0</v>
          </cell>
        </row>
        <row r="45">
          <cell r="A45" t="str">
            <v>ITC86</v>
          </cell>
          <cell r="B45">
            <v>0.64607999999999999</v>
          </cell>
          <cell r="C45">
            <v>0.13125999999999999</v>
          </cell>
          <cell r="D45">
            <v>0</v>
          </cell>
        </row>
        <row r="46">
          <cell r="A46" t="str">
            <v>ITC88</v>
          </cell>
          <cell r="B46">
            <v>0.61199999999999999</v>
          </cell>
          <cell r="C46">
            <v>0.14960000000000001</v>
          </cell>
          <cell r="D46">
            <v>0</v>
          </cell>
        </row>
        <row r="47">
          <cell r="A47" t="str">
            <v>ITC89</v>
          </cell>
          <cell r="B47">
            <v>0.563558</v>
          </cell>
          <cell r="C47">
            <v>0.15268799999999999</v>
          </cell>
          <cell r="D47">
            <v>0</v>
          </cell>
        </row>
        <row r="48">
          <cell r="A48" t="str">
            <v>ITC90</v>
          </cell>
          <cell r="B48">
            <v>0.159356</v>
          </cell>
          <cell r="C48">
            <v>3.9132E-2</v>
          </cell>
          <cell r="D48">
            <v>0.13981499999999999</v>
          </cell>
        </row>
        <row r="49">
          <cell r="A49" t="str">
            <v>MC</v>
          </cell>
          <cell r="B49">
            <v>0.71497865636912872</v>
          </cell>
          <cell r="C49">
            <v>0.1032375509225131</v>
          </cell>
          <cell r="D49">
            <v>1.8159459280526591E-2</v>
          </cell>
        </row>
        <row r="50">
          <cell r="A50" t="str">
            <v>NUTIL</v>
          </cell>
          <cell r="B50">
            <v>0</v>
          </cell>
          <cell r="C50">
            <v>0</v>
          </cell>
          <cell r="D50">
            <v>0</v>
          </cell>
        </row>
        <row r="51">
          <cell r="A51" t="str">
            <v>OPRV-ID</v>
          </cell>
          <cell r="B51">
            <v>0</v>
          </cell>
          <cell r="C51">
            <v>0</v>
          </cell>
          <cell r="D51">
            <v>0</v>
          </cell>
        </row>
        <row r="52">
          <cell r="A52" t="str">
            <v>OPRVWY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OTHER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SC</v>
          </cell>
          <cell r="B54">
            <v>0.29035869106401047</v>
          </cell>
          <cell r="C54">
            <v>8.3151606940437092E-2</v>
          </cell>
          <cell r="D54">
            <v>6.2147118087711326E-2</v>
          </cell>
        </row>
        <row r="55">
          <cell r="A55" t="str">
            <v>SCHMAEXP</v>
          </cell>
          <cell r="B55">
            <v>0.26929706664104008</v>
          </cell>
          <cell r="C55">
            <v>7.0739761934206044E-2</v>
          </cell>
          <cell r="D55">
            <v>5.0915109018580186E-2</v>
          </cell>
        </row>
        <row r="56">
          <cell r="A56" t="str">
            <v>SCHMDEXP</v>
          </cell>
          <cell r="B56">
            <v>0.30583135944598916</v>
          </cell>
          <cell r="C56">
            <v>8.3010078293539152E-2</v>
          </cell>
          <cell r="D56">
            <v>5.8550166140093549E-2</v>
          </cell>
        </row>
        <row r="57">
          <cell r="A57" t="str">
            <v>SE</v>
          </cell>
          <cell r="B57">
            <v>0.27285827953685193</v>
          </cell>
          <cell r="C57">
            <v>8.1402995949508367E-2</v>
          </cell>
          <cell r="D57">
            <v>6.5816606084332333E-2</v>
          </cell>
        </row>
        <row r="58">
          <cell r="A58" t="str">
            <v>SE-P</v>
          </cell>
          <cell r="B58">
            <v>0.27285827953685193</v>
          </cell>
          <cell r="C58">
            <v>8.1402995949508367E-2</v>
          </cell>
          <cell r="D58">
            <v>6.5816606084332333E-2</v>
          </cell>
        </row>
        <row r="59">
          <cell r="A59" t="str">
            <v>SE-U</v>
          </cell>
          <cell r="B59">
            <v>0.27285827953685193</v>
          </cell>
          <cell r="C59">
            <v>8.1402995949508367E-2</v>
          </cell>
          <cell r="D59">
            <v>6.5816606084332333E-2</v>
          </cell>
        </row>
        <row r="60">
          <cell r="A60" t="str">
            <v>SG</v>
          </cell>
          <cell r="B60">
            <v>0.2859835881822208</v>
          </cell>
          <cell r="C60">
            <v>8.27144541927049E-2</v>
          </cell>
          <cell r="D60">
            <v>6.306449008686657E-2</v>
          </cell>
        </row>
        <row r="61">
          <cell r="A61" t="str">
            <v>SGCT</v>
          </cell>
          <cell r="B61">
            <v>0.28711190622629268</v>
          </cell>
          <cell r="C61">
            <v>8.3040795336140449E-2</v>
          </cell>
          <cell r="D61">
            <v>6.3313304372180954E-2</v>
          </cell>
        </row>
        <row r="62">
          <cell r="A62" t="str">
            <v>SG-P</v>
          </cell>
          <cell r="B62">
            <v>0.2859835881822208</v>
          </cell>
          <cell r="C62">
            <v>8.27144541927049E-2</v>
          </cell>
          <cell r="D62">
            <v>6.306449008686657E-2</v>
          </cell>
        </row>
        <row r="63">
          <cell r="A63" t="str">
            <v>SGPP</v>
          </cell>
          <cell r="B63">
            <v>0</v>
          </cell>
          <cell r="C63">
            <v>0</v>
          </cell>
          <cell r="D63">
            <v>0</v>
          </cell>
        </row>
        <row r="64">
          <cell r="A64" t="str">
            <v>SGPU</v>
          </cell>
          <cell r="B64">
            <v>0</v>
          </cell>
          <cell r="C64">
            <v>0</v>
          </cell>
          <cell r="D64">
            <v>0</v>
          </cell>
        </row>
        <row r="65">
          <cell r="A65" t="str">
            <v>SG-U</v>
          </cell>
          <cell r="B65">
            <v>0.2859835881822208</v>
          </cell>
          <cell r="C65">
            <v>8.27144541927049E-2</v>
          </cell>
          <cell r="D65">
            <v>6.306449008686657E-2</v>
          </cell>
        </row>
        <row r="66">
          <cell r="A66" t="str">
            <v>SNP</v>
          </cell>
          <cell r="B66">
            <v>0.29380632043695454</v>
          </cell>
          <cell r="C66">
            <v>7.895010834108844E-2</v>
          </cell>
          <cell r="D66">
            <v>5.7129682322204854E-2</v>
          </cell>
        </row>
        <row r="67">
          <cell r="A67" t="str">
            <v>SNPD</v>
          </cell>
          <cell r="B67">
            <v>0.30624652604495922</v>
          </cell>
          <cell r="C67">
            <v>7.0800777882893337E-2</v>
          </cell>
          <cell r="D67">
            <v>4.5163203238062999E-2</v>
          </cell>
        </row>
        <row r="68">
          <cell r="A68" t="str">
            <v>SNPG</v>
          </cell>
          <cell r="B68">
            <v>0.30042424823219444</v>
          </cell>
          <cell r="C68">
            <v>8.6851089518894448E-2</v>
          </cell>
          <cell r="D68">
            <v>6.3593059763587589E-2</v>
          </cell>
        </row>
        <row r="69">
          <cell r="A69" t="str">
            <v>SNPI</v>
          </cell>
          <cell r="B69">
            <v>0.29576811465760816</v>
          </cell>
          <cell r="C69">
            <v>8.0055655096684553E-2</v>
          </cell>
          <cell r="D69">
            <v>6.0236183083205302E-2</v>
          </cell>
        </row>
        <row r="70">
          <cell r="A70" t="str">
            <v>SNPP</v>
          </cell>
          <cell r="B70">
            <v>0.2859137864796093</v>
          </cell>
          <cell r="C70">
            <v>8.2729870920776397E-2</v>
          </cell>
          <cell r="D70">
            <v>6.3106251952743081E-2</v>
          </cell>
        </row>
        <row r="71">
          <cell r="A71" t="str">
            <v>SNPPH</v>
          </cell>
          <cell r="B71">
            <v>0.28598358818222103</v>
          </cell>
          <cell r="C71">
            <v>8.2714454192704928E-2</v>
          </cell>
          <cell r="D71">
            <v>6.3064490086866598E-2</v>
          </cell>
        </row>
        <row r="72">
          <cell r="A72" t="str">
            <v>SNPPH-P</v>
          </cell>
          <cell r="B72">
            <v>0.28598358818222103</v>
          </cell>
          <cell r="C72">
            <v>8.2714454192704928E-2</v>
          </cell>
          <cell r="D72">
            <v>6.3064490086866598E-2</v>
          </cell>
        </row>
        <row r="73">
          <cell r="A73" t="str">
            <v>SNPPH-U</v>
          </cell>
          <cell r="B73">
            <v>0.28598358818222103</v>
          </cell>
          <cell r="C73">
            <v>8.2714454192704928E-2</v>
          </cell>
          <cell r="D73">
            <v>6.3064490086866598E-2</v>
          </cell>
        </row>
        <row r="74">
          <cell r="A74" t="str">
            <v>SNPPN</v>
          </cell>
          <cell r="B74">
            <v>0.2859835881822208</v>
          </cell>
          <cell r="C74">
            <v>8.27144541927049E-2</v>
          </cell>
          <cell r="D74">
            <v>6.3064490086866556E-2</v>
          </cell>
        </row>
        <row r="75">
          <cell r="A75" t="str">
            <v>SNPPO</v>
          </cell>
          <cell r="B75">
            <v>0.28335272839776071</v>
          </cell>
          <cell r="C75">
            <v>8.2280110665311504E-2</v>
          </cell>
          <cell r="D75">
            <v>6.4693047353028194E-2</v>
          </cell>
        </row>
        <row r="76">
          <cell r="A76" t="str">
            <v>SNPPS</v>
          </cell>
          <cell r="B76">
            <v>0.28653733773461293</v>
          </cell>
          <cell r="C76">
            <v>8.2842984711251705E-2</v>
          </cell>
          <cell r="D76">
            <v>6.2719714593831535E-2</v>
          </cell>
        </row>
        <row r="77">
          <cell r="A77" t="str">
            <v>SNPT</v>
          </cell>
          <cell r="B77">
            <v>0.2859835881822208</v>
          </cell>
          <cell r="C77">
            <v>8.2714454192704914E-2</v>
          </cell>
          <cell r="D77">
            <v>6.3064490086866598E-2</v>
          </cell>
        </row>
        <row r="78">
          <cell r="A78" t="str">
            <v>SO</v>
          </cell>
          <cell r="B78">
            <v>0.29861165374396953</v>
          </cell>
          <cell r="C78">
            <v>8.0550373122060467E-2</v>
          </cell>
          <cell r="D78">
            <v>5.8734926793188209E-2</v>
          </cell>
        </row>
        <row r="79">
          <cell r="A79" t="str">
            <v>SO-P</v>
          </cell>
          <cell r="B79">
            <v>0.29861165374396953</v>
          </cell>
          <cell r="C79">
            <v>8.0550373122060467E-2</v>
          </cell>
          <cell r="D79">
            <v>5.8734926793188209E-2</v>
          </cell>
        </row>
        <row r="80">
          <cell r="A80" t="str">
            <v>SO-U</v>
          </cell>
          <cell r="B80">
            <v>0.29861165374396953</v>
          </cell>
          <cell r="C80">
            <v>8.0550373122060467E-2</v>
          </cell>
          <cell r="D80">
            <v>5.8734926793188209E-2</v>
          </cell>
        </row>
        <row r="81">
          <cell r="A81" t="str">
            <v>SSCCH</v>
          </cell>
          <cell r="B81">
            <v>0.29839826297906136</v>
          </cell>
          <cell r="C81">
            <v>8.4840163724139772E-2</v>
          </cell>
          <cell r="D81">
            <v>5.7429621760424925E-2</v>
          </cell>
        </row>
        <row r="82">
          <cell r="A82" t="str">
            <v>SSCCT</v>
          </cell>
          <cell r="B82">
            <v>0.26816133527730995</v>
          </cell>
          <cell r="C82">
            <v>7.9972983458246286E-2</v>
          </cell>
          <cell r="D82">
            <v>7.4652760445047067E-2</v>
          </cell>
        </row>
        <row r="83">
          <cell r="A83" t="str">
            <v>SSCP</v>
          </cell>
          <cell r="B83">
            <v>0.26456035856696852</v>
          </cell>
          <cell r="C83">
            <v>8.0220138380570558E-2</v>
          </cell>
          <cell r="D83">
            <v>7.1732040034333561E-2</v>
          </cell>
        </row>
        <row r="84">
          <cell r="A84" t="str">
            <v>SSECH</v>
          </cell>
          <cell r="B84">
            <v>0.27912490257653538</v>
          </cell>
          <cell r="C84">
            <v>8.3390050667640464E-2</v>
          </cell>
          <cell r="D84">
            <v>6.1050578355300263E-2</v>
          </cell>
        </row>
        <row r="85">
          <cell r="A85" t="str">
            <v>SSECT</v>
          </cell>
          <cell r="B85">
            <v>0.25075183369878429</v>
          </cell>
          <cell r="C85">
            <v>7.6295126990200912E-2</v>
          </cell>
          <cell r="D85">
            <v>8.3205914996410904E-2</v>
          </cell>
        </row>
        <row r="86">
          <cell r="A86" t="str">
            <v>SSEP</v>
          </cell>
          <cell r="B86">
            <v>0.25482291554073899</v>
          </cell>
          <cell r="C86">
            <v>7.7187417938853878E-2</v>
          </cell>
          <cell r="D86">
            <v>7.8762440909442441E-2</v>
          </cell>
        </row>
        <row r="87">
          <cell r="A87" t="str">
            <v>SSGC</v>
          </cell>
          <cell r="B87">
            <v>0.26212599781041113</v>
          </cell>
          <cell r="C87">
            <v>7.9461958270141381E-2</v>
          </cell>
          <cell r="D87">
            <v>7.3489640253110777E-2</v>
          </cell>
        </row>
        <row r="88">
          <cell r="A88" t="str">
            <v>SSGCH</v>
          </cell>
          <cell r="B88">
            <v>0.29357992287842988</v>
          </cell>
          <cell r="C88">
            <v>8.4477635460014938E-2</v>
          </cell>
          <cell r="D88">
            <v>5.8334860909143756E-2</v>
          </cell>
        </row>
        <row r="89">
          <cell r="A89" t="str">
            <v>SSGCT</v>
          </cell>
          <cell r="B89">
            <v>0.2638089598826785</v>
          </cell>
          <cell r="C89">
            <v>7.9053519341234946E-2</v>
          </cell>
          <cell r="D89">
            <v>7.679104908288803E-2</v>
          </cell>
        </row>
        <row r="90">
          <cell r="A90" t="str">
            <v>TAXDEPR</v>
          </cell>
          <cell r="B90">
            <v>0.30583135944598916</v>
          </cell>
          <cell r="C90">
            <v>8.3010078293539152E-2</v>
          </cell>
          <cell r="D90">
            <v>5.8550166140093549E-2</v>
          </cell>
        </row>
        <row r="91">
          <cell r="A91" t="str">
            <v>TROJD</v>
          </cell>
          <cell r="B91">
            <v>0.28363760182231784</v>
          </cell>
          <cell r="C91">
            <v>8.2480047274494497E-2</v>
          </cell>
          <cell r="D91">
            <v>6.3556396735721152E-2</v>
          </cell>
        </row>
        <row r="92">
          <cell r="A92" t="str">
            <v>TROJP</v>
          </cell>
          <cell r="B92">
            <v>0.28398975334932469</v>
          </cell>
          <cell r="C92">
            <v>8.2515233648805794E-2</v>
          </cell>
          <cell r="D92">
            <v>6.3482557569177089E-2</v>
          </cell>
        </row>
        <row r="93">
          <cell r="A93" t="str">
            <v>WBTAX</v>
          </cell>
          <cell r="B93">
            <v>0</v>
          </cell>
          <cell r="C93">
            <v>1</v>
          </cell>
          <cell r="D93">
            <v>0</v>
          </cell>
        </row>
        <row r="94">
          <cell r="A94" t="str">
            <v>Outr</v>
          </cell>
          <cell r="B94">
            <v>0</v>
          </cell>
          <cell r="C94">
            <v>0</v>
          </cell>
          <cell r="D94">
            <v>0</v>
          </cell>
        </row>
        <row r="95">
          <cell r="A95" t="str">
            <v>xIDA</v>
          </cell>
          <cell r="B95">
            <v>0</v>
          </cell>
          <cell r="C95">
            <v>0</v>
          </cell>
          <cell r="D95">
            <v>1</v>
          </cell>
        </row>
        <row r="96">
          <cell r="A96" t="str">
            <v>xORE</v>
          </cell>
          <cell r="B96">
            <v>1</v>
          </cell>
          <cell r="C96">
            <v>0</v>
          </cell>
          <cell r="D96">
            <v>0</v>
          </cell>
        </row>
        <row r="97">
          <cell r="A97" t="str">
            <v>xWash</v>
          </cell>
          <cell r="B97">
            <v>0</v>
          </cell>
          <cell r="C97">
            <v>1</v>
          </cell>
          <cell r="D9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SL_Base"/>
      <sheetName val="NLSL_Essc"/>
      <sheetName val="Base Data"/>
      <sheetName val="Total &amp; Functionalization"/>
      <sheetName val="Rate Period Total &amp; Funct"/>
      <sheetName val="Prod + Trans"/>
      <sheetName val="Rate Period"/>
      <sheetName val="Load Forecast"/>
      <sheetName val="Inputs"/>
      <sheetName val="Inputs Monthly"/>
      <sheetName val="OSS &amp; PurPwr Forecast"/>
      <sheetName val="New Resources"/>
      <sheetName val="AS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F31">
            <v>40452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SL_Base"/>
      <sheetName val="NLSL_Essc"/>
      <sheetName val="Base Data"/>
      <sheetName val="Total &amp; Functionalization"/>
      <sheetName val="Rate Period Total &amp; Funct"/>
      <sheetName val="Prod + Trans"/>
      <sheetName val="Rate Period"/>
      <sheetName val="Load Forecast"/>
      <sheetName val="Inputs"/>
      <sheetName val="Inputs Monthly"/>
      <sheetName val="OSS &amp; PurPwr Forecast"/>
      <sheetName val="New Resources"/>
      <sheetName val="AS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1">
          <cell r="F31">
            <v>40452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Page3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8">
          <cell r="G8">
            <v>0.61779709495561286</v>
          </cell>
        </row>
        <row r="24">
          <cell r="N2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/>
      <sheetData sheetId="4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8">
          <cell r="H58">
            <v>1814329680.1926062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9">
          <cell r="A9" t="str">
            <v>Factor Name</v>
          </cell>
        </row>
      </sheetData>
      <sheetData sheetId="21">
        <row r="11">
          <cell r="A11" t="str">
            <v>Factor Name</v>
          </cell>
        </row>
      </sheetData>
      <sheetData sheetId="22">
        <row r="4">
          <cell r="P4">
            <v>0.81318732477822031</v>
          </cell>
        </row>
      </sheetData>
      <sheetData sheetId="23"/>
      <sheetData sheetId="24">
        <row r="251">
          <cell r="AG251" t="str">
            <v>DIS</v>
          </cell>
        </row>
        <row r="689">
          <cell r="AG689">
            <v>0</v>
          </cell>
        </row>
      </sheetData>
      <sheetData sheetId="25"/>
      <sheetData sheetId="26">
        <row r="14">
          <cell r="A14" t="str">
            <v>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NPC Analysi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29">
          <cell r="N29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-Page1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Analysis-Not USed"/>
      <sheetName val="NPC adj-Not Used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Rocky Mountain Power</v>
          </cell>
        </row>
        <row r="30">
          <cell r="G30">
            <v>8.2617300454857379E-2</v>
          </cell>
        </row>
      </sheetData>
      <sheetData sheetId="1" refreshError="1"/>
      <sheetData sheetId="2" refreshError="1"/>
      <sheetData sheetId="3" refreshError="1"/>
      <sheetData sheetId="4">
        <row r="16">
          <cell r="D16">
            <v>7696713.2449887665</v>
          </cell>
        </row>
      </sheetData>
      <sheetData sheetId="5" refreshError="1"/>
      <sheetData sheetId="6" refreshError="1"/>
      <sheetData sheetId="7" refreshError="1"/>
      <sheetData sheetId="8">
        <row r="71">
          <cell r="E71">
            <v>-489685.98169817787</v>
          </cell>
        </row>
      </sheetData>
      <sheetData sheetId="9">
        <row r="136">
          <cell r="E136">
            <v>57715011.020101152</v>
          </cell>
        </row>
      </sheetData>
      <sheetData sheetId="10">
        <row r="136">
          <cell r="E136">
            <v>14389918.281402655</v>
          </cell>
        </row>
      </sheetData>
      <sheetData sheetId="11">
        <row r="68">
          <cell r="E68">
            <v>7664070.6445309613</v>
          </cell>
        </row>
      </sheetData>
      <sheetData sheetId="12">
        <row r="68">
          <cell r="E68">
            <v>3802158.1253485414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RS-10)"/>
      <sheetName val="Exhibit No.__(JRS-11) p1-8"/>
      <sheetName val="Exhibit No.__(JRS-12) p1-8"/>
      <sheetName val="Exhibit No.___(JRS-11) p9"/>
      <sheetName val="Exhibit No.___(JRS-12) p9"/>
      <sheetName val="Exhibit No.__(JRS-13) p1"/>
      <sheetName val="Exhibit No.__(JRS-13) p2"/>
      <sheetName val="Exhibit No.__(JRS-13) p3"/>
      <sheetName val="Exhibit No.__(JRS-13) p4"/>
      <sheetName val="Exhibit No.__(JRS-13) p5"/>
      <sheetName val="Exhibit No.__(JRS-13) p6"/>
      <sheetName val="Exhibit No.__(JRS-13) p7"/>
      <sheetName val="Exhibit No.__(JRS-14) p1"/>
      <sheetName val="Exhibit No.__(JRS-14) p2"/>
      <sheetName val="Exhibit No.__(JRS-14) p3"/>
      <sheetName val="Exhibit No.__(JRS-14) p4"/>
      <sheetName val="Exhibit No.__(JRS-14) p5 "/>
      <sheetName val="Exhibit No.__(JRS-14) p6"/>
      <sheetName val="Exhibit No.__(JRS-14) p7"/>
      <sheetName val="Stop Here"/>
      <sheetName val="Rate Spread targets"/>
      <sheetName val="Rate Design Work eff 10-14-16"/>
      <sheetName val="Rate Design Work eff 9-15-17"/>
      <sheetName val="Low Income Prog YR 1"/>
      <sheetName val="Low Income Program YR 2"/>
      <sheetName val="Table 1-Revenues"/>
      <sheetName val="Table 1 - kWh"/>
      <sheetName val="Table 2"/>
      <sheetName val="Table 3"/>
      <sheetName val="WA SBC"/>
      <sheetName val="WA Depreciation"/>
      <sheetName val="WA Merwin"/>
      <sheetName val="305 VS COGNOS Revenue"/>
      <sheetName val="305 VS COGNOS kWh"/>
      <sheetName val="Rate Design Work-Res NM"/>
      <sheetName val="Temperature"/>
      <sheetName val="Temp. Adjustments"/>
      <sheetName val="305 Inputs"/>
      <sheetName val="Normalized Monthly revenue"/>
      <sheetName val="Normalized Monthly kWh"/>
      <sheetName val="Table A by class"/>
      <sheetName val="NPC Spread"/>
      <sheetName val="by rate"/>
      <sheetName val="by rate (2)"/>
      <sheetName val="SBC (Old)"/>
      <sheetName val="Billing Determinants (2)"/>
      <sheetName val="Blocking - detail"/>
    </sheetNames>
    <sheetDataSet>
      <sheetData sheetId="0"/>
      <sheetData sheetId="1">
        <row r="24">
          <cell r="C24">
            <v>29531</v>
          </cell>
        </row>
        <row r="27">
          <cell r="C27">
            <v>3285746.4134232383</v>
          </cell>
          <cell r="F27">
            <v>469312.62621896534</v>
          </cell>
          <cell r="I27">
            <v>477397.11350964475</v>
          </cell>
        </row>
        <row r="89">
          <cell r="C89">
            <v>1263103.7974192717</v>
          </cell>
        </row>
        <row r="101">
          <cell r="C101">
            <v>1569786637.4891768</v>
          </cell>
          <cell r="F101">
            <v>142933877.03273332</v>
          </cell>
          <cell r="I101">
            <v>145355240.03273332</v>
          </cell>
        </row>
        <row r="177">
          <cell r="C177">
            <v>228552.50150792321</v>
          </cell>
        </row>
        <row r="205">
          <cell r="C205">
            <v>536266600.35221505</v>
          </cell>
          <cell r="F205">
            <v>48607124.891159162</v>
          </cell>
          <cell r="I205">
            <v>49430454.891159162</v>
          </cell>
        </row>
        <row r="597">
          <cell r="I597">
            <v>0</v>
          </cell>
        </row>
        <row r="606">
          <cell r="C606">
            <v>13030.233333333288</v>
          </cell>
        </row>
        <row r="637">
          <cell r="C637">
            <v>928614077.90582776</v>
          </cell>
          <cell r="F637">
            <v>72091735.390272826</v>
          </cell>
          <cell r="I637">
            <v>73313049.390272826</v>
          </cell>
        </row>
        <row r="726">
          <cell r="C726">
            <v>5224.9278642093977</v>
          </cell>
        </row>
        <row r="769">
          <cell r="C769">
            <v>160874871.89494899</v>
          </cell>
          <cell r="F769">
            <v>13779761</v>
          </cell>
          <cell r="I769">
            <v>14013389</v>
          </cell>
        </row>
        <row r="883">
          <cell r="C883">
            <v>12</v>
          </cell>
        </row>
        <row r="897">
          <cell r="C897">
            <v>2252807.7291342677</v>
          </cell>
          <cell r="F897">
            <v>320243.90541901148</v>
          </cell>
          <cell r="I897">
            <v>325816.90541901148</v>
          </cell>
        </row>
        <row r="924">
          <cell r="C924">
            <v>781.84848484848544</v>
          </cell>
        </row>
        <row r="934">
          <cell r="C934">
            <v>413290817.98306477</v>
          </cell>
          <cell r="F934">
            <v>28946199.579258908</v>
          </cell>
          <cell r="I934">
            <v>29436674.579258908</v>
          </cell>
        </row>
        <row r="1093">
          <cell r="C1093">
            <v>12.033333333333299</v>
          </cell>
        </row>
        <row r="1104">
          <cell r="C1104">
            <v>459903501.84810513</v>
          </cell>
          <cell r="F1104">
            <v>26554390.864840947</v>
          </cell>
          <cell r="I1104">
            <v>27004252.864840947</v>
          </cell>
        </row>
        <row r="1135">
          <cell r="C1135">
            <v>2124</v>
          </cell>
        </row>
        <row r="1139">
          <cell r="C1139">
            <v>3932557.785469817</v>
          </cell>
          <cell r="F1139">
            <v>768973.20538016257</v>
          </cell>
          <cell r="I1139">
            <v>782100.20538016257</v>
          </cell>
        </row>
        <row r="1151">
          <cell r="C1151">
            <v>14</v>
          </cell>
        </row>
        <row r="1156">
          <cell r="C1156">
            <v>212195.25038227087</v>
          </cell>
          <cell r="F1156">
            <v>36502.141953691476</v>
          </cell>
          <cell r="I1156">
            <v>37120.141953691476</v>
          </cell>
        </row>
        <row r="1166">
          <cell r="C1166">
            <v>81.416666666666671</v>
          </cell>
        </row>
        <row r="1170">
          <cell r="C1170">
            <v>4656913.169163852</v>
          </cell>
          <cell r="F1170">
            <v>325791.18695836258</v>
          </cell>
          <cell r="I1170">
            <v>331298.27748414397</v>
          </cell>
        </row>
        <row r="1224">
          <cell r="C1224">
            <v>349.46666666666704</v>
          </cell>
        </row>
        <row r="1230">
          <cell r="C1230">
            <v>269627.91580171842</v>
          </cell>
          <cell r="F1230">
            <v>24108.272947769361</v>
          </cell>
          <cell r="I1230">
            <v>24517.272947769361</v>
          </cell>
        </row>
        <row r="1266">
          <cell r="C1266">
            <v>418</v>
          </cell>
        </row>
        <row r="1270">
          <cell r="C1270">
            <v>1753793.1783755131</v>
          </cell>
          <cell r="F1270">
            <v>219701.46192102367</v>
          </cell>
          <cell r="I1270">
            <v>223416.46192102367</v>
          </cell>
        </row>
        <row r="1277">
          <cell r="F1277">
            <v>594939.23</v>
          </cell>
        </row>
      </sheetData>
      <sheetData sheetId="2">
        <row r="27">
          <cell r="I27">
            <v>488556.41257909394</v>
          </cell>
        </row>
        <row r="101">
          <cell r="I101">
            <v>148768018.03273332</v>
          </cell>
        </row>
        <row r="205">
          <cell r="I205">
            <v>50590494.891159162</v>
          </cell>
        </row>
        <row r="597">
          <cell r="I597">
            <v>0</v>
          </cell>
        </row>
        <row r="637">
          <cell r="I637">
            <v>75033954.390272826</v>
          </cell>
        </row>
        <row r="769">
          <cell r="I769">
            <v>14342201</v>
          </cell>
        </row>
        <row r="897">
          <cell r="I897">
            <v>333559.90541901148</v>
          </cell>
        </row>
        <row r="934">
          <cell r="I934">
            <v>30127245.579258908</v>
          </cell>
        </row>
        <row r="1104">
          <cell r="I1104">
            <v>27638135.864840947</v>
          </cell>
        </row>
        <row r="1139">
          <cell r="I1139">
            <v>800339.20538016257</v>
          </cell>
        </row>
        <row r="1156">
          <cell r="I1156">
            <v>37992.141953691476</v>
          </cell>
        </row>
        <row r="1170">
          <cell r="I1170">
            <v>339076.60882721853</v>
          </cell>
        </row>
        <row r="1230">
          <cell r="I1230">
            <v>25091.272947769361</v>
          </cell>
        </row>
        <row r="1270">
          <cell r="I1270">
            <v>228627.46192102367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7">
          <cell r="F27">
            <v>469312.62621896534</v>
          </cell>
          <cell r="I27">
            <v>477397.11350964475</v>
          </cell>
        </row>
        <row r="100">
          <cell r="F100">
            <v>142933877.03273332</v>
          </cell>
          <cell r="I100">
            <v>145355240.03273332</v>
          </cell>
        </row>
        <row r="204">
          <cell r="F204">
            <v>48607125.891159162</v>
          </cell>
          <cell r="I204">
            <v>49430455.891159162</v>
          </cell>
        </row>
        <row r="596">
          <cell r="F596">
            <v>0</v>
          </cell>
          <cell r="I596">
            <v>0</v>
          </cell>
        </row>
        <row r="636">
          <cell r="F636">
            <v>72091735.390272826</v>
          </cell>
          <cell r="I636">
            <v>73313049.390272826</v>
          </cell>
        </row>
        <row r="768">
          <cell r="F768">
            <v>13779761</v>
          </cell>
          <cell r="I768">
            <v>14013389</v>
          </cell>
        </row>
        <row r="898">
          <cell r="F898">
            <v>320243.90541901148</v>
          </cell>
          <cell r="I898">
            <v>325816.90541901148</v>
          </cell>
        </row>
        <row r="935">
          <cell r="F935">
            <v>28946199.579258908</v>
          </cell>
          <cell r="I935">
            <v>29436674.579258908</v>
          </cell>
        </row>
        <row r="1104">
          <cell r="F1104">
            <v>26554390.864840947</v>
          </cell>
          <cell r="I1104">
            <v>27004252.864840947</v>
          </cell>
        </row>
        <row r="1139">
          <cell r="F1139">
            <v>768973.20538016257</v>
          </cell>
          <cell r="I1139">
            <v>782100.20538016257</v>
          </cell>
        </row>
        <row r="1155">
          <cell r="F1155">
            <v>36502.141953691476</v>
          </cell>
          <cell r="I1155">
            <v>37120.141953691476</v>
          </cell>
        </row>
        <row r="1169">
          <cell r="F1169">
            <v>325791.18695836258</v>
          </cell>
          <cell r="I1169">
            <v>331298.20523336262</v>
          </cell>
        </row>
        <row r="1226">
          <cell r="F1226">
            <v>24108.272947769361</v>
          </cell>
          <cell r="I1226">
            <v>24517.272947769361</v>
          </cell>
        </row>
        <row r="1266">
          <cell r="F1266">
            <v>219701.46192102367</v>
          </cell>
          <cell r="I1266">
            <v>223416.46192102367</v>
          </cell>
        </row>
      </sheetData>
      <sheetData sheetId="22">
        <row r="27">
          <cell r="F27">
            <v>477397.11350964475</v>
          </cell>
          <cell r="I27">
            <v>488556.41257909394</v>
          </cell>
        </row>
        <row r="100">
          <cell r="F100">
            <v>145355240.03273332</v>
          </cell>
          <cell r="I100">
            <v>148768018.03273332</v>
          </cell>
        </row>
        <row r="204">
          <cell r="F204">
            <v>49430455.891159162</v>
          </cell>
          <cell r="I204">
            <v>50590495.891159162</v>
          </cell>
        </row>
        <row r="596">
          <cell r="F596">
            <v>0</v>
          </cell>
          <cell r="I596">
            <v>0</v>
          </cell>
        </row>
        <row r="636">
          <cell r="F636">
            <v>73313049.390272826</v>
          </cell>
          <cell r="I636">
            <v>75033954.390272826</v>
          </cell>
        </row>
        <row r="768">
          <cell r="F768">
            <v>14013389</v>
          </cell>
          <cell r="I768">
            <v>14342201</v>
          </cell>
        </row>
        <row r="898">
          <cell r="F898">
            <v>325816.90541901148</v>
          </cell>
          <cell r="I898">
            <v>333559.90541901148</v>
          </cell>
        </row>
        <row r="935">
          <cell r="F935">
            <v>29436674.579258908</v>
          </cell>
          <cell r="I935">
            <v>30127245.579258908</v>
          </cell>
        </row>
        <row r="1104">
          <cell r="F1104">
            <v>27004252.864840947</v>
          </cell>
          <cell r="I1104">
            <v>27638135.864840947</v>
          </cell>
        </row>
        <row r="1139">
          <cell r="F1139">
            <v>782100.20538016257</v>
          </cell>
          <cell r="I1139">
            <v>800339.20538016257</v>
          </cell>
        </row>
        <row r="1155">
          <cell r="F1155">
            <v>37120.141953691476</v>
          </cell>
          <cell r="I1155">
            <v>37992.141953691476</v>
          </cell>
        </row>
        <row r="1169">
          <cell r="F1169">
            <v>331298.20523336262</v>
          </cell>
          <cell r="I1169">
            <v>339076.4865718052</v>
          </cell>
        </row>
        <row r="1226">
          <cell r="F1226">
            <v>24517.272947769361</v>
          </cell>
          <cell r="I1226">
            <v>25091.272947769361</v>
          </cell>
        </row>
        <row r="1266">
          <cell r="F1266">
            <v>223416.46192102367</v>
          </cell>
          <cell r="I1266">
            <v>228627.46192102367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Normal="100" workbookViewId="0"/>
  </sheetViews>
  <sheetFormatPr defaultRowHeight="12.75"/>
  <cols>
    <col min="1" max="1" width="1.75" style="217" customWidth="1"/>
    <col min="2" max="2" width="19" style="217" customWidth="1"/>
    <col min="3" max="12" width="13.75" style="217" customWidth="1"/>
    <col min="13" max="13" width="1.875" style="217" customWidth="1"/>
    <col min="14" max="14" width="13" style="217" hidden="1" customWidth="1"/>
    <col min="15" max="15" width="2" style="217" hidden="1" customWidth="1"/>
    <col min="16" max="19" width="9.375" style="217" hidden="1" customWidth="1"/>
    <col min="20" max="20" width="5" style="217" hidden="1" customWidth="1"/>
    <col min="21" max="21" width="8.5" style="217" customWidth="1"/>
    <col min="22" max="22" width="14.25" style="217" customWidth="1"/>
    <col min="23" max="24" width="8.5" style="217" customWidth="1"/>
    <col min="25" max="25" width="9" style="217" bestFit="1" customWidth="1"/>
    <col min="26" max="16384" width="9" style="217"/>
  </cols>
  <sheetData>
    <row r="1" spans="1:25" s="214" customFormat="1" ht="12.75" customHeight="1">
      <c r="A1" s="212" t="s">
        <v>236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3"/>
      <c r="M1" s="213"/>
      <c r="N1" s="213"/>
      <c r="O1" s="213"/>
      <c r="P1" s="213"/>
      <c r="Q1" s="213"/>
      <c r="R1" s="213"/>
      <c r="S1" s="213"/>
      <c r="T1" s="213"/>
    </row>
    <row r="2" spans="1:25" ht="12.75" customHeight="1">
      <c r="A2" s="215" t="s">
        <v>273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3"/>
      <c r="M2" s="213"/>
      <c r="N2" s="213"/>
      <c r="O2" s="213"/>
      <c r="P2" s="216"/>
      <c r="Q2" s="216"/>
      <c r="R2" s="216"/>
      <c r="S2" s="216"/>
      <c r="T2" s="216"/>
    </row>
    <row r="3" spans="1:25" ht="12.75" customHeight="1">
      <c r="A3" s="212" t="s">
        <v>237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3"/>
      <c r="M3" s="213"/>
      <c r="N3" s="213"/>
      <c r="O3" s="213"/>
      <c r="P3" s="216"/>
      <c r="Q3" s="216"/>
      <c r="R3" s="216"/>
      <c r="S3" s="216"/>
      <c r="T3" s="216"/>
    </row>
    <row r="4" spans="1:25" ht="12.75" customHeight="1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3"/>
      <c r="M4" s="213"/>
      <c r="N4" s="213"/>
      <c r="O4" s="213"/>
      <c r="P4" s="216"/>
      <c r="Q4" s="216"/>
      <c r="R4" s="216"/>
      <c r="S4" s="216"/>
      <c r="T4" s="216"/>
    </row>
    <row r="5" spans="1:25" s="225" customFormat="1" ht="12.75" customHeight="1">
      <c r="A5" s="219" t="s">
        <v>274</v>
      </c>
      <c r="B5" s="220"/>
      <c r="C5" s="221"/>
      <c r="D5" s="222"/>
      <c r="E5" s="222"/>
      <c r="F5" s="223"/>
      <c r="G5" s="223"/>
      <c r="H5" s="222"/>
      <c r="I5" s="220"/>
      <c r="J5" s="224"/>
      <c r="K5" s="222"/>
      <c r="L5" s="213"/>
      <c r="M5" s="213"/>
      <c r="N5" s="213"/>
      <c r="O5" s="213"/>
      <c r="P5" s="216"/>
      <c r="Q5" s="216"/>
      <c r="R5" s="216"/>
      <c r="S5" s="216"/>
      <c r="T5" s="216"/>
      <c r="U5" s="217"/>
      <c r="V5" s="217"/>
      <c r="W5" s="217"/>
    </row>
    <row r="6" spans="1:25" s="236" customFormat="1" ht="12.75" customHeight="1">
      <c r="A6" s="226"/>
      <c r="B6" s="227"/>
      <c r="C6" s="228"/>
      <c r="D6" s="229" t="s">
        <v>238</v>
      </c>
      <c r="E6" s="230"/>
      <c r="F6" s="231" t="s">
        <v>275</v>
      </c>
      <c r="G6" s="232"/>
      <c r="H6" s="232"/>
      <c r="I6" s="232"/>
      <c r="J6" s="231" t="s">
        <v>239</v>
      </c>
      <c r="K6" s="233"/>
      <c r="L6" s="213"/>
      <c r="M6" s="213"/>
      <c r="N6" s="213"/>
      <c r="O6" s="213"/>
      <c r="P6" s="234" t="s">
        <v>268</v>
      </c>
      <c r="Q6" s="235"/>
      <c r="R6" s="235"/>
      <c r="S6" s="235"/>
      <c r="T6" s="216"/>
      <c r="U6" s="217"/>
      <c r="V6" s="217"/>
      <c r="W6" s="217"/>
    </row>
    <row r="7" spans="1:25" s="236" customFormat="1" ht="12.75" customHeight="1">
      <c r="A7" s="226"/>
      <c r="B7" s="237"/>
      <c r="C7" s="238" t="s">
        <v>240</v>
      </c>
      <c r="D7" s="239" t="s">
        <v>241</v>
      </c>
      <c r="E7" s="240" t="s">
        <v>242</v>
      </c>
      <c r="F7" s="241" t="s">
        <v>243</v>
      </c>
      <c r="G7" s="241" t="s">
        <v>269</v>
      </c>
      <c r="H7" s="241" t="s">
        <v>244</v>
      </c>
      <c r="I7" s="242" t="s">
        <v>242</v>
      </c>
      <c r="J7" s="243" t="s">
        <v>114</v>
      </c>
      <c r="K7" s="244" t="s">
        <v>276</v>
      </c>
      <c r="L7" s="213"/>
      <c r="M7" s="213"/>
      <c r="N7" s="213"/>
      <c r="O7" s="213"/>
      <c r="P7" s="216" t="s">
        <v>244</v>
      </c>
      <c r="Q7" s="216" t="s">
        <v>242</v>
      </c>
      <c r="R7" s="216" t="s">
        <v>114</v>
      </c>
      <c r="S7" s="216" t="s">
        <v>245</v>
      </c>
      <c r="T7" s="216"/>
      <c r="U7" s="217"/>
      <c r="V7" s="217"/>
      <c r="W7" s="217"/>
    </row>
    <row r="8" spans="1:25" s="236" customFormat="1" ht="12.75" customHeight="1">
      <c r="A8" s="226"/>
      <c r="B8" s="245" t="s">
        <v>246</v>
      </c>
      <c r="C8" s="246" t="s">
        <v>277</v>
      </c>
      <c r="D8" s="247" t="s">
        <v>278</v>
      </c>
      <c r="E8" s="248" t="s">
        <v>247</v>
      </c>
      <c r="F8" s="249" t="s">
        <v>279</v>
      </c>
      <c r="G8" s="249" t="s">
        <v>248</v>
      </c>
      <c r="H8" s="250" t="s">
        <v>249</v>
      </c>
      <c r="I8" s="248" t="s">
        <v>247</v>
      </c>
      <c r="J8" s="251" t="s">
        <v>280</v>
      </c>
      <c r="K8" s="252" t="s">
        <v>249</v>
      </c>
      <c r="L8" s="213"/>
      <c r="M8" s="213"/>
      <c r="N8" s="213"/>
      <c r="O8" s="213"/>
      <c r="P8" s="253" t="s">
        <v>249</v>
      </c>
      <c r="Q8" s="216" t="s">
        <v>247</v>
      </c>
      <c r="R8" s="216" t="s">
        <v>270</v>
      </c>
      <c r="S8" s="253" t="s">
        <v>249</v>
      </c>
      <c r="T8" s="216"/>
      <c r="U8" s="217"/>
      <c r="V8" s="217"/>
      <c r="W8" s="217"/>
    </row>
    <row r="9" spans="1:25" ht="12.75" customHeight="1" thickBot="1">
      <c r="B9" s="254"/>
      <c r="C9" s="255"/>
      <c r="D9" s="256"/>
      <c r="E9" s="257"/>
      <c r="F9" s="216"/>
      <c r="G9" s="258"/>
      <c r="H9" s="258"/>
      <c r="I9" s="259"/>
      <c r="J9" s="256"/>
      <c r="K9" s="260"/>
      <c r="L9" s="213"/>
      <c r="M9" s="213"/>
      <c r="N9" s="213"/>
      <c r="O9" s="213"/>
      <c r="P9" s="253"/>
      <c r="Q9" s="261"/>
      <c r="R9" s="253"/>
      <c r="S9" s="253"/>
      <c r="T9" s="216"/>
      <c r="X9" s="236"/>
      <c r="Y9" s="236"/>
    </row>
    <row r="10" spans="1:25" ht="12.75" customHeight="1" thickBot="1">
      <c r="B10" s="262" t="s">
        <v>250</v>
      </c>
      <c r="C10" s="255">
        <f>F57</f>
        <v>5858906000.8016996</v>
      </c>
      <c r="D10" s="256">
        <f>G57*$D$16</f>
        <v>48957033</v>
      </c>
      <c r="E10" s="263">
        <f>D10/C10*100</f>
        <v>0.83560024675768818</v>
      </c>
      <c r="F10" s="264">
        <f>F$16*F$50</f>
        <v>-4584549</v>
      </c>
      <c r="G10" s="264">
        <f>G57*$G$16</f>
        <v>2412287.6</v>
      </c>
      <c r="H10" s="258">
        <f>D10+F10+G10</f>
        <v>46784771.600000001</v>
      </c>
      <c r="I10" s="263">
        <f>H10/C10*100</f>
        <v>0.79852401785586302</v>
      </c>
      <c r="J10" s="265">
        <v>-4865439.8824331407</v>
      </c>
      <c r="K10" s="266">
        <f>H10+J10</f>
        <v>41919331.717566863</v>
      </c>
      <c r="L10" s="213"/>
      <c r="M10" s="213"/>
      <c r="N10" s="253">
        <f>+H10-P10</f>
        <v>22793784.634400684</v>
      </c>
      <c r="O10" s="213"/>
      <c r="P10" s="253">
        <v>23990986.965599317</v>
      </c>
      <c r="Q10" s="267">
        <v>0.39258164788671801</v>
      </c>
      <c r="R10" s="253">
        <v>1447172.3175668605</v>
      </c>
      <c r="S10" s="253">
        <v>25438159.283166178</v>
      </c>
      <c r="T10" s="216"/>
      <c r="X10" s="236"/>
      <c r="Y10" s="236"/>
    </row>
    <row r="11" spans="1:25" ht="12.75" customHeight="1" thickBot="1">
      <c r="B11" s="262"/>
      <c r="C11" s="255"/>
      <c r="D11" s="256"/>
      <c r="E11" s="263"/>
      <c r="F11" s="264"/>
      <c r="G11" s="264"/>
      <c r="H11" s="258"/>
      <c r="I11" s="263"/>
      <c r="J11" s="265"/>
      <c r="K11" s="260"/>
      <c r="L11" s="213"/>
      <c r="M11" s="213"/>
      <c r="N11" s="213"/>
      <c r="O11" s="213"/>
      <c r="P11" s="253"/>
      <c r="Q11" s="267"/>
      <c r="R11" s="253"/>
      <c r="S11" s="253"/>
      <c r="T11" s="216"/>
      <c r="X11" s="236"/>
      <c r="Y11" s="236"/>
    </row>
    <row r="12" spans="1:25" ht="12.75" customHeight="1" thickBot="1">
      <c r="B12" s="262" t="s">
        <v>251</v>
      </c>
      <c r="C12" s="255">
        <f>F58</f>
        <v>1795751718.1373</v>
      </c>
      <c r="D12" s="256">
        <f>G58*$D$16</f>
        <v>15002259</v>
      </c>
      <c r="E12" s="263">
        <f>D12/C12*100</f>
        <v>0.83543058032329565</v>
      </c>
      <c r="F12" s="264">
        <f>F$16*F$51</f>
        <v>-1452196</v>
      </c>
      <c r="G12" s="264">
        <f>G58*$G$16</f>
        <v>739214.8</v>
      </c>
      <c r="H12" s="258">
        <f>D12+F12+G12</f>
        <v>14289277.800000001</v>
      </c>
      <c r="I12" s="263">
        <f t="shared" ref="I12:I16" si="0">H12/C12*100</f>
        <v>0.79572680653325523</v>
      </c>
      <c r="J12" s="265">
        <v>748935.17999999481</v>
      </c>
      <c r="K12" s="266">
        <f>H12+J12</f>
        <v>15038212.979999995</v>
      </c>
      <c r="L12" s="213"/>
      <c r="M12" s="213"/>
      <c r="N12" s="253">
        <f>+H12-P12</f>
        <v>6727295.3584168442</v>
      </c>
      <c r="O12" s="213"/>
      <c r="P12" s="253">
        <v>7561982.4415831566</v>
      </c>
      <c r="Q12" s="267">
        <v>0.39227062716802991</v>
      </c>
      <c r="R12" s="253">
        <v>671571.35999999451</v>
      </c>
      <c r="S12" s="253">
        <v>8233553.8015831513</v>
      </c>
      <c r="T12" s="216"/>
      <c r="X12" s="236"/>
      <c r="Y12" s="236"/>
    </row>
    <row r="13" spans="1:25" ht="12.75" customHeight="1" thickBot="1">
      <c r="B13" s="262"/>
      <c r="C13" s="255"/>
      <c r="D13" s="256"/>
      <c r="E13" s="263"/>
      <c r="F13" s="264"/>
      <c r="G13" s="264"/>
      <c r="H13" s="258"/>
      <c r="I13" s="263"/>
      <c r="J13" s="265"/>
      <c r="K13" s="260"/>
      <c r="L13" s="213"/>
      <c r="M13" s="213"/>
      <c r="N13" s="213"/>
      <c r="O13" s="213"/>
      <c r="P13" s="253"/>
      <c r="Q13" s="267"/>
      <c r="R13" s="253"/>
      <c r="S13" s="253"/>
      <c r="T13" s="216"/>
      <c r="X13" s="236"/>
      <c r="Y13" s="236"/>
    </row>
    <row r="14" spans="1:25" ht="12.75" customHeight="1" thickBot="1">
      <c r="B14" s="262" t="s">
        <v>252</v>
      </c>
      <c r="C14" s="255">
        <f>F59</f>
        <v>1035895639.2176501</v>
      </c>
      <c r="D14" s="256">
        <f>G59*$D$16</f>
        <v>8655708</v>
      </c>
      <c r="E14" s="263">
        <f>D14/C14*100</f>
        <v>0.83557722151790681</v>
      </c>
      <c r="F14" s="264">
        <f>F$16*F$52</f>
        <v>-2406255</v>
      </c>
      <c r="G14" s="264">
        <f>G59*$G$16</f>
        <v>426497.6</v>
      </c>
      <c r="H14" s="258">
        <f>D14+F14+G14</f>
        <v>6675950.5999999996</v>
      </c>
      <c r="I14" s="263">
        <f t="shared" si="0"/>
        <v>0.64446169548912724</v>
      </c>
      <c r="J14" s="265">
        <v>3627774.1909825765</v>
      </c>
      <c r="K14" s="266">
        <f>H14+J14</f>
        <v>10303724.790982576</v>
      </c>
      <c r="L14" s="213"/>
      <c r="M14" s="213"/>
      <c r="N14" s="253">
        <f>+H14-P14</f>
        <v>3488161.3273426956</v>
      </c>
      <c r="O14" s="213"/>
      <c r="P14" s="253">
        <v>3187789.2726573041</v>
      </c>
      <c r="Q14" s="267">
        <v>0.26646797365545261</v>
      </c>
      <c r="R14" s="253">
        <v>168414.85</v>
      </c>
      <c r="S14" s="253">
        <v>3356204.1226573042</v>
      </c>
      <c r="T14" s="216"/>
      <c r="X14" s="236"/>
      <c r="Y14" s="236"/>
    </row>
    <row r="15" spans="1:25" ht="12.75" customHeight="1" thickBot="1">
      <c r="B15" s="262"/>
      <c r="C15" s="255"/>
      <c r="D15" s="256"/>
      <c r="E15" s="263"/>
      <c r="F15" s="264"/>
      <c r="G15" s="264"/>
      <c r="H15" s="258"/>
      <c r="I15" s="263"/>
      <c r="J15" s="256"/>
      <c r="K15" s="260"/>
      <c r="L15" s="213"/>
      <c r="M15" s="213"/>
      <c r="N15" s="213"/>
      <c r="O15" s="213"/>
      <c r="P15" s="253"/>
      <c r="Q15" s="267"/>
      <c r="R15" s="253"/>
      <c r="S15" s="253"/>
      <c r="T15" s="216"/>
      <c r="X15" s="236"/>
      <c r="Y15" s="236"/>
    </row>
    <row r="16" spans="1:25" ht="12.75" customHeight="1" thickBot="1">
      <c r="B16" s="268" t="s">
        <v>253</v>
      </c>
      <c r="C16" s="269">
        <f>C10+C12+C14</f>
        <v>8690553358.1566486</v>
      </c>
      <c r="D16" s="270">
        <v>72615000</v>
      </c>
      <c r="E16" s="271">
        <f>D16/C16*100</f>
        <v>0.83556244357956921</v>
      </c>
      <c r="F16" s="272">
        <v>-8443000</v>
      </c>
      <c r="G16" s="272">
        <v>3578000</v>
      </c>
      <c r="H16" s="273">
        <f>D16+F16+G16</f>
        <v>67750000</v>
      </c>
      <c r="I16" s="271">
        <f t="shared" si="0"/>
        <v>0.77958211874290173</v>
      </c>
      <c r="J16" s="274">
        <f>SUM(J10:J14)</f>
        <v>-488730.51145056915</v>
      </c>
      <c r="K16" s="266">
        <f>SUM(K10:K14)</f>
        <v>67261269.488549441</v>
      </c>
      <c r="L16" s="213"/>
      <c r="M16" s="213"/>
      <c r="N16" s="253">
        <f>+H16-P16</f>
        <v>33009241.320160225</v>
      </c>
      <c r="O16" s="213"/>
      <c r="P16" s="253">
        <v>34740758.679839775</v>
      </c>
      <c r="Q16" s="267">
        <v>0.37618006630563461</v>
      </c>
      <c r="R16" s="253">
        <v>2287158.5275668553</v>
      </c>
      <c r="S16" s="253">
        <v>37027917.207406633</v>
      </c>
      <c r="T16" s="216"/>
      <c r="X16" s="236"/>
      <c r="Y16" s="236"/>
    </row>
    <row r="17" spans="1:25" ht="12.75" customHeight="1">
      <c r="A17" s="216"/>
      <c r="B17" s="275" t="s">
        <v>140</v>
      </c>
      <c r="C17" s="276"/>
      <c r="D17" s="277">
        <f>SUM(D10:D14)</f>
        <v>72615000</v>
      </c>
      <c r="E17" s="277"/>
      <c r="F17" s="278">
        <f>SUM(F10:F14)</f>
        <v>-8443000</v>
      </c>
      <c r="G17" s="278">
        <f>SUM(G10:G14)</f>
        <v>3578000.0000000005</v>
      </c>
      <c r="H17" s="277">
        <f>SUM(H10:H14)</f>
        <v>67750000</v>
      </c>
      <c r="I17" s="277"/>
      <c r="J17" s="277"/>
      <c r="K17" s="277"/>
      <c r="L17" s="213"/>
      <c r="M17" s="213"/>
      <c r="N17" s="213"/>
      <c r="O17" s="213"/>
      <c r="P17" s="216"/>
      <c r="Q17" s="216"/>
      <c r="R17" s="216"/>
      <c r="S17" s="216"/>
      <c r="T17" s="216"/>
      <c r="X17" s="236"/>
      <c r="Y17" s="236"/>
    </row>
    <row r="18" spans="1:25" ht="12.75" customHeight="1">
      <c r="A18" s="216"/>
      <c r="B18" s="275"/>
      <c r="C18" s="276"/>
      <c r="D18" s="277"/>
      <c r="E18" s="277"/>
      <c r="F18" s="278"/>
      <c r="G18" s="278"/>
      <c r="H18" s="277"/>
      <c r="I18" s="277"/>
      <c r="J18" s="277"/>
      <c r="K18" s="277"/>
      <c r="L18" s="213"/>
      <c r="M18" s="213"/>
      <c r="N18" s="213"/>
      <c r="O18" s="213"/>
      <c r="P18" s="216"/>
      <c r="Q18" s="216"/>
      <c r="R18" s="216"/>
      <c r="S18" s="216"/>
      <c r="T18" s="216"/>
      <c r="X18" s="236"/>
      <c r="Y18" s="236"/>
    </row>
    <row r="19" spans="1:25" s="225" customFormat="1" ht="12.75" customHeight="1">
      <c r="A19" s="219" t="s">
        <v>281</v>
      </c>
      <c r="B19" s="220"/>
      <c r="C19" s="221"/>
      <c r="D19" s="222"/>
      <c r="E19" s="222"/>
      <c r="F19" s="279"/>
      <c r="G19" s="279"/>
      <c r="H19" s="222"/>
      <c r="I19" s="220"/>
      <c r="J19" s="224"/>
      <c r="K19" s="222"/>
      <c r="L19" s="216"/>
      <c r="M19" s="216"/>
      <c r="N19" s="216"/>
      <c r="O19" s="258"/>
      <c r="P19" s="216"/>
      <c r="Q19" s="216"/>
      <c r="R19" s="216"/>
      <c r="S19" s="216"/>
      <c r="T19" s="216"/>
      <c r="U19" s="217"/>
      <c r="V19" s="217"/>
      <c r="W19" s="217"/>
      <c r="X19" s="236"/>
      <c r="Y19" s="236"/>
    </row>
    <row r="20" spans="1:25" ht="12.75" customHeight="1">
      <c r="A20" s="226"/>
      <c r="B20" s="227"/>
      <c r="C20" s="228"/>
      <c r="D20" s="229" t="s">
        <v>238</v>
      </c>
      <c r="E20" s="230"/>
      <c r="F20" s="280" t="s">
        <v>275</v>
      </c>
      <c r="G20" s="281"/>
      <c r="H20" s="232"/>
      <c r="I20" s="232"/>
      <c r="J20" s="231" t="s">
        <v>239</v>
      </c>
      <c r="K20" s="233"/>
      <c r="L20" s="216"/>
      <c r="M20" s="216"/>
      <c r="N20" s="216"/>
      <c r="O20" s="258"/>
      <c r="P20" s="216"/>
      <c r="Q20" s="216"/>
      <c r="R20" s="216"/>
      <c r="S20" s="216"/>
      <c r="T20" s="216"/>
      <c r="X20" s="236"/>
      <c r="Y20" s="236"/>
    </row>
    <row r="21" spans="1:25" ht="12.75" customHeight="1">
      <c r="A21" s="226"/>
      <c r="B21" s="237"/>
      <c r="C21" s="238" t="s">
        <v>240</v>
      </c>
      <c r="D21" s="239" t="s">
        <v>254</v>
      </c>
      <c r="E21" s="240" t="s">
        <v>242</v>
      </c>
      <c r="F21" s="282" t="s">
        <v>243</v>
      </c>
      <c r="G21" s="241" t="s">
        <v>269</v>
      </c>
      <c r="H21" s="241" t="s">
        <v>254</v>
      </c>
      <c r="I21" s="242" t="s">
        <v>242</v>
      </c>
      <c r="J21" s="243" t="s">
        <v>114</v>
      </c>
      <c r="K21" s="244" t="s">
        <v>282</v>
      </c>
      <c r="L21" s="216"/>
      <c r="M21" s="216"/>
      <c r="N21" s="216"/>
      <c r="O21" s="216"/>
      <c r="P21" s="216"/>
      <c r="Q21" s="216"/>
      <c r="R21" s="216"/>
      <c r="S21" s="216"/>
      <c r="T21" s="216"/>
      <c r="X21" s="236"/>
      <c r="Y21" s="236"/>
    </row>
    <row r="22" spans="1:25" ht="12.75" customHeight="1">
      <c r="A22" s="226"/>
      <c r="B22" s="245" t="s">
        <v>246</v>
      </c>
      <c r="C22" s="246" t="s">
        <v>283</v>
      </c>
      <c r="D22" s="247" t="s">
        <v>278</v>
      </c>
      <c r="E22" s="248" t="s">
        <v>247</v>
      </c>
      <c r="F22" s="283" t="s">
        <v>279</v>
      </c>
      <c r="G22" s="283" t="s">
        <v>248</v>
      </c>
      <c r="H22" s="250" t="s">
        <v>249</v>
      </c>
      <c r="I22" s="248" t="s">
        <v>247</v>
      </c>
      <c r="J22" s="251" t="s">
        <v>284</v>
      </c>
      <c r="K22" s="252" t="s">
        <v>249</v>
      </c>
      <c r="L22" s="216"/>
      <c r="M22" s="216"/>
      <c r="N22" s="216"/>
      <c r="O22" s="216"/>
      <c r="P22" s="216"/>
      <c r="Q22" s="216"/>
      <c r="R22" s="216"/>
      <c r="S22" s="216"/>
      <c r="T22" s="216"/>
    </row>
    <row r="23" spans="1:25" ht="12.75" customHeight="1" thickBot="1">
      <c r="B23" s="262"/>
      <c r="C23" s="255"/>
      <c r="D23" s="256"/>
      <c r="E23" s="257"/>
      <c r="F23" s="284"/>
      <c r="G23" s="264"/>
      <c r="H23" s="258"/>
      <c r="I23" s="259"/>
      <c r="J23" s="256"/>
      <c r="K23" s="260"/>
      <c r="L23" s="216"/>
      <c r="N23" s="216"/>
      <c r="O23" s="216"/>
      <c r="P23" s="216"/>
      <c r="Q23" s="216"/>
      <c r="R23" s="216"/>
      <c r="S23" s="216"/>
      <c r="T23" s="216"/>
    </row>
    <row r="24" spans="1:25" ht="12.75" customHeight="1" thickBot="1">
      <c r="B24" s="262" t="s">
        <v>250</v>
      </c>
      <c r="C24" s="255">
        <f>F57</f>
        <v>5858906000.8016996</v>
      </c>
      <c r="D24" s="256">
        <f>G57*$D$16</f>
        <v>48957033</v>
      </c>
      <c r="E24" s="263">
        <f>D24/C24*100</f>
        <v>0.83560024675768818</v>
      </c>
      <c r="F24" s="264">
        <f>F$30*F$50</f>
        <v>-4584549</v>
      </c>
      <c r="G24" s="264">
        <f>G57*$G$16</f>
        <v>2412287.6</v>
      </c>
      <c r="H24" s="258">
        <f>D24+F24+G24</f>
        <v>46784771.600000001</v>
      </c>
      <c r="I24" s="263">
        <f>H24/C24*100</f>
        <v>0.79852401785586302</v>
      </c>
      <c r="J24" s="256">
        <v>0</v>
      </c>
      <c r="K24" s="266">
        <f>H24+J24</f>
        <v>46784771.600000001</v>
      </c>
      <c r="L24" s="216"/>
      <c r="N24" s="216"/>
      <c r="O24" s="216"/>
      <c r="P24" s="216"/>
      <c r="Q24" s="216"/>
      <c r="R24" s="216"/>
      <c r="S24" s="216"/>
      <c r="T24" s="216"/>
    </row>
    <row r="25" spans="1:25" ht="12.75" customHeight="1" thickBot="1">
      <c r="B25" s="262"/>
      <c r="C25" s="255"/>
      <c r="D25" s="256"/>
      <c r="E25" s="263"/>
      <c r="F25" s="264"/>
      <c r="G25" s="264"/>
      <c r="H25" s="258"/>
      <c r="I25" s="263"/>
      <c r="J25" s="256"/>
      <c r="K25" s="260"/>
      <c r="L25" s="216"/>
      <c r="N25" s="216"/>
      <c r="O25" s="216"/>
      <c r="P25" s="216"/>
      <c r="Q25" s="216"/>
      <c r="R25" s="216"/>
      <c r="S25" s="216"/>
      <c r="T25" s="216"/>
    </row>
    <row r="26" spans="1:25" ht="12.75" customHeight="1" thickBot="1">
      <c r="B26" s="262" t="s">
        <v>251</v>
      </c>
      <c r="C26" s="255">
        <f>F58</f>
        <v>1795751718.1373</v>
      </c>
      <c r="D26" s="256">
        <f>G58*$D$16</f>
        <v>15002259</v>
      </c>
      <c r="E26" s="263">
        <f>D26/C26*100</f>
        <v>0.83543058032329565</v>
      </c>
      <c r="F26" s="264">
        <f>F$30*F$51</f>
        <v>-1452196</v>
      </c>
      <c r="G26" s="264">
        <f>G58*$G$16</f>
        <v>739214.8</v>
      </c>
      <c r="H26" s="258">
        <f>D26+F26+G26</f>
        <v>14289277.800000001</v>
      </c>
      <c r="I26" s="263">
        <f t="shared" ref="I26:I30" si="1">H26/C26*100</f>
        <v>0.79572680653325523</v>
      </c>
      <c r="J26" s="256">
        <v>0</v>
      </c>
      <c r="K26" s="266">
        <f>H26+J26</f>
        <v>14289277.800000001</v>
      </c>
      <c r="L26" s="216"/>
      <c r="N26" s="216"/>
      <c r="O26" s="216"/>
      <c r="P26" s="216"/>
      <c r="Q26" s="216"/>
      <c r="R26" s="216"/>
      <c r="S26" s="216"/>
      <c r="T26" s="216"/>
    </row>
    <row r="27" spans="1:25" ht="12.75" customHeight="1" thickBot="1">
      <c r="B27" s="262"/>
      <c r="C27" s="255"/>
      <c r="D27" s="256"/>
      <c r="E27" s="263"/>
      <c r="F27" s="264"/>
      <c r="G27" s="264"/>
      <c r="H27" s="258"/>
      <c r="I27" s="263"/>
      <c r="J27" s="256"/>
      <c r="K27" s="260"/>
      <c r="L27" s="216"/>
      <c r="N27" s="216"/>
      <c r="O27" s="216"/>
      <c r="P27" s="216"/>
      <c r="Q27" s="216"/>
      <c r="R27" s="216"/>
      <c r="S27" s="216"/>
      <c r="T27" s="216"/>
    </row>
    <row r="28" spans="1:25" ht="12.75" customHeight="1" thickBot="1">
      <c r="B28" s="262" t="s">
        <v>252</v>
      </c>
      <c r="C28" s="255">
        <f>F59</f>
        <v>1035895639.2176501</v>
      </c>
      <c r="D28" s="256">
        <f>G59*$D$16</f>
        <v>8655708</v>
      </c>
      <c r="E28" s="263">
        <f>D28/C28*100</f>
        <v>0.83557722151790681</v>
      </c>
      <c r="F28" s="264">
        <f>F$30*F$52</f>
        <v>-2406255</v>
      </c>
      <c r="G28" s="264">
        <f>G59*$G$16</f>
        <v>426497.6</v>
      </c>
      <c r="H28" s="258">
        <f>D28+F28+G28</f>
        <v>6675950.5999999996</v>
      </c>
      <c r="I28" s="263">
        <f t="shared" si="1"/>
        <v>0.64446169548912724</v>
      </c>
      <c r="J28" s="256">
        <v>0</v>
      </c>
      <c r="K28" s="266">
        <f>H28+J28</f>
        <v>6675950.5999999996</v>
      </c>
      <c r="L28" s="216"/>
      <c r="N28" s="216"/>
      <c r="O28" s="216"/>
      <c r="P28" s="216"/>
      <c r="Q28" s="216"/>
      <c r="R28" s="216"/>
      <c r="S28" s="216"/>
      <c r="T28" s="216"/>
    </row>
    <row r="29" spans="1:25" ht="12.75" customHeight="1" thickBot="1">
      <c r="B29" s="262"/>
      <c r="C29" s="255"/>
      <c r="D29" s="256"/>
      <c r="E29" s="263"/>
      <c r="F29" s="264"/>
      <c r="G29" s="264"/>
      <c r="H29" s="258"/>
      <c r="I29" s="263"/>
      <c r="J29" s="256"/>
      <c r="K29" s="260"/>
      <c r="L29" s="216"/>
      <c r="N29" s="216"/>
      <c r="O29" s="216"/>
      <c r="P29" s="216"/>
      <c r="Q29" s="216"/>
      <c r="R29" s="216"/>
      <c r="S29" s="216"/>
      <c r="T29" s="216"/>
    </row>
    <row r="30" spans="1:25" ht="12.75" customHeight="1" thickBot="1">
      <c r="B30" s="268" t="s">
        <v>253</v>
      </c>
      <c r="C30" s="269">
        <f>C24+C26+C28</f>
        <v>8690553358.1566486</v>
      </c>
      <c r="D30" s="274">
        <f>D16</f>
        <v>72615000</v>
      </c>
      <c r="E30" s="271">
        <f>D30/C30*100</f>
        <v>0.83556244357956921</v>
      </c>
      <c r="F30" s="285">
        <f>F16</f>
        <v>-8443000</v>
      </c>
      <c r="G30" s="285">
        <f>G16</f>
        <v>3578000</v>
      </c>
      <c r="H30" s="273">
        <f>D30+F30+G30</f>
        <v>67750000</v>
      </c>
      <c r="I30" s="271">
        <f t="shared" si="1"/>
        <v>0.77958211874290173</v>
      </c>
      <c r="J30" s="274">
        <f>SUM(J24:J28)</f>
        <v>0</v>
      </c>
      <c r="K30" s="266">
        <f>SUM(K24:K28)</f>
        <v>67750000</v>
      </c>
      <c r="L30" s="216"/>
      <c r="N30" s="216"/>
      <c r="O30" s="216"/>
      <c r="P30" s="216"/>
      <c r="Q30" s="216"/>
      <c r="R30" s="216"/>
      <c r="S30" s="216"/>
      <c r="T30" s="216"/>
    </row>
    <row r="31" spans="1:25" ht="12.75" customHeight="1">
      <c r="A31" s="216"/>
      <c r="B31" s="275" t="s">
        <v>140</v>
      </c>
      <c r="C31" s="276"/>
      <c r="D31" s="277">
        <f>SUM(D24:D28)</f>
        <v>72615000</v>
      </c>
      <c r="E31" s="277"/>
      <c r="F31" s="278">
        <f>SUM(F24:F28)</f>
        <v>-8443000</v>
      </c>
      <c r="G31" s="278">
        <f>SUM(G24:G28)</f>
        <v>3578000.0000000005</v>
      </c>
      <c r="H31" s="277">
        <f>SUM(H24:H28)</f>
        <v>67750000</v>
      </c>
      <c r="I31" s="277"/>
      <c r="J31" s="277"/>
      <c r="K31" s="277"/>
      <c r="L31" s="216"/>
      <c r="M31" s="216"/>
      <c r="N31" s="216"/>
      <c r="O31" s="216"/>
      <c r="P31" s="216"/>
      <c r="Q31" s="216"/>
      <c r="R31" s="216"/>
      <c r="S31" s="216"/>
      <c r="T31" s="216"/>
    </row>
    <row r="32" spans="1:25" ht="12.75" customHeight="1">
      <c r="A32" s="216"/>
      <c r="B32" s="275"/>
      <c r="C32" s="276"/>
      <c r="D32" s="277"/>
      <c r="E32" s="277"/>
      <c r="F32" s="277"/>
      <c r="G32" s="278"/>
      <c r="H32" s="277"/>
      <c r="I32" s="277"/>
      <c r="J32" s="277"/>
      <c r="K32" s="277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</row>
    <row r="33" spans="1:23" s="225" customFormat="1" ht="12.75" customHeight="1">
      <c r="A33" s="286" t="s">
        <v>285</v>
      </c>
      <c r="B33" s="220"/>
      <c r="C33" s="221"/>
      <c r="D33" s="222"/>
      <c r="E33" s="222"/>
      <c r="F33" s="223"/>
      <c r="G33" s="279"/>
      <c r="H33" s="222"/>
      <c r="I33" s="220"/>
      <c r="J33" s="224"/>
      <c r="K33" s="222"/>
      <c r="L33" s="226"/>
      <c r="M33" s="216"/>
      <c r="N33" s="216"/>
      <c r="O33" s="216"/>
      <c r="P33" s="216"/>
      <c r="Q33" s="216"/>
      <c r="R33" s="216"/>
      <c r="S33" s="216"/>
      <c r="T33" s="216"/>
      <c r="U33" s="216"/>
      <c r="V33" s="287"/>
      <c r="W33" s="217"/>
    </row>
    <row r="34" spans="1:23" ht="12.75" customHeight="1">
      <c r="A34" s="226"/>
      <c r="B34" s="288" t="s">
        <v>255</v>
      </c>
      <c r="C34" s="228"/>
      <c r="D34" s="229" t="s">
        <v>238</v>
      </c>
      <c r="E34" s="230"/>
      <c r="F34" s="280" t="s">
        <v>275</v>
      </c>
      <c r="G34" s="281"/>
      <c r="H34" s="232"/>
      <c r="I34" s="232"/>
      <c r="J34" s="231" t="s">
        <v>239</v>
      </c>
      <c r="K34" s="232"/>
      <c r="L34" s="404"/>
      <c r="M34" s="216"/>
      <c r="N34" s="289"/>
      <c r="O34" s="216"/>
      <c r="P34" s="216"/>
      <c r="Q34" s="216"/>
      <c r="R34" s="216"/>
      <c r="S34" s="216"/>
      <c r="T34" s="216"/>
      <c r="U34" s="216"/>
      <c r="V34" s="405"/>
    </row>
    <row r="35" spans="1:23" ht="12.75" customHeight="1">
      <c r="A35" s="226"/>
      <c r="B35" s="237"/>
      <c r="C35" s="238" t="s">
        <v>240</v>
      </c>
      <c r="D35" s="239" t="s">
        <v>254</v>
      </c>
      <c r="E35" s="240" t="s">
        <v>242</v>
      </c>
      <c r="F35" s="282" t="s">
        <v>243</v>
      </c>
      <c r="G35" s="241" t="s">
        <v>269</v>
      </c>
      <c r="H35" s="241" t="s">
        <v>254</v>
      </c>
      <c r="I35" s="242" t="s">
        <v>242</v>
      </c>
      <c r="J35" s="290" t="s">
        <v>257</v>
      </c>
      <c r="K35" s="403"/>
      <c r="L35" s="404"/>
      <c r="M35" s="216"/>
      <c r="N35" s="291"/>
      <c r="O35" s="216"/>
      <c r="P35" s="216"/>
      <c r="Q35" s="216"/>
      <c r="R35" s="216"/>
      <c r="S35" s="216"/>
      <c r="T35" s="216"/>
      <c r="U35" s="216"/>
      <c r="V35" s="405"/>
    </row>
    <row r="36" spans="1:23" ht="12.75" customHeight="1">
      <c r="A36" s="226"/>
      <c r="B36" s="245" t="s">
        <v>246</v>
      </c>
      <c r="C36" s="246" t="s">
        <v>283</v>
      </c>
      <c r="D36" s="247" t="s">
        <v>278</v>
      </c>
      <c r="E36" s="248" t="s">
        <v>247</v>
      </c>
      <c r="F36" s="283" t="s">
        <v>279</v>
      </c>
      <c r="G36" s="283" t="s">
        <v>248</v>
      </c>
      <c r="H36" s="250" t="s">
        <v>249</v>
      </c>
      <c r="I36" s="248" t="s">
        <v>247</v>
      </c>
      <c r="J36" s="292" t="str">
        <f>+J8</f>
        <v>Balance 7-31-17</v>
      </c>
      <c r="K36" s="250" t="s">
        <v>249</v>
      </c>
      <c r="L36" s="404"/>
      <c r="M36" s="216"/>
      <c r="N36" s="293"/>
      <c r="O36" s="216"/>
      <c r="P36" s="216"/>
      <c r="Q36" s="216"/>
      <c r="R36" s="216"/>
      <c r="S36" s="216"/>
      <c r="T36" s="216"/>
      <c r="U36" s="216"/>
      <c r="V36" s="405"/>
    </row>
    <row r="37" spans="1:23" ht="12.75" customHeight="1" thickBot="1">
      <c r="A37" s="216"/>
      <c r="B37" s="254"/>
      <c r="C37" s="294"/>
      <c r="D37" s="243"/>
      <c r="E37" s="295"/>
      <c r="F37" s="296"/>
      <c r="G37" s="297"/>
      <c r="H37" s="298"/>
      <c r="I37" s="259"/>
      <c r="J37" s="299"/>
      <c r="K37" s="260"/>
      <c r="L37" s="216"/>
      <c r="M37" s="216"/>
      <c r="N37" s="300"/>
      <c r="O37" s="216"/>
      <c r="P37" s="216"/>
      <c r="Q37" s="216"/>
      <c r="R37" s="216"/>
      <c r="S37" s="216"/>
      <c r="T37" s="216"/>
      <c r="U37" s="216"/>
      <c r="V37" s="406"/>
    </row>
    <row r="38" spans="1:23" ht="12.75" customHeight="1" thickBot="1">
      <c r="A38" s="216"/>
      <c r="B38" s="262" t="s">
        <v>250</v>
      </c>
      <c r="C38" s="255">
        <f>(C10+C24)</f>
        <v>11717812001.603399</v>
      </c>
      <c r="D38" s="256">
        <f>C38/$C$44*$D$44</f>
        <v>97909636.294657394</v>
      </c>
      <c r="E38" s="263">
        <f>D38/C38*100</f>
        <v>0.83556244357956921</v>
      </c>
      <c r="F38" s="264">
        <f>F$44*F$50</f>
        <v>-9169098</v>
      </c>
      <c r="G38" s="264">
        <f>C38/$C$44*$G$44</f>
        <v>4824356.932621141</v>
      </c>
      <c r="H38" s="258">
        <f>D38+F38+G38</f>
        <v>93564895.227278531</v>
      </c>
      <c r="I38" s="263">
        <f>H38/C38*100</f>
        <v>0.7984843519803495</v>
      </c>
      <c r="J38" s="301">
        <f>J10+J24</f>
        <v>-4865439.8824331407</v>
      </c>
      <c r="K38" s="266">
        <f>H38+J38</f>
        <v>88699455.344845384</v>
      </c>
      <c r="L38" s="258"/>
      <c r="M38" s="216"/>
      <c r="N38" s="302"/>
      <c r="O38" s="216"/>
      <c r="P38" s="258"/>
      <c r="Q38" s="258"/>
      <c r="R38" s="216"/>
      <c r="S38" s="216"/>
      <c r="T38" s="216"/>
      <c r="U38" s="407"/>
      <c r="V38" s="408"/>
    </row>
    <row r="39" spans="1:23" ht="12.75" customHeight="1" thickBot="1">
      <c r="B39" s="262"/>
      <c r="C39" s="255"/>
      <c r="D39" s="256"/>
      <c r="E39" s="263"/>
      <c r="F39" s="264"/>
      <c r="G39" s="264"/>
      <c r="H39" s="258"/>
      <c r="I39" s="263"/>
      <c r="J39" s="301"/>
      <c r="K39" s="260"/>
      <c r="L39" s="216"/>
      <c r="M39" s="216"/>
      <c r="N39" s="300"/>
      <c r="O39" s="216"/>
      <c r="P39" s="216"/>
      <c r="Q39" s="216"/>
      <c r="R39" s="216"/>
      <c r="S39" s="216"/>
      <c r="T39" s="216"/>
      <c r="U39" s="216"/>
      <c r="V39" s="406"/>
    </row>
    <row r="40" spans="1:23" ht="12.75" customHeight="1" thickBot="1">
      <c r="B40" s="262" t="s">
        <v>251</v>
      </c>
      <c r="C40" s="255">
        <f>(C12+C26)</f>
        <v>3591503436.2746</v>
      </c>
      <c r="D40" s="256">
        <f>C40/$C$44*$D$44</f>
        <v>30009253.87338024</v>
      </c>
      <c r="E40" s="263">
        <f>D40/C40*100</f>
        <v>0.83556244357956899</v>
      </c>
      <c r="F40" s="264">
        <f>F$44*F$51</f>
        <v>-2904392</v>
      </c>
      <c r="G40" s="264">
        <f>C40/$C$44*$G$44</f>
        <v>1478662.9533698892</v>
      </c>
      <c r="H40" s="258">
        <f>D40+F40+G40</f>
        <v>28583524.826750129</v>
      </c>
      <c r="I40" s="263">
        <f t="shared" ref="I40:I44" si="2">H40/C40*100</f>
        <v>0.79586516716239841</v>
      </c>
      <c r="J40" s="301">
        <f>J12+J26</f>
        <v>748935.17999999481</v>
      </c>
      <c r="K40" s="266">
        <f>H40+J40</f>
        <v>29332460.006750125</v>
      </c>
      <c r="L40" s="258"/>
      <c r="M40" s="216"/>
      <c r="N40" s="302"/>
      <c r="O40" s="216"/>
      <c r="P40" s="258"/>
      <c r="Q40" s="258"/>
      <c r="R40" s="216"/>
      <c r="S40" s="216"/>
      <c r="T40" s="216"/>
      <c r="U40" s="407"/>
      <c r="V40" s="408"/>
    </row>
    <row r="41" spans="1:23" ht="12.75" customHeight="1" thickBot="1">
      <c r="B41" s="262"/>
      <c r="C41" s="255"/>
      <c r="D41" s="256"/>
      <c r="E41" s="263"/>
      <c r="F41" s="264"/>
      <c r="G41" s="264"/>
      <c r="H41" s="258"/>
      <c r="I41" s="263"/>
      <c r="J41" s="301"/>
      <c r="K41" s="260"/>
      <c r="L41" s="216"/>
      <c r="M41" s="216"/>
      <c r="N41" s="300"/>
      <c r="O41" s="216"/>
      <c r="P41" s="216"/>
      <c r="Q41" s="216"/>
      <c r="R41" s="216"/>
      <c r="S41" s="216"/>
      <c r="T41" s="216"/>
      <c r="U41" s="216"/>
      <c r="V41" s="406"/>
    </row>
    <row r="42" spans="1:23" ht="12.75" customHeight="1" thickBot="1">
      <c r="B42" s="262" t="s">
        <v>252</v>
      </c>
      <c r="C42" s="255">
        <f>(C14+C28)</f>
        <v>2071791278.4353001</v>
      </c>
      <c r="D42" s="256">
        <f>C42/$C$44*$D$44</f>
        <v>17311109.831962388</v>
      </c>
      <c r="E42" s="263">
        <f>D42/C42*100</f>
        <v>0.83556244357956921</v>
      </c>
      <c r="F42" s="264">
        <f>F$44*F$52</f>
        <v>-4812510</v>
      </c>
      <c r="G42" s="264">
        <f>C42/$C$44*$G$44</f>
        <v>852980.11400897102</v>
      </c>
      <c r="H42" s="258">
        <f>D42+F42+G42</f>
        <v>13351579.945971359</v>
      </c>
      <c r="I42" s="263">
        <f t="shared" si="2"/>
        <v>0.64444618938906861</v>
      </c>
      <c r="J42" s="301">
        <f>J14+J28</f>
        <v>3627774.1909825765</v>
      </c>
      <c r="K42" s="266">
        <f>H42+J42</f>
        <v>16979354.136953935</v>
      </c>
      <c r="L42" s="258"/>
      <c r="M42" s="216"/>
      <c r="N42" s="302"/>
      <c r="O42" s="216"/>
      <c r="P42" s="258"/>
      <c r="Q42" s="258"/>
      <c r="R42" s="216"/>
      <c r="S42" s="216"/>
      <c r="T42" s="216"/>
      <c r="U42" s="407"/>
      <c r="V42" s="408"/>
    </row>
    <row r="43" spans="1:23" ht="12.75" customHeight="1" thickBot="1">
      <c r="B43" s="262"/>
      <c r="C43" s="255"/>
      <c r="D43" s="256"/>
      <c r="E43" s="263"/>
      <c r="F43" s="264"/>
      <c r="G43" s="264"/>
      <c r="H43" s="258"/>
      <c r="I43" s="263"/>
      <c r="J43" s="256"/>
      <c r="K43" s="260"/>
      <c r="L43" s="216"/>
      <c r="M43" s="216"/>
      <c r="N43" s="300"/>
      <c r="O43" s="216"/>
      <c r="P43" s="216"/>
      <c r="Q43" s="216"/>
      <c r="R43" s="216"/>
      <c r="S43" s="216"/>
      <c r="T43" s="216"/>
      <c r="U43" s="216"/>
      <c r="V43" s="406"/>
    </row>
    <row r="44" spans="1:23" ht="12.75" customHeight="1" thickBot="1">
      <c r="B44" s="268" t="s">
        <v>253</v>
      </c>
      <c r="C44" s="269">
        <f>C38+C40+C42</f>
        <v>17381106716.313297</v>
      </c>
      <c r="D44" s="274">
        <f>D30*2</f>
        <v>145230000</v>
      </c>
      <c r="E44" s="271">
        <f>D44/C44*100</f>
        <v>0.83556244357956921</v>
      </c>
      <c r="F44" s="285">
        <f>F30*2</f>
        <v>-16886000</v>
      </c>
      <c r="G44" s="285">
        <f>G30*2</f>
        <v>7156000</v>
      </c>
      <c r="H44" s="273">
        <f>D44+F44+G44</f>
        <v>135500000</v>
      </c>
      <c r="I44" s="271">
        <f t="shared" si="2"/>
        <v>0.77958211874290173</v>
      </c>
      <c r="J44" s="274">
        <f>SUM(J38:J42)</f>
        <v>-488730.51145056915</v>
      </c>
      <c r="K44" s="266">
        <f>SUM(K38:K42)</f>
        <v>135011269.48854944</v>
      </c>
      <c r="L44" s="253"/>
      <c r="M44" s="216"/>
      <c r="N44" s="302"/>
      <c r="O44" s="216"/>
      <c r="P44" s="289"/>
      <c r="Q44" s="289"/>
      <c r="R44" s="216"/>
      <c r="S44" s="216"/>
      <c r="T44" s="216"/>
      <c r="U44" s="407"/>
      <c r="V44" s="409"/>
    </row>
    <row r="45" spans="1:23" ht="12.75" customHeight="1">
      <c r="A45" s="216"/>
      <c r="B45" s="275" t="s">
        <v>140</v>
      </c>
      <c r="C45" s="276"/>
      <c r="D45" s="277">
        <f>SUM(D38:D42)</f>
        <v>145230000.00000003</v>
      </c>
      <c r="E45" s="277"/>
      <c r="F45" s="278">
        <f>SUM(F38:F42)</f>
        <v>-16886000</v>
      </c>
      <c r="G45" s="278">
        <f>SUM(G38:G42)</f>
        <v>7156000.0000000019</v>
      </c>
      <c r="H45" s="277">
        <f>SUM(H38:H42)</f>
        <v>135500000.00000003</v>
      </c>
      <c r="I45" s="277"/>
      <c r="J45" s="277"/>
      <c r="K45" s="277"/>
      <c r="L45" s="216"/>
      <c r="M45" s="216"/>
      <c r="N45" s="216"/>
      <c r="O45" s="216"/>
      <c r="P45" s="289"/>
      <c r="Q45" s="289"/>
      <c r="R45" s="216"/>
      <c r="S45" s="216"/>
      <c r="T45" s="216"/>
      <c r="U45" s="216"/>
      <c r="V45" s="216"/>
    </row>
    <row r="46" spans="1:23" s="308" customFormat="1" ht="12.75" customHeight="1">
      <c r="A46" s="303"/>
      <c r="B46" s="304"/>
      <c r="C46" s="305"/>
      <c r="D46" s="306"/>
      <c r="E46" s="277"/>
      <c r="F46" s="307"/>
      <c r="G46" s="277"/>
      <c r="H46" s="277"/>
      <c r="I46" s="277"/>
      <c r="J46" s="277"/>
      <c r="K46" s="277"/>
      <c r="L46" s="300"/>
      <c r="M46" s="216"/>
      <c r="N46" s="300"/>
      <c r="O46" s="300"/>
      <c r="P46" s="258"/>
      <c r="Q46" s="258"/>
      <c r="R46" s="300"/>
      <c r="S46" s="300"/>
      <c r="T46" s="300"/>
      <c r="U46" s="300"/>
      <c r="V46" s="300"/>
    </row>
    <row r="47" spans="1:23" s="308" customFormat="1" ht="9.9499999999999993" customHeight="1">
      <c r="A47" s="309">
        <v>-1</v>
      </c>
      <c r="B47" s="310" t="s">
        <v>271</v>
      </c>
      <c r="C47" s="276"/>
      <c r="D47" s="277"/>
      <c r="E47" s="277"/>
      <c r="F47" s="307" t="s">
        <v>258</v>
      </c>
      <c r="G47" s="277"/>
      <c r="L47" s="300"/>
      <c r="M47" s="300"/>
      <c r="N47" s="300"/>
      <c r="O47" s="300"/>
      <c r="P47" s="258"/>
      <c r="Q47" s="258"/>
      <c r="R47" s="300"/>
      <c r="S47" s="300"/>
      <c r="T47" s="300"/>
    </row>
    <row r="48" spans="1:23" s="308" customFormat="1" ht="9.9499999999999993" customHeight="1">
      <c r="A48" s="309">
        <v>-2</v>
      </c>
      <c r="B48" s="310" t="s">
        <v>286</v>
      </c>
      <c r="C48" s="276"/>
      <c r="D48" s="277"/>
      <c r="E48" s="277"/>
      <c r="F48" s="307" t="s">
        <v>259</v>
      </c>
      <c r="G48" s="277"/>
      <c r="H48" s="311"/>
      <c r="I48" s="312"/>
      <c r="J48" s="313"/>
      <c r="L48" s="300"/>
      <c r="M48" s="300"/>
      <c r="N48" s="300"/>
      <c r="O48" s="300"/>
      <c r="P48" s="258"/>
      <c r="Q48" s="258"/>
      <c r="R48" s="300"/>
      <c r="S48" s="300"/>
      <c r="T48" s="300"/>
    </row>
    <row r="49" spans="1:20" s="308" customFormat="1" ht="9.9499999999999993" customHeight="1">
      <c r="A49" s="309">
        <v>-3</v>
      </c>
      <c r="B49" s="310" t="s">
        <v>286</v>
      </c>
      <c r="C49" s="276"/>
      <c r="D49" s="277"/>
      <c r="E49" s="277"/>
      <c r="F49" s="314" t="s">
        <v>260</v>
      </c>
      <c r="G49" s="277"/>
      <c r="H49" s="311"/>
      <c r="I49" s="312"/>
      <c r="J49" s="313"/>
      <c r="L49" s="300"/>
      <c r="M49" s="300"/>
      <c r="N49" s="300"/>
      <c r="O49" s="300"/>
      <c r="P49" s="258"/>
      <c r="Q49" s="258"/>
      <c r="R49" s="300"/>
      <c r="S49" s="300"/>
      <c r="T49" s="300"/>
    </row>
    <row r="50" spans="1:20" s="308" customFormat="1" ht="9.9499999999999993" customHeight="1">
      <c r="A50" s="309">
        <v>-4</v>
      </c>
      <c r="B50" s="310" t="s">
        <v>261</v>
      </c>
      <c r="E50" s="310" t="s">
        <v>250</v>
      </c>
      <c r="F50" s="315">
        <v>0.54300000000000004</v>
      </c>
      <c r="G50" s="277"/>
      <c r="H50" s="311"/>
      <c r="I50" s="312"/>
      <c r="J50" s="313"/>
      <c r="L50" s="300"/>
      <c r="M50" s="300"/>
      <c r="N50" s="300"/>
      <c r="O50" s="300"/>
      <c r="P50" s="258"/>
      <c r="Q50" s="258"/>
      <c r="R50" s="300"/>
      <c r="S50" s="300"/>
      <c r="T50" s="300"/>
    </row>
    <row r="51" spans="1:20" s="308" customFormat="1" ht="9.9499999999999993" customHeight="1">
      <c r="B51" s="316" t="s">
        <v>262</v>
      </c>
      <c r="E51" s="310" t="s">
        <v>251</v>
      </c>
      <c r="F51" s="315">
        <v>0.17199999999999999</v>
      </c>
      <c r="G51" s="277"/>
      <c r="H51" s="311"/>
      <c r="I51" s="312"/>
      <c r="J51" s="313"/>
      <c r="L51" s="300"/>
      <c r="M51" s="300"/>
      <c r="N51" s="300"/>
      <c r="O51" s="300"/>
      <c r="P51" s="300"/>
      <c r="Q51" s="300"/>
      <c r="R51" s="300"/>
      <c r="S51" s="317"/>
      <c r="T51" s="318"/>
    </row>
    <row r="52" spans="1:20" s="308" customFormat="1" ht="9.9499999999999993" customHeight="1">
      <c r="B52" s="316" t="s">
        <v>263</v>
      </c>
      <c r="E52" s="310" t="s">
        <v>252</v>
      </c>
      <c r="F52" s="315">
        <v>0.28499999999999998</v>
      </c>
      <c r="G52" s="277"/>
      <c r="H52" s="311"/>
      <c r="I52" s="312"/>
      <c r="J52" s="313"/>
      <c r="L52" s="300"/>
      <c r="M52" s="300"/>
      <c r="N52" s="300"/>
      <c r="O52" s="300"/>
      <c r="P52" s="319"/>
      <c r="Q52" s="319"/>
      <c r="R52" s="320"/>
      <c r="S52" s="317"/>
      <c r="T52" s="318"/>
    </row>
    <row r="53" spans="1:20" s="308" customFormat="1" ht="12.75" customHeight="1">
      <c r="A53" s="311"/>
      <c r="B53" s="311"/>
      <c r="E53" s="311"/>
      <c r="F53" s="311"/>
      <c r="G53" s="277"/>
      <c r="H53" s="311"/>
      <c r="I53" s="312"/>
      <c r="J53" s="313"/>
      <c r="L53" s="300"/>
      <c r="M53" s="300"/>
      <c r="N53" s="300"/>
      <c r="O53" s="300"/>
      <c r="P53" s="300"/>
      <c r="Q53" s="300"/>
      <c r="R53" s="300"/>
      <c r="S53" s="317"/>
      <c r="T53" s="318"/>
    </row>
    <row r="54" spans="1:20" s="308" customFormat="1" ht="12.75" customHeight="1">
      <c r="A54" s="311"/>
      <c r="B54" s="311"/>
      <c r="E54" s="311"/>
      <c r="F54" s="311"/>
      <c r="G54" s="276"/>
      <c r="K54" s="300"/>
      <c r="L54" s="300"/>
      <c r="M54" s="300"/>
      <c r="N54" s="300"/>
      <c r="O54" s="300"/>
      <c r="P54" s="319"/>
      <c r="Q54" s="319"/>
      <c r="R54" s="320"/>
      <c r="S54" s="317"/>
      <c r="T54" s="318"/>
    </row>
    <row r="55" spans="1:20" s="308" customFormat="1" ht="12.75" customHeight="1">
      <c r="B55" s="311"/>
      <c r="C55" s="410" t="s">
        <v>264</v>
      </c>
      <c r="D55" s="410"/>
      <c r="E55" s="307" t="s">
        <v>265</v>
      </c>
      <c r="F55" s="307" t="s">
        <v>256</v>
      </c>
      <c r="G55" s="307" t="s">
        <v>246</v>
      </c>
      <c r="J55" s="313"/>
      <c r="L55" s="300"/>
      <c r="M55" s="300"/>
      <c r="N55" s="300"/>
      <c r="O55" s="300"/>
      <c r="P55" s="300"/>
      <c r="Q55" s="300"/>
      <c r="R55" s="300"/>
      <c r="S55" s="317"/>
      <c r="T55" s="318"/>
    </row>
    <row r="56" spans="1:20" s="308" customFormat="1" ht="12.75" customHeight="1">
      <c r="C56" s="321" t="s">
        <v>287</v>
      </c>
      <c r="D56" s="321" t="s">
        <v>288</v>
      </c>
      <c r="E56" s="307" t="s">
        <v>266</v>
      </c>
      <c r="F56" s="307" t="s">
        <v>266</v>
      </c>
      <c r="G56" s="307" t="s">
        <v>267</v>
      </c>
      <c r="K56" s="300"/>
      <c r="L56" s="300"/>
      <c r="M56" s="300"/>
      <c r="N56" s="300"/>
      <c r="O56" s="300"/>
      <c r="P56" s="319"/>
      <c r="Q56" s="319"/>
      <c r="R56" s="320"/>
      <c r="S56" s="317"/>
      <c r="T56" s="317"/>
    </row>
    <row r="57" spans="1:20" s="308" customFormat="1" ht="12.75" customHeight="1">
      <c r="B57" s="322" t="s">
        <v>250</v>
      </c>
      <c r="C57" s="323">
        <v>5828010036.6033993</v>
      </c>
      <c r="D57" s="323">
        <v>5889801965</v>
      </c>
      <c r="E57" s="324"/>
      <c r="F57" s="325">
        <f>AVERAGE(C57:D57)</f>
        <v>5858906000.8016996</v>
      </c>
      <c r="G57" s="326">
        <f>ROUND(F57/$F$61,4)</f>
        <v>0.67420000000000002</v>
      </c>
      <c r="H57" s="217"/>
      <c r="I57" s="327"/>
      <c r="J57" s="313"/>
      <c r="L57" s="300"/>
      <c r="M57" s="300"/>
      <c r="N57" s="300"/>
      <c r="O57" s="300"/>
      <c r="P57" s="300"/>
      <c r="Q57" s="300"/>
      <c r="R57" s="300"/>
      <c r="S57" s="317"/>
      <c r="T57" s="300"/>
    </row>
    <row r="58" spans="1:20" s="308" customFormat="1" ht="12.75" customHeight="1">
      <c r="B58" s="328" t="s">
        <v>251</v>
      </c>
      <c r="C58" s="329">
        <v>1821110716.2746</v>
      </c>
      <c r="D58" s="329">
        <v>1770392720</v>
      </c>
      <c r="E58" s="330"/>
      <c r="F58" s="331">
        <f>AVERAGE(C58:D58)</f>
        <v>1795751718.1373</v>
      </c>
      <c r="G58" s="332">
        <f>ROUND(F58/$F$61,4)</f>
        <v>0.20660000000000001</v>
      </c>
      <c r="H58" s="217"/>
      <c r="I58" s="327"/>
      <c r="J58" s="313"/>
      <c r="L58" s="300"/>
      <c r="M58" s="300"/>
      <c r="N58" s="300"/>
      <c r="O58" s="300"/>
      <c r="P58" s="300"/>
      <c r="Q58" s="300"/>
      <c r="R58" s="300"/>
      <c r="S58" s="300"/>
      <c r="T58" s="300"/>
    </row>
    <row r="59" spans="1:20" s="308" customFormat="1" ht="12.75" customHeight="1">
      <c r="B59" s="328" t="s">
        <v>252</v>
      </c>
      <c r="C59" s="329">
        <v>1025893727.4353001</v>
      </c>
      <c r="D59" s="329">
        <v>1045897551</v>
      </c>
      <c r="E59" s="330"/>
      <c r="F59" s="331">
        <f>AVERAGE(C59:D59)</f>
        <v>1035895639.2176501</v>
      </c>
      <c r="G59" s="332">
        <f>ROUND(F59/$F$61,4)</f>
        <v>0.1192</v>
      </c>
      <c r="H59" s="217"/>
      <c r="I59" s="327"/>
      <c r="J59" s="313"/>
      <c r="L59" s="300"/>
      <c r="M59" s="300"/>
      <c r="N59" s="300"/>
      <c r="O59" s="300"/>
      <c r="P59" s="300"/>
      <c r="Q59" s="300"/>
      <c r="R59" s="300"/>
      <c r="S59" s="300"/>
      <c r="T59" s="300"/>
    </row>
    <row r="60" spans="1:20" s="308" customFormat="1" ht="12.75" customHeight="1">
      <c r="B60" s="333"/>
      <c r="C60" s="334"/>
      <c r="D60" s="334"/>
      <c r="E60" s="330"/>
      <c r="F60" s="335"/>
      <c r="G60" s="336"/>
      <c r="H60" s="217"/>
      <c r="I60" s="327"/>
      <c r="K60" s="300"/>
      <c r="L60" s="300"/>
      <c r="M60" s="300"/>
      <c r="N60" s="300"/>
      <c r="O60" s="300"/>
      <c r="P60" s="300"/>
      <c r="Q60" s="300"/>
      <c r="R60" s="300"/>
      <c r="S60" s="300"/>
      <c r="T60" s="300"/>
    </row>
    <row r="61" spans="1:20" s="308" customFormat="1" ht="12.75" customHeight="1">
      <c r="B61" s="337" t="s">
        <v>253</v>
      </c>
      <c r="C61" s="338">
        <f>C57+C58+C59</f>
        <v>8675014480.3132992</v>
      </c>
      <c r="D61" s="338">
        <f>D57+D58+D59</f>
        <v>8706092236</v>
      </c>
      <c r="E61" s="339"/>
      <c r="F61" s="340">
        <f>SUM(F57:F59)</f>
        <v>8690553358.1566486</v>
      </c>
      <c r="G61" s="341">
        <f>SUM(G57:G60)</f>
        <v>1</v>
      </c>
      <c r="H61" s="217"/>
      <c r="I61" s="327"/>
      <c r="J61" s="313"/>
      <c r="L61" s="300"/>
      <c r="M61" s="300"/>
      <c r="N61" s="300"/>
      <c r="O61" s="300"/>
      <c r="P61" s="300"/>
      <c r="Q61" s="300"/>
      <c r="R61" s="300"/>
      <c r="S61" s="300"/>
      <c r="T61" s="300"/>
    </row>
    <row r="62" spans="1:20" s="308" customFormat="1" ht="12.75" customHeight="1">
      <c r="C62" s="308" t="s">
        <v>272</v>
      </c>
      <c r="D62" s="308" t="s">
        <v>272</v>
      </c>
      <c r="H62" s="217"/>
      <c r="K62" s="300"/>
      <c r="L62" s="300"/>
      <c r="M62" s="300"/>
      <c r="N62" s="300"/>
      <c r="O62" s="300"/>
      <c r="P62" s="300"/>
      <c r="Q62" s="300"/>
      <c r="R62" s="300"/>
      <c r="S62" s="300"/>
      <c r="T62" s="300"/>
    </row>
    <row r="63" spans="1:20" ht="12.75" customHeight="1">
      <c r="B63" s="308"/>
      <c r="C63" s="342"/>
      <c r="D63" s="342"/>
      <c r="E63" s="343"/>
      <c r="F63" s="343"/>
      <c r="G63" s="312"/>
      <c r="I63" s="327"/>
      <c r="J63" s="313"/>
      <c r="K63" s="308"/>
      <c r="L63" s="300"/>
      <c r="M63" s="300"/>
    </row>
    <row r="64" spans="1:20">
      <c r="G64" s="312"/>
      <c r="I64" s="344"/>
    </row>
    <row r="65" spans="9:9">
      <c r="I65" s="344"/>
    </row>
    <row r="66" spans="9:9">
      <c r="I66" s="344"/>
    </row>
  </sheetData>
  <mergeCells count="1">
    <mergeCell ref="C55:D55"/>
  </mergeCells>
  <printOptions horizontalCentered="1"/>
  <pageMargins left="0" right="0" top="0.5" bottom="0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/>
  </sheetViews>
  <sheetFormatPr defaultRowHeight="12.75"/>
  <cols>
    <col min="1" max="1" width="15.875" style="176" customWidth="1"/>
    <col min="2" max="2" width="13.5" style="176" customWidth="1"/>
    <col min="3" max="3" width="10" style="176" customWidth="1"/>
    <col min="4" max="16384" width="9" style="176"/>
  </cols>
  <sheetData>
    <row r="1" spans="1:3">
      <c r="A1" s="175" t="s">
        <v>63</v>
      </c>
    </row>
    <row r="2" spans="1:3">
      <c r="A2" s="175" t="s">
        <v>133</v>
      </c>
    </row>
    <row r="3" spans="1:3">
      <c r="A3" s="175" t="s">
        <v>134</v>
      </c>
    </row>
    <row r="4" spans="1:3">
      <c r="A4" s="175" t="s">
        <v>339</v>
      </c>
    </row>
    <row r="7" spans="1:3">
      <c r="B7" s="177" t="s">
        <v>338</v>
      </c>
    </row>
    <row r="8" spans="1:3">
      <c r="A8" s="175" t="s">
        <v>135</v>
      </c>
      <c r="B8" s="177" t="s">
        <v>118</v>
      </c>
    </row>
    <row r="9" spans="1:3">
      <c r="A9" s="178" t="s">
        <v>39</v>
      </c>
      <c r="B9" s="179">
        <f>'Attachment D'!O16</f>
        <v>1569786.6374891768</v>
      </c>
    </row>
    <row r="10" spans="1:3">
      <c r="A10" s="178" t="s">
        <v>141</v>
      </c>
      <c r="B10" s="179">
        <f>'Attachment D'!O22+'Attachment D'!O24+'Attachment D'!O25</f>
        <v>229108.10100000002</v>
      </c>
    </row>
    <row r="11" spans="1:3" ht="13.5" thickBot="1">
      <c r="A11" s="180" t="s">
        <v>136</v>
      </c>
      <c r="B11" s="186">
        <f>'Attachment D'!O35</f>
        <v>1603.396</v>
      </c>
    </row>
    <row r="12" spans="1:3" ht="13.5" thickTop="1">
      <c r="A12" s="178" t="s">
        <v>76</v>
      </c>
      <c r="B12" s="179">
        <f>SUM(B9:B11)</f>
        <v>1800498.1344891768</v>
      </c>
    </row>
    <row r="14" spans="1:3">
      <c r="A14" s="175" t="s">
        <v>137</v>
      </c>
      <c r="B14" s="181">
        <f>'Attachment D'!U51</f>
        <v>-14666230</v>
      </c>
    </row>
    <row r="16" spans="1:3">
      <c r="A16" s="182" t="s">
        <v>138</v>
      </c>
      <c r="B16" s="183">
        <f>ROUND(B14/B12/10,3)</f>
        <v>-0.81499999999999995</v>
      </c>
      <c r="C16" s="184" t="s">
        <v>139</v>
      </c>
    </row>
    <row r="19" spans="1:2">
      <c r="A19" s="175" t="s">
        <v>140</v>
      </c>
      <c r="B19" s="181">
        <f>B16/100*B12*1000</f>
        <v>-14674059.796086788</v>
      </c>
    </row>
    <row r="20" spans="1:2">
      <c r="B20" s="181">
        <f>B19-B14</f>
        <v>-7829.7960867881775</v>
      </c>
    </row>
    <row r="21" spans="1:2">
      <c r="B21" s="185">
        <f>B20/B14</f>
        <v>5.3386562782584059E-4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49"/>
  <sheetViews>
    <sheetView view="pageBreakPreview" zoomScale="75" zoomScaleNormal="100" workbookViewId="0"/>
  </sheetViews>
  <sheetFormatPr defaultColWidth="8.5" defaultRowHeight="15"/>
  <cols>
    <col min="1" max="1" width="4.625" style="83" customWidth="1"/>
    <col min="2" max="2" width="8.5" style="83"/>
    <col min="3" max="3" width="2.75" style="83" customWidth="1"/>
    <col min="4" max="4" width="11.375" style="83" bestFit="1" customWidth="1"/>
    <col min="5" max="5" width="4" style="83" customWidth="1"/>
    <col min="6" max="6" width="12.875" style="83" bestFit="1" customWidth="1"/>
    <col min="7" max="7" width="3" style="83" customWidth="1"/>
    <col min="8" max="8" width="9.25" style="83" hidden="1" customWidth="1"/>
    <col min="9" max="9" width="2.875" style="83" hidden="1" customWidth="1"/>
    <col min="10" max="10" width="7.25" style="83" hidden="1" customWidth="1"/>
    <col min="11" max="11" width="3.375" style="83" hidden="1" customWidth="1"/>
    <col min="12" max="12" width="8" style="83" bestFit="1" customWidth="1"/>
    <col min="13" max="13" width="1.875" style="83" customWidth="1"/>
    <col min="14" max="14" width="9.75" style="83" customWidth="1"/>
    <col min="15" max="15" width="2.125" style="83" customWidth="1"/>
    <col min="16" max="16" width="2.25" style="83" customWidth="1"/>
    <col min="17" max="17" width="15.125" style="83" customWidth="1"/>
    <col min="18" max="18" width="18.625" style="83" customWidth="1"/>
    <col min="19" max="19" width="9.125" style="83" customWidth="1"/>
    <col min="20" max="20" width="8.25" style="83" customWidth="1"/>
    <col min="21" max="21" width="1.625" style="83" customWidth="1"/>
    <col min="22" max="16384" width="8.5" style="83"/>
  </cols>
  <sheetData>
    <row r="2" spans="1:24" ht="18.75"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6" t="s">
        <v>0</v>
      </c>
    </row>
    <row r="3" spans="1:24" ht="18.75">
      <c r="B3" s="411" t="s">
        <v>63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87"/>
    </row>
    <row r="4" spans="1:24" ht="18.75">
      <c r="A4" s="88"/>
      <c r="B4" s="411" t="s">
        <v>64</v>
      </c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87"/>
    </row>
    <row r="5" spans="1:24" ht="18.75">
      <c r="A5" s="88"/>
      <c r="B5" s="411" t="s">
        <v>65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87"/>
    </row>
    <row r="6" spans="1:24" ht="18.75"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8" spans="1:24" ht="18.75" thickBot="1">
      <c r="D8" s="89" t="s">
        <v>66</v>
      </c>
      <c r="E8" s="89"/>
      <c r="F8" s="89"/>
      <c r="I8" s="90"/>
      <c r="J8" s="90"/>
      <c r="K8" s="90"/>
      <c r="L8" s="91"/>
      <c r="O8" s="92"/>
      <c r="P8" s="88"/>
      <c r="Q8" s="92"/>
    </row>
    <row r="9" spans="1:24">
      <c r="D9" s="93" t="s">
        <v>67</v>
      </c>
      <c r="E9" s="94"/>
      <c r="F9" s="94" t="s">
        <v>7</v>
      </c>
      <c r="H9" s="95" t="s">
        <v>68</v>
      </c>
      <c r="J9" s="95" t="s">
        <v>69</v>
      </c>
      <c r="L9" s="412" t="s">
        <v>70</v>
      </c>
      <c r="M9" s="412"/>
      <c r="N9" s="412"/>
      <c r="P9" s="94"/>
      <c r="Q9" s="96" t="s">
        <v>71</v>
      </c>
      <c r="R9" s="97"/>
      <c r="S9" s="96" t="s">
        <v>72</v>
      </c>
      <c r="T9" s="97"/>
    </row>
    <row r="10" spans="1:24" ht="18">
      <c r="B10" s="98" t="s">
        <v>26</v>
      </c>
      <c r="D10" s="99" t="s">
        <v>73</v>
      </c>
      <c r="E10" s="100" t="s">
        <v>0</v>
      </c>
      <c r="F10" s="99" t="s">
        <v>73</v>
      </c>
      <c r="G10" s="100" t="s">
        <v>0</v>
      </c>
      <c r="H10" s="98" t="s">
        <v>74</v>
      </c>
      <c r="I10" s="100"/>
      <c r="J10" s="98" t="s">
        <v>75</v>
      </c>
      <c r="K10" s="100"/>
      <c r="L10" s="98" t="s">
        <v>76</v>
      </c>
      <c r="N10" s="99" t="s">
        <v>77</v>
      </c>
      <c r="Q10" s="101" t="s">
        <v>78</v>
      </c>
      <c r="R10" s="102">
        <v>7.75</v>
      </c>
      <c r="S10" s="101"/>
      <c r="T10" s="102">
        <f>R10</f>
        <v>7.75</v>
      </c>
    </row>
    <row r="11" spans="1:24">
      <c r="B11" s="103"/>
      <c r="D11" s="103"/>
      <c r="E11" s="103"/>
      <c r="F11" s="103"/>
      <c r="Q11" s="101" t="s">
        <v>79</v>
      </c>
      <c r="R11" s="104">
        <f>6.548+T13+T21+T22</f>
        <v>6.93</v>
      </c>
      <c r="S11" s="101"/>
      <c r="T11" s="105">
        <f>R11</f>
        <v>6.93</v>
      </c>
      <c r="U11" s="106"/>
    </row>
    <row r="12" spans="1:24" ht="15.75" thickBot="1">
      <c r="B12" s="107">
        <v>50</v>
      </c>
      <c r="D12" s="108">
        <f>ROUND((($B12*R$11/100+R$10))+((B12*$T$16)/100),2)+T18</f>
        <v>11.58</v>
      </c>
      <c r="F12" s="108">
        <f>ROUND((($B12*T$11/100+T$10))+((B12*$T$17)/100),2)+$T$18</f>
        <v>11.55</v>
      </c>
      <c r="H12" s="108">
        <v>0.25</v>
      </c>
      <c r="J12" s="109">
        <f>F12-D12-H12</f>
        <v>-0.27999999999999936</v>
      </c>
      <c r="L12" s="109">
        <f>F12-D12</f>
        <v>-2.9999999999999361E-2</v>
      </c>
      <c r="N12" s="110">
        <f>(F12-D12)/D12</f>
        <v>-2.5906735751294783E-3</v>
      </c>
      <c r="Q12" s="111" t="s">
        <v>69</v>
      </c>
      <c r="R12" s="112">
        <f>10.35+T14+T21+T22</f>
        <v>10.731999999999999</v>
      </c>
      <c r="S12" s="111"/>
      <c r="T12" s="112">
        <f>R12</f>
        <v>10.731999999999999</v>
      </c>
    </row>
    <row r="13" spans="1:24">
      <c r="B13" s="107">
        <v>100</v>
      </c>
      <c r="D13" s="108">
        <f>ROUND((($B13*R$11/100+R$10))+((B13*$T$16)/100),2)+T18</f>
        <v>14.67</v>
      </c>
      <c r="F13" s="108">
        <f t="shared" ref="F13:F19" si="0">ROUND((($B13*T$11/100+T$10))+((B13*$T$17)/100),2)+$T$18</f>
        <v>14.61</v>
      </c>
      <c r="H13" s="108">
        <v>0.25</v>
      </c>
      <c r="J13" s="109">
        <f t="shared" ref="J13:J35" si="1">F13-D13-H13</f>
        <v>-0.3100000000000005</v>
      </c>
      <c r="L13" s="109">
        <f>F13-D13</f>
        <v>-6.0000000000000497E-2</v>
      </c>
      <c r="N13" s="110">
        <f>(F13-D13)/D13</f>
        <v>-4.0899795501022837E-3</v>
      </c>
      <c r="Q13" s="113"/>
      <c r="R13" s="113" t="s">
        <v>80</v>
      </c>
      <c r="S13" s="113"/>
      <c r="T13" s="114">
        <v>0.378</v>
      </c>
      <c r="X13" s="109"/>
    </row>
    <row r="14" spans="1:24">
      <c r="B14" s="107">
        <v>150</v>
      </c>
      <c r="D14" s="108">
        <f>ROUND((($B14*R$11/100+R$10))+((B14*$T$16)/100),2)+T18</f>
        <v>17.759999999999998</v>
      </c>
      <c r="F14" s="108">
        <f t="shared" si="0"/>
        <v>17.66</v>
      </c>
      <c r="H14" s="108">
        <v>0.25</v>
      </c>
      <c r="J14" s="109">
        <f t="shared" si="1"/>
        <v>-0.34999999999999787</v>
      </c>
      <c r="L14" s="109">
        <f>F14-D14</f>
        <v>-9.9999999999997868E-2</v>
      </c>
      <c r="N14" s="110">
        <f>(F14-D14)/D14</f>
        <v>-5.6306306306305115E-3</v>
      </c>
      <c r="Q14" s="113"/>
      <c r="R14" s="113"/>
      <c r="S14" s="113"/>
      <c r="T14" s="114">
        <v>0.378</v>
      </c>
      <c r="U14" s="115"/>
      <c r="X14" s="109"/>
    </row>
    <row r="15" spans="1:24">
      <c r="D15" s="116"/>
      <c r="F15" s="108"/>
      <c r="Q15" s="113"/>
      <c r="R15" s="113"/>
      <c r="S15" s="113"/>
      <c r="T15" s="117"/>
      <c r="X15" s="109"/>
    </row>
    <row r="16" spans="1:24">
      <c r="B16" s="107">
        <v>200</v>
      </c>
      <c r="D16" s="108">
        <f>ROUND((($B16*R$11/100+R$10))+((B16*$T$16)/100),2)+T18</f>
        <v>20.86</v>
      </c>
      <c r="F16" s="108">
        <f t="shared" si="0"/>
        <v>20.72</v>
      </c>
      <c r="H16" s="108">
        <v>0.25</v>
      </c>
      <c r="J16" s="109">
        <f t="shared" si="1"/>
        <v>-0.39000000000000057</v>
      </c>
      <c r="L16" s="109">
        <f>F16-D16</f>
        <v>-0.14000000000000057</v>
      </c>
      <c r="N16" s="110">
        <f>(F16-D16)/D16</f>
        <v>-6.711409395973182E-3</v>
      </c>
      <c r="Q16" s="113"/>
      <c r="R16" s="113" t="s">
        <v>81</v>
      </c>
      <c r="S16" s="113"/>
      <c r="T16" s="114">
        <v>-0.747</v>
      </c>
      <c r="V16" s="83" t="s">
        <v>0</v>
      </c>
      <c r="X16" s="109"/>
    </row>
    <row r="17" spans="2:24">
      <c r="B17" s="107">
        <v>300</v>
      </c>
      <c r="D17" s="108">
        <f>ROUND((($B17*R$11/100+R$10))+((B17*$T$16)/100),2)+T18</f>
        <v>27.04</v>
      </c>
      <c r="F17" s="108">
        <f t="shared" si="0"/>
        <v>26.84</v>
      </c>
      <c r="H17" s="108">
        <v>0.25</v>
      </c>
      <c r="J17" s="109">
        <f t="shared" si="1"/>
        <v>-0.44999999999999929</v>
      </c>
      <c r="L17" s="109">
        <f>F17-D17</f>
        <v>-0.19999999999999929</v>
      </c>
      <c r="N17" s="110">
        <f>(F17-D17)/D17</f>
        <v>-7.3964497041419854E-3</v>
      </c>
      <c r="Q17" s="113"/>
      <c r="R17" s="83" t="s">
        <v>132</v>
      </c>
      <c r="S17" s="83" t="s">
        <v>0</v>
      </c>
      <c r="T17" s="188">
        <f>'Attachment B'!B16</f>
        <v>-0.81499999999999995</v>
      </c>
      <c r="X17" s="109"/>
    </row>
    <row r="18" spans="2:24">
      <c r="B18" s="107">
        <v>400</v>
      </c>
      <c r="D18" s="108">
        <f>ROUND((($B18*R$11/100+R$10))+((B18*$T$16)/100),2)+T18</f>
        <v>33.22</v>
      </c>
      <c r="F18" s="108">
        <f t="shared" si="0"/>
        <v>32.950000000000003</v>
      </c>
      <c r="H18" s="108">
        <v>0.25</v>
      </c>
      <c r="J18" s="109">
        <f t="shared" si="1"/>
        <v>-0.51999999999999602</v>
      </c>
      <c r="L18" s="109">
        <f>F18-D18</f>
        <v>-0.26999999999999602</v>
      </c>
      <c r="N18" s="110">
        <f>(F18-D18)/D18</f>
        <v>-8.1276339554484048E-3</v>
      </c>
      <c r="R18" s="83" t="s">
        <v>82</v>
      </c>
      <c r="T18" s="109">
        <v>0.74</v>
      </c>
      <c r="U18" s="83" t="s">
        <v>0</v>
      </c>
      <c r="X18" s="109"/>
    </row>
    <row r="19" spans="2:24">
      <c r="B19" s="107">
        <v>500</v>
      </c>
      <c r="D19" s="108">
        <f>ROUND((($B19*R$11/100+R$10))+((B19*$T$16)/100),2)+T18</f>
        <v>39.410000000000004</v>
      </c>
      <c r="F19" s="108">
        <f t="shared" si="0"/>
        <v>39.07</v>
      </c>
      <c r="H19" s="108">
        <v>0.25</v>
      </c>
      <c r="J19" s="109">
        <f t="shared" si="1"/>
        <v>-0.59000000000000341</v>
      </c>
      <c r="L19" s="109">
        <f>F19-D19</f>
        <v>-0.34000000000000341</v>
      </c>
      <c r="N19" s="110">
        <f>(F19-D19)/D19</f>
        <v>-8.6272519665060495E-3</v>
      </c>
      <c r="T19" s="109" t="s">
        <v>0</v>
      </c>
      <c r="X19" s="109"/>
    </row>
    <row r="20" spans="2:24">
      <c r="D20" s="116"/>
      <c r="F20" s="116"/>
      <c r="X20" s="109"/>
    </row>
    <row r="21" spans="2:24">
      <c r="B21" s="107">
        <v>600</v>
      </c>
      <c r="D21" s="108">
        <f>ROUND((($B21*R$11/100+R$10))+((B21*$T$16)/100),2)+T18</f>
        <v>45.59</v>
      </c>
      <c r="F21" s="108">
        <f>ROUND((($B21*T$11/100+T$10))+((B21*$T$17)/100),2)+$T$18</f>
        <v>45.18</v>
      </c>
      <c r="H21" s="108">
        <v>0.25</v>
      </c>
      <c r="J21" s="109">
        <f t="shared" si="1"/>
        <v>-0.66000000000000369</v>
      </c>
      <c r="L21" s="109">
        <f>F21-D21</f>
        <v>-0.41000000000000369</v>
      </c>
      <c r="N21" s="110">
        <f>(F21-D21)/D21</f>
        <v>-8.9932002632156973E-3</v>
      </c>
      <c r="R21" s="83" t="s">
        <v>234</v>
      </c>
      <c r="T21" s="188">
        <v>4.0000000000000001E-3</v>
      </c>
      <c r="X21" s="109"/>
    </row>
    <row r="22" spans="2:24">
      <c r="B22" s="107">
        <v>700</v>
      </c>
      <c r="D22" s="108">
        <f>ROUND((((600*R$11/100)+(($B22-600)*R$12/100)+R$10))+((B22*$T$16)/100),2)+T18</f>
        <v>55.57</v>
      </c>
      <c r="F22" s="108">
        <f>ROUND((((600*T$11/100)+(($B22-600)*T$12/100)+T$10))+((B22*$T$17)/100),2)+$T$18</f>
        <v>55.1</v>
      </c>
      <c r="H22" s="108">
        <v>0.25</v>
      </c>
      <c r="J22" s="109">
        <f t="shared" si="1"/>
        <v>-0.71999999999999886</v>
      </c>
      <c r="L22" s="109">
        <f>F22-D22</f>
        <v>-0.46999999999999886</v>
      </c>
      <c r="N22" s="110">
        <f>(F22-D22)/D22</f>
        <v>-8.4578009717473247E-3</v>
      </c>
      <c r="R22" s="83" t="s">
        <v>83</v>
      </c>
      <c r="T22" s="83">
        <v>0</v>
      </c>
      <c r="X22" s="109"/>
    </row>
    <row r="23" spans="2:24">
      <c r="B23" s="107">
        <v>800</v>
      </c>
      <c r="D23" s="108">
        <f>ROUND((((600*R$11/100)+(($B23-600)*R$12/100)+R$10))+((B23*$T$16)/100),2)+T18</f>
        <v>65.559999999999988</v>
      </c>
      <c r="F23" s="108">
        <f t="shared" ref="F23:F35" si="2">ROUND((((600*T$11/100)+(($B23-600)*T$12/100)+T$10))+((B23*$T$17)/100),2)+$T$18</f>
        <v>65.009999999999991</v>
      </c>
      <c r="H23" s="108">
        <v>0.25</v>
      </c>
      <c r="J23" s="109">
        <f t="shared" si="1"/>
        <v>-0.79999999999999716</v>
      </c>
      <c r="L23" s="109">
        <f>F23-D23</f>
        <v>-0.54999999999999716</v>
      </c>
      <c r="N23" s="110">
        <f>(F23-D23)/D23</f>
        <v>-8.3892617449664014E-3</v>
      </c>
      <c r="X23" s="109"/>
    </row>
    <row r="24" spans="2:24">
      <c r="B24" s="107">
        <v>900</v>
      </c>
      <c r="D24" s="108">
        <f>ROUND((((600*R$11/100)+(($B24-600)*R$12/100)+R$10))+((B24*$T$16)/100),2)+T18</f>
        <v>75.539999999999992</v>
      </c>
      <c r="F24" s="108">
        <f t="shared" si="2"/>
        <v>74.929999999999993</v>
      </c>
      <c r="H24" s="108">
        <v>0.25</v>
      </c>
      <c r="J24" s="109">
        <f t="shared" si="1"/>
        <v>-0.85999999999999943</v>
      </c>
      <c r="L24" s="109">
        <f>F24-D24</f>
        <v>-0.60999999999999943</v>
      </c>
      <c r="N24" s="110">
        <f>(F24-D24)/D24</f>
        <v>-8.0751919512840817E-3</v>
      </c>
      <c r="Q24" s="118" t="s">
        <v>84</v>
      </c>
      <c r="R24" s="119">
        <f>'Attachment D'!W19</f>
        <v>-7.3437663014574222E-3</v>
      </c>
      <c r="X24" s="109"/>
    </row>
    <row r="25" spans="2:24">
      <c r="B25" s="107">
        <v>1000</v>
      </c>
      <c r="D25" s="108">
        <f>ROUND((((600*R$11/100)+(($B25-600)*R$12/100)+R$10))+((B25*$T$16)/100),2)+T18</f>
        <v>85.53</v>
      </c>
      <c r="F25" s="108">
        <f t="shared" si="2"/>
        <v>84.85</v>
      </c>
      <c r="H25" s="108">
        <v>0.25</v>
      </c>
      <c r="J25" s="109">
        <f t="shared" si="1"/>
        <v>-0.93000000000000682</v>
      </c>
      <c r="L25" s="109">
        <f>F25-D25</f>
        <v>-0.68000000000000682</v>
      </c>
      <c r="N25" s="110">
        <f>(F25-D25)/D25</f>
        <v>-7.9504267508477347E-3</v>
      </c>
      <c r="X25" s="109"/>
    </row>
    <row r="26" spans="2:24">
      <c r="D26" s="116"/>
      <c r="F26" s="108"/>
      <c r="N26" s="120"/>
      <c r="X26" s="109"/>
    </row>
    <row r="27" spans="2:24">
      <c r="B27" s="107">
        <v>1100</v>
      </c>
      <c r="D27" s="108">
        <f>ROUND((((600*R$11/100)+(($B27-600)*R$12/100)+R$10))+((B27*$T$16)/100),2)+T18</f>
        <v>95.509999999999991</v>
      </c>
      <c r="F27" s="108">
        <f t="shared" si="2"/>
        <v>94.77</v>
      </c>
      <c r="H27" s="108">
        <v>0.25</v>
      </c>
      <c r="J27" s="109">
        <f t="shared" si="1"/>
        <v>-0.98999999999999488</v>
      </c>
      <c r="L27" s="109">
        <f>F27-D27</f>
        <v>-0.73999999999999488</v>
      </c>
      <c r="N27" s="110">
        <f>(F27-D27)/D27</f>
        <v>-7.7478798031619198E-3</v>
      </c>
      <c r="X27" s="109"/>
    </row>
    <row r="28" spans="2:24">
      <c r="B28" s="107">
        <v>1200</v>
      </c>
      <c r="C28" s="83" t="s">
        <v>85</v>
      </c>
      <c r="D28" s="108">
        <f>ROUND((((600*R$11/100)+(($B28-600)*R$12/100)+R$10))+((B28*$T$16)/100),2)+T18</f>
        <v>105.5</v>
      </c>
      <c r="F28" s="108">
        <f t="shared" si="2"/>
        <v>104.67999999999999</v>
      </c>
      <c r="H28" s="108">
        <v>0.25</v>
      </c>
      <c r="J28" s="109">
        <f t="shared" si="1"/>
        <v>-1.0700000000000074</v>
      </c>
      <c r="L28" s="109">
        <f>F28-D28</f>
        <v>-0.82000000000000739</v>
      </c>
      <c r="N28" s="110">
        <f>(F28-D28)/D28</f>
        <v>-7.7725118483413019E-3</v>
      </c>
      <c r="X28" s="109"/>
    </row>
    <row r="29" spans="2:24">
      <c r="B29" s="107">
        <v>1300</v>
      </c>
      <c r="D29" s="108">
        <f>ROUND((((600*R$11/100)+(($B29-600)*R$12/100)+R$10))+((B29*$T$16)/100),2)+T18</f>
        <v>115.47999999999999</v>
      </c>
      <c r="F29" s="108">
        <f t="shared" si="2"/>
        <v>114.6</v>
      </c>
      <c r="H29" s="108">
        <v>0.25</v>
      </c>
      <c r="J29" s="109">
        <f t="shared" si="1"/>
        <v>-1.1299999999999955</v>
      </c>
      <c r="L29" s="109">
        <f>F29-D29</f>
        <v>-0.87999999999999545</v>
      </c>
      <c r="N29" s="110">
        <f>(F29-D29)/D29</f>
        <v>-7.6203671631450949E-3</v>
      </c>
      <c r="X29" s="109"/>
    </row>
    <row r="30" spans="2:24">
      <c r="B30" s="107">
        <v>1400</v>
      </c>
      <c r="D30" s="108">
        <f>ROUND((((600*R$11/100)+(($B30-600)*R$12/100)+R$10))+((B30*$T$16)/100),2)+T18</f>
        <v>125.47</v>
      </c>
      <c r="F30" s="108">
        <f t="shared" si="2"/>
        <v>124.52</v>
      </c>
      <c r="H30" s="108">
        <v>0.25</v>
      </c>
      <c r="J30" s="109">
        <f t="shared" si="1"/>
        <v>-1.2000000000000028</v>
      </c>
      <c r="L30" s="109">
        <f>F30-D30</f>
        <v>-0.95000000000000284</v>
      </c>
      <c r="N30" s="110">
        <f>(F30-D30)/D30</f>
        <v>-7.5715310432773004E-3</v>
      </c>
      <c r="X30" s="109"/>
    </row>
    <row r="31" spans="2:24">
      <c r="B31" s="107">
        <v>1500</v>
      </c>
      <c r="D31" s="108">
        <f>ROUND((((600*R$11/100)+(($B31-600)*R$12/100)+R$10))+((B31*$T$16)/100),2)+T18</f>
        <v>135.45000000000002</v>
      </c>
      <c r="F31" s="108">
        <f t="shared" si="2"/>
        <v>134.43</v>
      </c>
      <c r="H31" s="108">
        <v>0.25</v>
      </c>
      <c r="J31" s="109">
        <f t="shared" si="1"/>
        <v>-1.2700000000000102</v>
      </c>
      <c r="L31" s="109">
        <f>F31-D31</f>
        <v>-1.0200000000000102</v>
      </c>
      <c r="N31" s="110">
        <f>(F31-D31)/D31</f>
        <v>-7.5304540420820234E-3</v>
      </c>
      <c r="X31" s="109"/>
    </row>
    <row r="32" spans="2:24">
      <c r="D32" s="116"/>
      <c r="F32" s="108"/>
      <c r="X32" s="109"/>
    </row>
    <row r="33" spans="2:24">
      <c r="B33" s="107">
        <v>1600</v>
      </c>
      <c r="D33" s="108">
        <f>ROUND((((600*R$11/100)+(($B33-600)*R$12/100)+R$10))+((B33*$T$16)/100),2)+T18</f>
        <v>145.44</v>
      </c>
      <c r="F33" s="108">
        <f t="shared" si="2"/>
        <v>144.35000000000002</v>
      </c>
      <c r="H33" s="108">
        <v>0.25</v>
      </c>
      <c r="J33" s="109">
        <f t="shared" si="1"/>
        <v>-1.339999999999975</v>
      </c>
      <c r="L33" s="109">
        <f>F33-D33</f>
        <v>-1.089999999999975</v>
      </c>
      <c r="N33" s="110">
        <f>(F33-D33)/D33</f>
        <v>-7.4944994499448227E-3</v>
      </c>
      <c r="X33" s="109"/>
    </row>
    <row r="34" spans="2:24">
      <c r="B34" s="107">
        <v>2000</v>
      </c>
      <c r="D34" s="108">
        <f>ROUND((((600*R$11/100)+(($B34-600)*R$12/100)+R$10))+((B34*$T$16)/100),2)+T18</f>
        <v>185.38</v>
      </c>
      <c r="F34" s="108">
        <f t="shared" si="2"/>
        <v>184.02</v>
      </c>
      <c r="H34" s="108">
        <v>0.25</v>
      </c>
      <c r="J34" s="109">
        <f t="shared" si="1"/>
        <v>-1.6099999999999852</v>
      </c>
      <c r="L34" s="109">
        <f>F34-D34</f>
        <v>-1.3599999999999852</v>
      </c>
      <c r="N34" s="110">
        <f>(F34-D34)/D34</f>
        <v>-7.3362822310928111E-3</v>
      </c>
      <c r="X34" s="109"/>
    </row>
    <row r="35" spans="2:24">
      <c r="B35" s="107">
        <v>3000</v>
      </c>
      <c r="D35" s="108">
        <f>ROUND((((600*R$11/100)+(($B35-600)*R$12/100)+R$10))+((B35*$T$16)/100),2)+T18</f>
        <v>285.23</v>
      </c>
      <c r="F35" s="108">
        <f t="shared" si="2"/>
        <v>283.19</v>
      </c>
      <c r="H35" s="108">
        <v>0.25</v>
      </c>
      <c r="J35" s="109">
        <f t="shared" si="1"/>
        <v>-2.2900000000000205</v>
      </c>
      <c r="L35" s="109">
        <f>F35-D35</f>
        <v>-2.0400000000000205</v>
      </c>
      <c r="N35" s="110">
        <f>(F35-D35)/D35</f>
        <v>-7.1521228482278173E-3</v>
      </c>
      <c r="X35" s="109"/>
    </row>
    <row r="36" spans="2:24">
      <c r="B36" s="121"/>
      <c r="C36" s="122"/>
      <c r="D36" s="123"/>
      <c r="E36" s="122"/>
      <c r="F36" s="123"/>
      <c r="G36" s="122"/>
      <c r="H36" s="122"/>
      <c r="I36" s="122"/>
      <c r="J36" s="122"/>
      <c r="K36" s="122"/>
      <c r="L36" s="122"/>
      <c r="M36" s="122"/>
      <c r="N36" s="124"/>
      <c r="O36" s="122"/>
      <c r="X36" s="109"/>
    </row>
    <row r="37" spans="2:24">
      <c r="B37" s="125"/>
      <c r="O37" s="115"/>
    </row>
    <row r="38" spans="2:24">
      <c r="B38" s="83" t="s">
        <v>86</v>
      </c>
    </row>
    <row r="39" spans="2:24">
      <c r="B39" s="83" t="s">
        <v>87</v>
      </c>
    </row>
    <row r="40" spans="2:24" ht="16.5">
      <c r="B40" s="126" t="s">
        <v>340</v>
      </c>
    </row>
    <row r="49" spans="20:20">
      <c r="T49" s="127"/>
    </row>
  </sheetData>
  <mergeCells count="4">
    <mergeCell ref="B3:N3"/>
    <mergeCell ref="B4:N4"/>
    <mergeCell ref="B5:N5"/>
    <mergeCell ref="L9:N9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U59"/>
  <sheetViews>
    <sheetView view="pageBreakPreview" topLeftCell="B1" zoomScale="70" zoomScaleNormal="55" zoomScaleSheetLayoutView="70" workbookViewId="0">
      <selection activeCell="U29" sqref="U29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875" style="1" customWidth="1"/>
    <col min="14" max="14" width="10.25" style="1" hidden="1" customWidth="1"/>
    <col min="15" max="15" width="12.125" style="1" customWidth="1"/>
    <col min="16" max="16" width="2.75" style="1" customWidth="1"/>
    <col min="17" max="17" width="13.375" style="1" customWidth="1"/>
    <col min="18" max="18" width="2.5" style="1" customWidth="1"/>
    <col min="19" max="19" width="12.5" style="1" customWidth="1"/>
    <col min="20" max="20" width="2.5" style="1" customWidth="1"/>
    <col min="21" max="21" width="14.5" style="1" customWidth="1"/>
    <col min="22" max="22" width="2.5" style="1" customWidth="1"/>
    <col min="23" max="23" width="14.5" style="1" customWidth="1"/>
    <col min="24" max="24" width="3.125" style="1" customWidth="1"/>
    <col min="25" max="25" width="12.625" style="1" hidden="1" customWidth="1"/>
    <col min="26" max="26" width="2.75" style="1" hidden="1" customWidth="1"/>
    <col min="27" max="27" width="14.625" style="1" customWidth="1"/>
    <col min="28" max="28" width="2" style="1" hidden="1" customWidth="1"/>
    <col min="29" max="29" width="20.25" style="1" hidden="1" customWidth="1"/>
    <col min="30" max="30" width="2.625" style="1" hidden="1" customWidth="1"/>
    <col min="31" max="31" width="10.5" style="1" hidden="1" customWidth="1"/>
    <col min="32" max="32" width="8.75" style="1" hidden="1" customWidth="1"/>
    <col min="33" max="33" width="14.125" style="1" hidden="1" customWidth="1"/>
    <col min="34" max="34" width="8.75" style="1" hidden="1" customWidth="1"/>
    <col min="35" max="35" width="8.875" style="1" hidden="1" customWidth="1"/>
    <col min="36" max="36" width="7.75" style="1" hidden="1" customWidth="1"/>
    <col min="37" max="37" width="2.625" style="1" hidden="1" customWidth="1"/>
    <col min="38" max="38" width="11.5" style="1" hidden="1" customWidth="1"/>
    <col min="39" max="39" width="3.875" style="1" hidden="1" customWidth="1"/>
    <col min="40" max="40" width="11.75" style="1" hidden="1" customWidth="1"/>
    <col min="41" max="41" width="2.125" style="1" customWidth="1"/>
    <col min="42" max="42" width="3.125" style="1" customWidth="1"/>
    <col min="43" max="43" width="7.25" style="1" customWidth="1"/>
    <col min="44" max="44" width="0.125" style="1" customWidth="1"/>
    <col min="45" max="45" width="10.25" style="1" customWidth="1"/>
    <col min="46" max="46" width="13.5" style="1" bestFit="1" customWidth="1"/>
    <col min="47" max="16384" width="10.25" style="1"/>
  </cols>
  <sheetData>
    <row r="1" spans="2:47" ht="18.75">
      <c r="C1" s="203"/>
      <c r="D1" s="204"/>
      <c r="AA1" s="3" t="s">
        <v>0</v>
      </c>
    </row>
    <row r="2" spans="2:47">
      <c r="B2" s="417" t="s">
        <v>1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7">
      <c r="B3" s="418" t="s">
        <v>2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18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2:47">
      <c r="B4" s="418" t="s">
        <v>226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2:47">
      <c r="B5" s="418" t="s">
        <v>3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2:47">
      <c r="B6" s="418" t="s">
        <v>4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18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2:47">
      <c r="B7" s="417" t="s">
        <v>289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spans="2:47"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8"/>
      <c r="AB8" s="7"/>
      <c r="AC8" s="7"/>
      <c r="AD8" s="7"/>
      <c r="AE8" s="8"/>
      <c r="AF8" s="8"/>
      <c r="AG8" s="8"/>
      <c r="AH8" s="8"/>
      <c r="AI8" s="8"/>
      <c r="AJ8" s="8"/>
      <c r="AK8" s="8"/>
      <c r="AL8" s="200" t="s">
        <v>227</v>
      </c>
      <c r="AM8" s="8"/>
      <c r="AN8" s="8"/>
      <c r="AO8" s="8"/>
      <c r="AP8" s="8"/>
      <c r="AQ8" s="8"/>
      <c r="AR8" s="8"/>
      <c r="AS8" s="6"/>
      <c r="AT8" s="6"/>
      <c r="AU8" s="6"/>
    </row>
    <row r="9" spans="2:47">
      <c r="N9" s="9" t="s">
        <v>5</v>
      </c>
      <c r="O9" s="157"/>
      <c r="P9" s="9"/>
      <c r="Q9" s="158" t="s">
        <v>114</v>
      </c>
      <c r="R9" s="9"/>
      <c r="S9" s="158" t="s">
        <v>7</v>
      </c>
      <c r="T9" s="9"/>
      <c r="U9" s="416" t="s">
        <v>8</v>
      </c>
      <c r="V9" s="416"/>
      <c r="W9" s="416"/>
      <c r="X9" s="9"/>
      <c r="Y9" s="9" t="s">
        <v>6</v>
      </c>
      <c r="Z9" s="10"/>
      <c r="AA9" s="402" t="s">
        <v>0</v>
      </c>
      <c r="AB9" s="189"/>
      <c r="AC9" s="189"/>
      <c r="AD9" s="11"/>
      <c r="AK9" s="10"/>
      <c r="AL9" s="201" t="s">
        <v>9</v>
      </c>
      <c r="AM9" s="10"/>
      <c r="AN9" s="200" t="s">
        <v>7</v>
      </c>
      <c r="AO9" s="10"/>
      <c r="AP9" s="10"/>
      <c r="AQ9" s="10"/>
      <c r="AR9" s="10"/>
    </row>
    <row r="10" spans="2:47">
      <c r="F10" s="12" t="s">
        <v>10</v>
      </c>
      <c r="G10" s="12"/>
      <c r="H10" s="9" t="s">
        <v>11</v>
      </c>
      <c r="N10" s="200" t="s">
        <v>12</v>
      </c>
      <c r="O10" s="44"/>
      <c r="P10" s="200"/>
      <c r="Q10" s="158" t="s">
        <v>115</v>
      </c>
      <c r="R10" s="200"/>
      <c r="S10" s="158" t="s">
        <v>115</v>
      </c>
      <c r="T10" s="200"/>
      <c r="U10" s="158" t="s">
        <v>115</v>
      </c>
      <c r="V10" s="200"/>
      <c r="W10" s="160" t="s">
        <v>116</v>
      </c>
      <c r="X10" s="200"/>
      <c r="Y10" s="200" t="s">
        <v>12</v>
      </c>
      <c r="Z10" s="13"/>
      <c r="AA10" s="200" t="s">
        <v>12</v>
      </c>
      <c r="AB10" s="200"/>
      <c r="AC10" s="200" t="s">
        <v>13</v>
      </c>
      <c r="AD10" s="200"/>
      <c r="AE10" s="11" t="s">
        <v>0</v>
      </c>
      <c r="AF10" s="11"/>
      <c r="AG10" s="413" t="s">
        <v>8</v>
      </c>
      <c r="AH10" s="413"/>
      <c r="AI10" s="413"/>
      <c r="AJ10" s="413"/>
      <c r="AK10" s="11"/>
      <c r="AL10" s="11"/>
      <c r="AM10" s="11"/>
      <c r="AN10" s="200" t="s">
        <v>8</v>
      </c>
      <c r="AO10" s="11"/>
      <c r="AP10" s="14"/>
      <c r="AQ10" s="11"/>
      <c r="AR10" s="14"/>
    </row>
    <row r="11" spans="2:47">
      <c r="B11" s="14" t="s">
        <v>14</v>
      </c>
      <c r="F11" s="12" t="s">
        <v>15</v>
      </c>
      <c r="G11" s="12"/>
      <c r="H11" s="9" t="s">
        <v>16</v>
      </c>
      <c r="I11" s="9" t="s">
        <v>11</v>
      </c>
      <c r="K11" s="9" t="s">
        <v>17</v>
      </c>
      <c r="N11" s="9" t="s">
        <v>18</v>
      </c>
      <c r="O11" s="158" t="s">
        <v>117</v>
      </c>
      <c r="P11" s="9"/>
      <c r="Q11" s="160" t="s">
        <v>18</v>
      </c>
      <c r="R11" s="9"/>
      <c r="S11" s="160" t="s">
        <v>18</v>
      </c>
      <c r="T11" s="9"/>
      <c r="U11" s="160" t="s">
        <v>18</v>
      </c>
      <c r="V11" s="9"/>
      <c r="W11" s="158" t="s">
        <v>12</v>
      </c>
      <c r="X11" s="9"/>
      <c r="Y11" s="9" t="s">
        <v>18</v>
      </c>
      <c r="Z11" s="14"/>
      <c r="AA11" s="190" t="s">
        <v>18</v>
      </c>
      <c r="AB11" s="9"/>
      <c r="AC11" s="9" t="s">
        <v>18</v>
      </c>
      <c r="AD11" s="9"/>
      <c r="AE11" s="15" t="s">
        <v>19</v>
      </c>
      <c r="AF11" s="9" t="s">
        <v>12</v>
      </c>
      <c r="AG11" s="15" t="s">
        <v>19</v>
      </c>
      <c r="AH11" s="9" t="s">
        <v>227</v>
      </c>
      <c r="AI11" s="15" t="s">
        <v>13</v>
      </c>
      <c r="AJ11" s="9" t="s">
        <v>13</v>
      </c>
      <c r="AK11" s="14"/>
      <c r="AL11" s="14"/>
      <c r="AM11" s="14"/>
      <c r="AN11" s="9" t="s">
        <v>20</v>
      </c>
      <c r="AO11" s="14"/>
      <c r="AP11" s="14"/>
      <c r="AQ11" s="200"/>
      <c r="AR11" s="16"/>
      <c r="AS11" s="6"/>
    </row>
    <row r="12" spans="2:47">
      <c r="B12" s="17" t="s">
        <v>21</v>
      </c>
      <c r="D12" s="18" t="s">
        <v>22</v>
      </c>
      <c r="F12" s="18" t="s">
        <v>21</v>
      </c>
      <c r="G12" s="19"/>
      <c r="H12" s="20" t="s">
        <v>5</v>
      </c>
      <c r="I12" s="201" t="s">
        <v>16</v>
      </c>
      <c r="K12" s="20" t="s">
        <v>5</v>
      </c>
      <c r="L12" s="201" t="s">
        <v>17</v>
      </c>
      <c r="N12" s="21" t="s">
        <v>23</v>
      </c>
      <c r="O12" s="161" t="s">
        <v>118</v>
      </c>
      <c r="P12" s="22"/>
      <c r="Q12" s="162" t="s">
        <v>23</v>
      </c>
      <c r="R12" s="22"/>
      <c r="S12" s="162" t="s">
        <v>23</v>
      </c>
      <c r="T12" s="22"/>
      <c r="U12" s="162" t="s">
        <v>23</v>
      </c>
      <c r="V12" s="22"/>
      <c r="W12" s="202" t="s">
        <v>18</v>
      </c>
      <c r="X12" s="22"/>
      <c r="Y12" s="21" t="s">
        <v>23</v>
      </c>
      <c r="Z12" s="200"/>
      <c r="AA12" s="191" t="s">
        <v>23</v>
      </c>
      <c r="AB12" s="22"/>
      <c r="AC12" s="21" t="s">
        <v>23</v>
      </c>
      <c r="AD12" s="22"/>
      <c r="AE12" s="23" t="s">
        <v>23</v>
      </c>
      <c r="AF12" s="201" t="s">
        <v>24</v>
      </c>
      <c r="AG12" s="23" t="s">
        <v>23</v>
      </c>
      <c r="AH12" s="201" t="s">
        <v>24</v>
      </c>
      <c r="AI12" s="23" t="s">
        <v>23</v>
      </c>
      <c r="AJ12" s="201" t="s">
        <v>24</v>
      </c>
      <c r="AK12" s="16"/>
      <c r="AL12" s="24" t="s">
        <v>25</v>
      </c>
      <c r="AM12" s="16"/>
      <c r="AN12" s="21" t="s">
        <v>25</v>
      </c>
      <c r="AO12" s="16"/>
      <c r="AP12" s="16"/>
      <c r="AQ12" s="200"/>
      <c r="AR12" s="16"/>
      <c r="AS12" s="6"/>
    </row>
    <row r="13" spans="2:47">
      <c r="B13" s="25"/>
      <c r="D13" s="15" t="s">
        <v>27</v>
      </c>
      <c r="F13" s="15" t="s">
        <v>28</v>
      </c>
      <c r="G13" s="12"/>
      <c r="H13" s="15"/>
      <c r="I13" s="15" t="s">
        <v>29</v>
      </c>
      <c r="K13" s="15"/>
      <c r="L13" s="15" t="s">
        <v>30</v>
      </c>
      <c r="N13" s="15"/>
      <c r="O13" s="199" t="s">
        <v>31</v>
      </c>
      <c r="P13" s="15"/>
      <c r="Q13" s="199" t="s">
        <v>32</v>
      </c>
      <c r="R13" s="15"/>
      <c r="S13" s="199" t="s">
        <v>33</v>
      </c>
      <c r="T13" s="15"/>
      <c r="U13" s="199" t="s">
        <v>34</v>
      </c>
      <c r="V13" s="15"/>
      <c r="W13" s="199" t="s">
        <v>35</v>
      </c>
      <c r="X13" s="15"/>
      <c r="Y13" s="15" t="s">
        <v>31</v>
      </c>
      <c r="Z13" s="15"/>
      <c r="AA13" s="15" t="s">
        <v>32</v>
      </c>
      <c r="AB13" s="15"/>
      <c r="AC13" s="15"/>
      <c r="AD13" s="15"/>
      <c r="AE13" s="15" t="s">
        <v>33</v>
      </c>
      <c r="AF13" s="15" t="s">
        <v>34</v>
      </c>
      <c r="AG13" s="15" t="s">
        <v>35</v>
      </c>
      <c r="AH13" s="15" t="s">
        <v>36</v>
      </c>
      <c r="AI13" s="15" t="s">
        <v>143</v>
      </c>
      <c r="AJ13" s="15" t="s">
        <v>144</v>
      </c>
      <c r="AK13" s="15"/>
      <c r="AL13" s="15"/>
      <c r="AM13" s="15"/>
      <c r="AN13" s="15" t="s">
        <v>35</v>
      </c>
      <c r="AO13" s="15"/>
      <c r="AP13" s="15"/>
      <c r="AQ13" s="13"/>
      <c r="AR13" s="13"/>
      <c r="AS13" s="6"/>
    </row>
    <row r="14" spans="2:47">
      <c r="U14" s="199" t="s">
        <v>225</v>
      </c>
      <c r="Z14" s="15"/>
      <c r="AA14" s="15" t="s">
        <v>0</v>
      </c>
      <c r="AF14" s="15" t="s">
        <v>37</v>
      </c>
      <c r="AH14" s="15" t="s">
        <v>0</v>
      </c>
      <c r="AI14" s="15" t="s">
        <v>228</v>
      </c>
      <c r="AJ14" s="15" t="s">
        <v>229</v>
      </c>
      <c r="AN14" s="15" t="s">
        <v>38</v>
      </c>
      <c r="AQ14" s="6"/>
      <c r="AR14" s="6"/>
      <c r="AS14" s="6"/>
    </row>
    <row r="15" spans="2:47">
      <c r="D15" s="26" t="s">
        <v>39</v>
      </c>
      <c r="AQ15" s="6"/>
      <c r="AR15" s="6"/>
      <c r="AS15" s="6"/>
    </row>
    <row r="16" spans="2:47">
      <c r="B16" s="14">
        <v>1</v>
      </c>
      <c r="D16" s="2" t="s">
        <v>40</v>
      </c>
      <c r="F16" s="27" t="s">
        <v>145</v>
      </c>
      <c r="G16" s="27"/>
      <c r="H16" s="28">
        <v>101336.91666666667</v>
      </c>
      <c r="I16" s="28">
        <f>'Table A rate case'!H16</f>
        <v>105258.64978493931</v>
      </c>
      <c r="J16" s="3"/>
      <c r="K16" s="28">
        <v>1569938.6044392167</v>
      </c>
      <c r="L16" s="28">
        <f>'Table A rate case'!J16</f>
        <v>1569786.6374891768</v>
      </c>
      <c r="N16" s="29">
        <v>102672.94442530281</v>
      </c>
      <c r="O16" s="172">
        <f>L16</f>
        <v>1569786.6374891768</v>
      </c>
      <c r="P16" s="170"/>
      <c r="Q16" s="173">
        <f>O16*-0.00747</f>
        <v>-11726.306182044151</v>
      </c>
      <c r="R16" s="170"/>
      <c r="S16" s="173">
        <f>O16*$U$52</f>
        <v>-12793.761095536793</v>
      </c>
      <c r="T16" s="170"/>
      <c r="U16" s="173">
        <f>S16-Q16</f>
        <v>-1067.4549134926419</v>
      </c>
      <c r="V16" s="170"/>
      <c r="W16" s="174">
        <f>U16/AA16</f>
        <v>-7.3437663014574222E-3</v>
      </c>
      <c r="X16" s="29"/>
      <c r="Y16" s="29" t="e">
        <f>#REF!</f>
        <v>#REF!</v>
      </c>
      <c r="Z16" s="30"/>
      <c r="AA16" s="29">
        <f>'Table A rate case'!N16</f>
        <v>145355.24003273333</v>
      </c>
      <c r="AB16" s="29"/>
      <c r="AC16" s="31">
        <f>AA16+AG16</f>
        <v>147772.71145446665</v>
      </c>
      <c r="AD16" s="29"/>
      <c r="AE16" s="29" t="e">
        <f>AA16-Y16</f>
        <v>#REF!</v>
      </c>
      <c r="AF16" s="32" t="e">
        <f>AE16/Y16</f>
        <v>#REF!</v>
      </c>
      <c r="AG16" s="29">
        <f>(AL16/100)*L16</f>
        <v>2417.4714217333321</v>
      </c>
      <c r="AH16" s="32" t="e">
        <f>AG16/Y16</f>
        <v>#REF!</v>
      </c>
      <c r="AI16" s="29" t="e">
        <f>AE16+AG16</f>
        <v>#REF!</v>
      </c>
      <c r="AJ16" s="32" t="e">
        <f>AI16/Y16</f>
        <v>#REF!</v>
      </c>
      <c r="AK16" s="30"/>
      <c r="AL16" s="33">
        <f>ROUND((((AA16/$AA$44)*$AG$51)/L16)*100,3)</f>
        <v>0.154</v>
      </c>
      <c r="AM16" s="30"/>
      <c r="AN16" s="34">
        <f>AA16/L16*100</f>
        <v>9.2595539139780403</v>
      </c>
      <c r="AO16" s="30"/>
      <c r="AP16" s="30"/>
      <c r="AQ16" s="35" t="s">
        <v>0</v>
      </c>
      <c r="AR16" s="36"/>
      <c r="AS16" s="37" t="s">
        <v>0</v>
      </c>
      <c r="AT16" s="3" t="s">
        <v>0</v>
      </c>
    </row>
    <row r="17" spans="2:47">
      <c r="H17" s="38"/>
      <c r="I17" s="38"/>
      <c r="K17" s="38"/>
      <c r="L17" s="38"/>
      <c r="N17" s="38"/>
      <c r="O17" s="210"/>
      <c r="P17" s="46"/>
      <c r="Q17" s="166"/>
      <c r="R17" s="46"/>
      <c r="S17" s="166"/>
      <c r="T17" s="46"/>
      <c r="U17" s="166"/>
      <c r="V17" s="46"/>
      <c r="W17" s="168"/>
      <c r="X17" s="46"/>
      <c r="Y17" s="38"/>
      <c r="Z17" s="6"/>
      <c r="AA17" s="38"/>
      <c r="AB17" s="6"/>
      <c r="AC17" s="39"/>
      <c r="AD17" s="6"/>
      <c r="AE17" s="38"/>
      <c r="AF17" s="192"/>
      <c r="AG17" s="38"/>
      <c r="AH17" s="40"/>
      <c r="AI17" s="38"/>
      <c r="AJ17" s="40"/>
      <c r="AK17" s="6"/>
      <c r="AL17" s="41"/>
      <c r="AM17" s="6"/>
      <c r="AN17" s="39"/>
      <c r="AO17" s="6"/>
      <c r="AP17" s="6"/>
      <c r="AQ17" s="205"/>
      <c r="AR17" s="6"/>
      <c r="AS17" s="6"/>
    </row>
    <row r="18" spans="2:47">
      <c r="Q18" s="163"/>
      <c r="S18" s="163"/>
      <c r="U18" s="163"/>
      <c r="W18" s="164"/>
      <c r="AF18" s="42"/>
      <c r="AH18" s="42"/>
      <c r="AJ18" s="42"/>
      <c r="AL18" s="43"/>
      <c r="AQ18" s="205"/>
      <c r="AR18" s="6"/>
      <c r="AS18" s="6"/>
    </row>
    <row r="19" spans="2:47">
      <c r="B19" s="44">
        <f>MAX(B$13:B18)+1</f>
        <v>2</v>
      </c>
      <c r="D19" s="26" t="s">
        <v>41</v>
      </c>
      <c r="H19" s="45">
        <f>SUM(H16:H16)</f>
        <v>101336.91666666667</v>
      </c>
      <c r="I19" s="45">
        <f>SUM(I16:I16)</f>
        <v>105258.64978493931</v>
      </c>
      <c r="K19" s="45">
        <f>SUM(K16:K16)</f>
        <v>1569938.6044392167</v>
      </c>
      <c r="L19" s="45">
        <f>SUM(L16:L16)</f>
        <v>1569786.6374891768</v>
      </c>
      <c r="M19" s="45"/>
      <c r="N19" s="46">
        <f>SUM(N16:N16)</f>
        <v>102672.94442530281</v>
      </c>
      <c r="O19" s="45">
        <f>SUM(O16:O18)</f>
        <v>1569786.6374891768</v>
      </c>
      <c r="P19" s="46"/>
      <c r="Q19" s="163">
        <f>SUM(Q16:Q18)</f>
        <v>-11726.306182044151</v>
      </c>
      <c r="R19" s="46"/>
      <c r="S19" s="163">
        <f>SUM(S16:S18)</f>
        <v>-12793.761095536793</v>
      </c>
      <c r="T19" s="46"/>
      <c r="U19" s="163">
        <f t="shared" ref="U19" si="0">S19-Q19</f>
        <v>-1067.4549134926419</v>
      </c>
      <c r="V19" s="46"/>
      <c r="W19" s="164">
        <f>U19/AA19</f>
        <v>-7.3437663014574222E-3</v>
      </c>
      <c r="Y19" s="46" t="e">
        <f>SUM(Y16:Y16)</f>
        <v>#REF!</v>
      </c>
      <c r="Z19" s="30"/>
      <c r="AA19" s="46">
        <f>SUM(AA16:AA16)</f>
        <v>145355.24003273333</v>
      </c>
      <c r="AB19" s="46"/>
      <c r="AC19" s="46">
        <f>SUM(AC16:AC16)</f>
        <v>147772.71145446665</v>
      </c>
      <c r="AD19" s="46"/>
      <c r="AE19" s="29" t="e">
        <f>SUM(AE16)</f>
        <v>#REF!</v>
      </c>
      <c r="AF19" s="32" t="e">
        <f>AE19/Y19</f>
        <v>#REF!</v>
      </c>
      <c r="AG19" s="29">
        <f>SUM(AG16)</f>
        <v>2417.4714217333321</v>
      </c>
      <c r="AH19" s="32" t="e">
        <f>AG19/Y19</f>
        <v>#REF!</v>
      </c>
      <c r="AI19" s="29" t="e">
        <f>AE19+AG19</f>
        <v>#REF!</v>
      </c>
      <c r="AJ19" s="32" t="e">
        <f>AI19/Y19</f>
        <v>#REF!</v>
      </c>
      <c r="AK19" s="30"/>
      <c r="AL19" s="47"/>
      <c r="AM19" s="30"/>
      <c r="AN19" s="34">
        <f>AA19/L19*100</f>
        <v>9.2595539139780403</v>
      </c>
      <c r="AO19" s="30"/>
      <c r="AP19" s="30"/>
      <c r="AQ19" s="206"/>
      <c r="AR19" s="36"/>
      <c r="AS19" s="6"/>
    </row>
    <row r="20" spans="2:47">
      <c r="O20" s="28"/>
      <c r="P20" s="46"/>
      <c r="Q20" s="163"/>
      <c r="R20" s="46"/>
      <c r="S20" s="163"/>
      <c r="T20" s="46"/>
      <c r="U20" s="163"/>
      <c r="V20" s="46"/>
      <c r="W20" s="164"/>
      <c r="X20" s="46"/>
      <c r="AF20" s="42"/>
      <c r="AH20" s="42"/>
      <c r="AJ20" s="42"/>
      <c r="AL20" s="43"/>
      <c r="AQ20" s="205"/>
      <c r="AR20" s="6"/>
      <c r="AS20" s="6"/>
    </row>
    <row r="21" spans="2:47">
      <c r="D21" s="26" t="s">
        <v>42</v>
      </c>
      <c r="H21" s="48"/>
      <c r="I21" s="48"/>
      <c r="L21" s="48"/>
      <c r="O21" s="28"/>
      <c r="P21" s="29"/>
      <c r="Q21" s="163"/>
      <c r="R21" s="29"/>
      <c r="S21" s="163"/>
      <c r="T21" s="29"/>
      <c r="U21" s="163"/>
      <c r="V21" s="29"/>
      <c r="W21" s="164"/>
      <c r="X21" s="29"/>
      <c r="AF21" s="42"/>
      <c r="AH21" s="42"/>
      <c r="AJ21" s="42"/>
      <c r="AL21" s="43"/>
      <c r="AQ21" s="205"/>
      <c r="AR21" s="6"/>
      <c r="AS21" s="6"/>
    </row>
    <row r="22" spans="2:47">
      <c r="B22" s="44">
        <f>MAX(B$13:B21)+1</f>
        <v>3</v>
      </c>
      <c r="D22" s="2" t="s">
        <v>43</v>
      </c>
      <c r="F22" s="12">
        <v>24</v>
      </c>
      <c r="G22" s="12"/>
      <c r="H22" s="28">
        <v>17306.416666666664</v>
      </c>
      <c r="I22" s="28">
        <f>'Table A rate case'!H22</f>
        <v>19046.041792326934</v>
      </c>
      <c r="J22" s="3"/>
      <c r="K22" s="28">
        <v>1569938.6044392167</v>
      </c>
      <c r="L22" s="28">
        <f>'Table A rate case'!J22</f>
        <v>536266.600352215</v>
      </c>
      <c r="N22" s="46">
        <v>33647.646251191611</v>
      </c>
      <c r="O22" s="28">
        <f>('305 Inputs'!H30+'305 Inputs'!H32+'305 Inputs'!H38+'305 Inputs'!H43+'305 Inputs'!H65+'305 Inputs'!H67+'305 Inputs'!H143)/1000</f>
        <v>51002.762999999999</v>
      </c>
      <c r="P22" s="46"/>
      <c r="Q22" s="163">
        <f>O22*-0.00747</f>
        <v>-380.99063961000002</v>
      </c>
      <c r="R22" s="46"/>
      <c r="S22" s="163">
        <f t="shared" ref="S22:S27" si="1">O22*$U$52</f>
        <v>-415.67251845000004</v>
      </c>
      <c r="T22" s="46"/>
      <c r="U22" s="163">
        <f t="shared" ref="U22:U29" si="2">S22-Q22</f>
        <v>-34.681878840000024</v>
      </c>
      <c r="V22" s="46"/>
      <c r="W22" s="174">
        <f t="shared" ref="W22:W29" si="3">U22/AA22</f>
        <v>-7.016297729075323E-4</v>
      </c>
      <c r="X22" s="46"/>
      <c r="Y22" s="29" t="e">
        <f>#REF!</f>
        <v>#REF!</v>
      </c>
      <c r="Z22" s="30"/>
      <c r="AA22" s="29">
        <f>'Table A rate case'!N22</f>
        <v>49430.454891159163</v>
      </c>
      <c r="AB22" s="29"/>
      <c r="AC22" s="31">
        <f t="shared" ref="AC22" si="4">AA22+AG22</f>
        <v>50250.942789698049</v>
      </c>
      <c r="AD22" s="29"/>
      <c r="AE22" s="29" t="e">
        <f>AA22-Y22</f>
        <v>#REF!</v>
      </c>
      <c r="AF22" s="32" t="e">
        <f>AE22/Y22</f>
        <v>#REF!</v>
      </c>
      <c r="AG22" s="29">
        <f t="shared" ref="AG22:AG29" si="5">(AL22/100)*L22</f>
        <v>820.48789853888889</v>
      </c>
      <c r="AH22" s="32" t="e">
        <f>AG22/Y22</f>
        <v>#REF!</v>
      </c>
      <c r="AI22" s="29" t="e">
        <f t="shared" ref="AI22:AI29" si="6">AE22+AG22</f>
        <v>#REF!</v>
      </c>
      <c r="AJ22" s="32" t="e">
        <f>AI22/Y22</f>
        <v>#REF!</v>
      </c>
      <c r="AK22" s="30"/>
      <c r="AL22" s="33">
        <f t="shared" ref="AL22:AL29" si="7">ROUND((((AA22/$AA$44)*$AG$51)/L22)*100,3)</f>
        <v>0.153</v>
      </c>
      <c r="AM22" s="30"/>
      <c r="AN22" s="34">
        <f>AA22/L22*100</f>
        <v>9.2175151051163162</v>
      </c>
      <c r="AO22" s="30"/>
      <c r="AP22" s="30"/>
      <c r="AQ22" s="206"/>
      <c r="AR22" s="36"/>
      <c r="AS22" s="6"/>
      <c r="AT22" s="49"/>
      <c r="AU22" s="50"/>
    </row>
    <row r="23" spans="2:47">
      <c r="B23" s="44">
        <f>MAX(B$13:B22)+1</f>
        <v>4</v>
      </c>
      <c r="D23" s="2" t="s">
        <v>44</v>
      </c>
      <c r="E23" s="51"/>
      <c r="F23" s="12">
        <v>33</v>
      </c>
      <c r="G23" s="12"/>
      <c r="H23" s="28">
        <v>0</v>
      </c>
      <c r="I23" s="28">
        <f>'Table A rate case'!H23</f>
        <v>0</v>
      </c>
      <c r="J23" s="3"/>
      <c r="K23" s="28">
        <v>1569938.6044392167</v>
      </c>
      <c r="L23" s="28">
        <f>'Table A rate case'!J23</f>
        <v>0</v>
      </c>
      <c r="N23" s="29">
        <v>0</v>
      </c>
      <c r="O23" s="28">
        <v>0</v>
      </c>
      <c r="P23" s="29"/>
      <c r="Q23" s="163">
        <f>O23*-0.00747</f>
        <v>0</v>
      </c>
      <c r="R23" s="29"/>
      <c r="S23" s="163">
        <f t="shared" si="1"/>
        <v>0</v>
      </c>
      <c r="T23" s="29"/>
      <c r="U23" s="163">
        <f t="shared" si="2"/>
        <v>0</v>
      </c>
      <c r="V23" s="29"/>
      <c r="W23" s="174">
        <v>0</v>
      </c>
      <c r="X23" s="46"/>
      <c r="Y23" s="29" t="e">
        <f>#REF!</f>
        <v>#REF!</v>
      </c>
      <c r="Z23" s="30"/>
      <c r="AA23" s="29">
        <f>'Table A rate case'!N23</f>
        <v>0</v>
      </c>
      <c r="AB23" s="29"/>
      <c r="AC23" s="31">
        <f t="shared" ref="AC23:AC29" si="8">AA23+AG23</f>
        <v>0</v>
      </c>
      <c r="AD23" s="29"/>
      <c r="AE23" s="29" t="e">
        <f t="shared" ref="AE23:AE29" si="9">AA23-Y23</f>
        <v>#REF!</v>
      </c>
      <c r="AF23" s="32" t="e">
        <f>AF24</f>
        <v>#REF!</v>
      </c>
      <c r="AG23" s="29">
        <f t="shared" si="5"/>
        <v>0</v>
      </c>
      <c r="AH23" s="32" t="e">
        <f>AH24</f>
        <v>#REF!</v>
      </c>
      <c r="AI23" s="29" t="e">
        <f t="shared" si="6"/>
        <v>#REF!</v>
      </c>
      <c r="AJ23" s="32" t="e">
        <f>AF23+AH23</f>
        <v>#REF!</v>
      </c>
      <c r="AK23" s="30"/>
      <c r="AL23" s="33">
        <f>AL24</f>
        <v>0.13100000000000001</v>
      </c>
      <c r="AM23" s="30"/>
      <c r="AN23" s="34">
        <v>0</v>
      </c>
      <c r="AO23" s="30"/>
      <c r="AP23" s="30"/>
      <c r="AQ23" s="206"/>
      <c r="AR23" s="36"/>
      <c r="AS23" s="6"/>
      <c r="AT23" s="49"/>
      <c r="AU23" s="50"/>
    </row>
    <row r="24" spans="2:47">
      <c r="B24" s="44">
        <f>MAX(B$13:B23)+1</f>
        <v>5</v>
      </c>
      <c r="D24" s="2" t="s">
        <v>45</v>
      </c>
      <c r="F24" s="12">
        <v>36</v>
      </c>
      <c r="G24" s="12"/>
      <c r="H24" s="28">
        <v>1058.6666666666667</v>
      </c>
      <c r="I24" s="28">
        <f>'Table A rate case'!H24</f>
        <v>1085.852777777774</v>
      </c>
      <c r="J24" s="3"/>
      <c r="K24" s="28">
        <v>1569938.6044392167</v>
      </c>
      <c r="L24" s="28">
        <f>'Table A rate case'!J24</f>
        <v>928614.07790582778</v>
      </c>
      <c r="N24" s="46">
        <v>49005.26783999426</v>
      </c>
      <c r="O24" s="28">
        <f>('305 Inputs'!H34+'305 Inputs'!H69)/1000</f>
        <v>63159.135999999999</v>
      </c>
      <c r="P24" s="46"/>
      <c r="Q24" s="163">
        <f>O24*-0.00747</f>
        <v>-471.79874591999999</v>
      </c>
      <c r="R24" s="46"/>
      <c r="S24" s="163">
        <f t="shared" si="1"/>
        <v>-514.74695840000004</v>
      </c>
      <c r="T24" s="46"/>
      <c r="U24" s="163">
        <f t="shared" si="2"/>
        <v>-42.948212480000052</v>
      </c>
      <c r="V24" s="46"/>
      <c r="W24" s="174">
        <f t="shared" si="3"/>
        <v>-5.8581948012243542E-4</v>
      </c>
      <c r="X24" s="46"/>
      <c r="Y24" s="29" t="e">
        <f>#REF!</f>
        <v>#REF!</v>
      </c>
      <c r="Z24" s="30"/>
      <c r="AA24" s="29">
        <f>'Table A rate case'!N24</f>
        <v>73313.049390272819</v>
      </c>
      <c r="AB24" s="29"/>
      <c r="AC24" s="31">
        <f t="shared" si="8"/>
        <v>74529.533832329456</v>
      </c>
      <c r="AD24" s="29"/>
      <c r="AE24" s="29" t="e">
        <f t="shared" si="9"/>
        <v>#REF!</v>
      </c>
      <c r="AF24" s="32" t="e">
        <f>AE24/Y24</f>
        <v>#REF!</v>
      </c>
      <c r="AG24" s="29">
        <f t="shared" si="5"/>
        <v>1216.4844420566344</v>
      </c>
      <c r="AH24" s="32" t="e">
        <f t="shared" ref="AH24:AH29" si="10">AG24/Y24</f>
        <v>#REF!</v>
      </c>
      <c r="AI24" s="29" t="e">
        <f t="shared" si="6"/>
        <v>#REF!</v>
      </c>
      <c r="AJ24" s="32" t="e">
        <f t="shared" ref="AJ24:AJ29" si="11">AI24/Y24</f>
        <v>#REF!</v>
      </c>
      <c r="AK24" s="30"/>
      <c r="AL24" s="33">
        <f t="shared" si="7"/>
        <v>0.13100000000000001</v>
      </c>
      <c r="AM24" s="30"/>
      <c r="AN24" s="34">
        <f>AA24/L24*100</f>
        <v>7.8948888601393357</v>
      </c>
      <c r="AO24" s="30"/>
      <c r="AP24" s="30"/>
      <c r="AQ24" s="206"/>
      <c r="AR24" s="36"/>
      <c r="AS24" s="6"/>
      <c r="AT24" s="49"/>
      <c r="AU24" s="50"/>
    </row>
    <row r="25" spans="2:47">
      <c r="B25" s="44">
        <f>MAX(B$13:B24)+1</f>
        <v>6</v>
      </c>
      <c r="D25" s="2" t="s">
        <v>46</v>
      </c>
      <c r="F25" s="12" t="s">
        <v>47</v>
      </c>
      <c r="G25" s="12"/>
      <c r="H25" s="28">
        <v>5259</v>
      </c>
      <c r="I25" s="28">
        <f>'Table A rate case'!H25</f>
        <v>5224.9278642093977</v>
      </c>
      <c r="J25" s="3"/>
      <c r="K25" s="28">
        <v>1569938.6044392167</v>
      </c>
      <c r="L25" s="28">
        <f>'Table A rate case'!J25</f>
        <v>160874.871894949</v>
      </c>
      <c r="N25" s="46">
        <v>10140.337</v>
      </c>
      <c r="O25" s="28">
        <f>('305 Inputs'!H86+'305 Inputs'!H97+'305 Inputs'!H92)/1000</f>
        <v>114946.202</v>
      </c>
      <c r="P25" s="46"/>
      <c r="Q25" s="163">
        <f>O25*-0.00747</f>
        <v>-858.64812893999999</v>
      </c>
      <c r="R25" s="46"/>
      <c r="S25" s="163">
        <f t="shared" si="1"/>
        <v>-936.81154630000015</v>
      </c>
      <c r="T25" s="46"/>
      <c r="U25" s="163">
        <f t="shared" si="2"/>
        <v>-78.163417360000153</v>
      </c>
      <c r="V25" s="46"/>
      <c r="W25" s="174">
        <f t="shared" si="3"/>
        <v>-5.5777669027813441E-3</v>
      </c>
      <c r="X25" s="46"/>
      <c r="Y25" s="29" t="e">
        <f>#REF!</f>
        <v>#REF!</v>
      </c>
      <c r="Z25" s="30"/>
      <c r="AA25" s="29">
        <f>'Table A rate case'!N25</f>
        <v>14013.388999999999</v>
      </c>
      <c r="AB25" s="29"/>
      <c r="AC25" s="31">
        <f t="shared" si="8"/>
        <v>14245.048815528726</v>
      </c>
      <c r="AD25" s="29"/>
      <c r="AE25" s="29" t="e">
        <f t="shared" si="9"/>
        <v>#REF!</v>
      </c>
      <c r="AF25" s="32" t="e">
        <f>AE25/Y25</f>
        <v>#REF!</v>
      </c>
      <c r="AG25" s="29">
        <f t="shared" si="5"/>
        <v>231.65981552872654</v>
      </c>
      <c r="AH25" s="32" t="e">
        <f t="shared" si="10"/>
        <v>#REF!</v>
      </c>
      <c r="AI25" s="29" t="e">
        <f t="shared" si="6"/>
        <v>#REF!</v>
      </c>
      <c r="AJ25" s="32" t="e">
        <f t="shared" si="11"/>
        <v>#REF!</v>
      </c>
      <c r="AK25" s="30"/>
      <c r="AL25" s="33">
        <f t="shared" si="7"/>
        <v>0.14399999999999999</v>
      </c>
      <c r="AM25" s="30"/>
      <c r="AN25" s="34">
        <f>AA25/L25*100</f>
        <v>8.7107382495078021</v>
      </c>
      <c r="AO25" s="30"/>
      <c r="AP25" s="30"/>
      <c r="AQ25" s="206"/>
      <c r="AR25" s="36"/>
      <c r="AS25" s="6"/>
    </row>
    <row r="26" spans="2:47">
      <c r="B26" s="44">
        <f>MAX(B$13:B25)+1</f>
        <v>7</v>
      </c>
      <c r="D26" s="2" t="s">
        <v>48</v>
      </c>
      <c r="F26" s="12">
        <v>47</v>
      </c>
      <c r="G26" s="12"/>
      <c r="H26" s="28">
        <v>1.0833333333333333</v>
      </c>
      <c r="I26" s="28">
        <f>'Table A rate case'!H26</f>
        <v>1</v>
      </c>
      <c r="J26" s="3"/>
      <c r="K26" s="28">
        <v>1569938.6044392167</v>
      </c>
      <c r="L26" s="28">
        <f>'Table A rate case'!J26</f>
        <v>2252.8077291342674</v>
      </c>
      <c r="N26" s="46">
        <v>165.62561725051643</v>
      </c>
      <c r="O26" s="28">
        <v>0</v>
      </c>
      <c r="P26" s="46"/>
      <c r="Q26" s="163">
        <f t="shared" ref="Q26:Q29" si="12">O26*-0.00747</f>
        <v>0</v>
      </c>
      <c r="R26" s="46"/>
      <c r="S26" s="163">
        <f t="shared" si="1"/>
        <v>0</v>
      </c>
      <c r="T26" s="46"/>
      <c r="U26" s="163">
        <f t="shared" si="2"/>
        <v>0</v>
      </c>
      <c r="V26" s="46"/>
      <c r="W26" s="174">
        <f t="shared" si="3"/>
        <v>0</v>
      </c>
      <c r="X26" s="46"/>
      <c r="Y26" s="29" t="e">
        <f>#REF!</f>
        <v>#REF!</v>
      </c>
      <c r="Z26" s="30"/>
      <c r="AA26" s="29">
        <f>'Table A rate case'!N26</f>
        <v>325.8169054190115</v>
      </c>
      <c r="AB26" s="29"/>
      <c r="AC26" s="31">
        <f t="shared" si="8"/>
        <v>331.22364396893374</v>
      </c>
      <c r="AD26" s="29"/>
      <c r="AE26" s="29" t="e">
        <f t="shared" si="9"/>
        <v>#REF!</v>
      </c>
      <c r="AF26" s="32" t="e">
        <f>AE26/Y26</f>
        <v>#REF!</v>
      </c>
      <c r="AG26" s="29">
        <f t="shared" si="5"/>
        <v>5.4067385499222418</v>
      </c>
      <c r="AH26" s="32" t="e">
        <f t="shared" si="10"/>
        <v>#REF!</v>
      </c>
      <c r="AI26" s="29" t="e">
        <f t="shared" si="6"/>
        <v>#REF!</v>
      </c>
      <c r="AJ26" s="32" t="e">
        <f t="shared" si="11"/>
        <v>#REF!</v>
      </c>
      <c r="AK26" s="30"/>
      <c r="AL26" s="33">
        <f t="shared" si="7"/>
        <v>0.24</v>
      </c>
      <c r="AM26" s="30"/>
      <c r="AN26" s="34">
        <f>AA26/L26*100</f>
        <v>14.462703638903967</v>
      </c>
      <c r="AO26" s="30"/>
      <c r="AP26" s="30"/>
      <c r="AQ26" s="206"/>
      <c r="AR26" s="36"/>
      <c r="AS26" s="6"/>
    </row>
    <row r="27" spans="2:47">
      <c r="B27" s="44">
        <f>MAX(B$13:B26)+1</f>
        <v>8</v>
      </c>
      <c r="D27" s="2" t="s">
        <v>49</v>
      </c>
      <c r="F27" s="12">
        <v>48</v>
      </c>
      <c r="G27" s="12"/>
      <c r="H27" s="28">
        <v>63.666666666666671</v>
      </c>
      <c r="I27" s="28">
        <f>'Table A rate case'!H27</f>
        <v>65.154040404040458</v>
      </c>
      <c r="J27" s="3"/>
      <c r="K27" s="28">
        <v>1569938.6044392167</v>
      </c>
      <c r="L27" s="28">
        <f>'Table A rate case'!J27</f>
        <v>413290.81798306474</v>
      </c>
      <c r="N27" s="46">
        <v>38996.209349631463</v>
      </c>
      <c r="O27" s="28">
        <v>0</v>
      </c>
      <c r="P27" s="46"/>
      <c r="Q27" s="163">
        <f t="shared" si="12"/>
        <v>0</v>
      </c>
      <c r="R27" s="46"/>
      <c r="S27" s="163">
        <f t="shared" si="1"/>
        <v>0</v>
      </c>
      <c r="T27" s="46"/>
      <c r="U27" s="163">
        <f t="shared" si="2"/>
        <v>0</v>
      </c>
      <c r="V27" s="46"/>
      <c r="W27" s="174">
        <f t="shared" si="3"/>
        <v>0</v>
      </c>
      <c r="X27" s="46"/>
      <c r="Y27" s="29" t="e">
        <f>#REF!</f>
        <v>#REF!</v>
      </c>
      <c r="Z27" s="30"/>
      <c r="AA27" s="29">
        <f>'Table A rate case'!N27</f>
        <v>29436.674579258906</v>
      </c>
      <c r="AB27" s="29"/>
      <c r="AC27" s="31">
        <f t="shared" si="8"/>
        <v>29924.357744478923</v>
      </c>
      <c r="AD27" s="29"/>
      <c r="AE27" s="29" t="e">
        <f t="shared" si="9"/>
        <v>#REF!</v>
      </c>
      <c r="AF27" s="32" t="e">
        <f>AE27/Y27</f>
        <v>#REF!</v>
      </c>
      <c r="AG27" s="29">
        <f t="shared" si="5"/>
        <v>487.68316522001635</v>
      </c>
      <c r="AH27" s="32" t="e">
        <f t="shared" si="10"/>
        <v>#REF!</v>
      </c>
      <c r="AI27" s="29" t="e">
        <f t="shared" si="6"/>
        <v>#REF!</v>
      </c>
      <c r="AJ27" s="32" t="e">
        <f t="shared" si="11"/>
        <v>#REF!</v>
      </c>
      <c r="AK27" s="30"/>
      <c r="AL27" s="33">
        <f t="shared" si="7"/>
        <v>0.11799999999999999</v>
      </c>
      <c r="AM27" s="30"/>
      <c r="AN27" s="34">
        <f>AA27/L27*100</f>
        <v>7.1225087271271343</v>
      </c>
      <c r="AO27" s="30"/>
      <c r="AP27" s="30"/>
      <c r="AQ27" s="206"/>
      <c r="AR27" s="36"/>
      <c r="AS27" s="6"/>
      <c r="AT27" s="3" t="s">
        <v>0</v>
      </c>
    </row>
    <row r="28" spans="2:47">
      <c r="B28" s="44">
        <f>MAX(B$13:B26)+1</f>
        <v>8</v>
      </c>
      <c r="D28" s="2" t="s">
        <v>50</v>
      </c>
      <c r="F28" s="27" t="s">
        <v>51</v>
      </c>
      <c r="G28" s="12"/>
      <c r="H28" s="28">
        <v>63.666666666666671</v>
      </c>
      <c r="I28" s="28">
        <f>'Table A rate case'!H28</f>
        <v>1.0027777777777749</v>
      </c>
      <c r="J28" s="3"/>
      <c r="K28" s="28">
        <v>1569938.6044392167</v>
      </c>
      <c r="L28" s="28">
        <f>'Table A rate case'!J28</f>
        <v>459903.50184810511</v>
      </c>
      <c r="N28" s="46">
        <v>38996.209349631463</v>
      </c>
      <c r="O28" s="28">
        <v>0</v>
      </c>
      <c r="P28" s="46"/>
      <c r="Q28" s="163">
        <f t="shared" si="12"/>
        <v>0</v>
      </c>
      <c r="R28" s="46"/>
      <c r="S28" s="163">
        <f t="shared" ref="S28" si="13">O28*$U$48</f>
        <v>0</v>
      </c>
      <c r="T28" s="46"/>
      <c r="U28" s="163">
        <v>0</v>
      </c>
      <c r="V28" s="46"/>
      <c r="W28" s="174">
        <v>0</v>
      </c>
      <c r="X28" s="29"/>
      <c r="Y28" s="29" t="e">
        <f>#REF!</f>
        <v>#REF!</v>
      </c>
      <c r="Z28" s="30"/>
      <c r="AA28" s="29">
        <f>'Table A rate case'!N28</f>
        <v>27004.252864840946</v>
      </c>
      <c r="AB28" s="29"/>
      <c r="AC28" s="31">
        <f t="shared" si="8"/>
        <v>27004.252864840946</v>
      </c>
      <c r="AD28" s="29"/>
      <c r="AE28" s="29" t="e">
        <f t="shared" si="9"/>
        <v>#REF!</v>
      </c>
      <c r="AF28" s="32">
        <v>0</v>
      </c>
      <c r="AG28" s="29">
        <v>0</v>
      </c>
      <c r="AH28" s="32">
        <v>0</v>
      </c>
      <c r="AI28" s="29" t="e">
        <f t="shared" si="6"/>
        <v>#REF!</v>
      </c>
      <c r="AJ28" s="32">
        <v>0</v>
      </c>
      <c r="AK28" s="30"/>
      <c r="AL28" s="33">
        <f t="shared" si="7"/>
        <v>9.7000000000000003E-2</v>
      </c>
      <c r="AM28" s="30"/>
      <c r="AN28" s="34">
        <v>0</v>
      </c>
      <c r="AO28" s="30"/>
      <c r="AP28" s="30"/>
      <c r="AQ28" s="206"/>
      <c r="AR28" s="36"/>
      <c r="AS28" s="6"/>
    </row>
    <row r="29" spans="2:47">
      <c r="B29" s="44">
        <f>MAX(B$13:B28)+1</f>
        <v>9</v>
      </c>
      <c r="D29" s="2" t="s">
        <v>52</v>
      </c>
      <c r="F29" s="12" t="s">
        <v>53</v>
      </c>
      <c r="G29" s="12"/>
      <c r="H29" s="28">
        <v>28</v>
      </c>
      <c r="I29" s="28">
        <f>'Table A rate case'!H29</f>
        <v>29.122222222222252</v>
      </c>
      <c r="J29" s="3"/>
      <c r="K29" s="28">
        <v>1569938.6044392167</v>
      </c>
      <c r="L29" s="28">
        <f>'Table A rate case'!J29</f>
        <v>269.62791580171842</v>
      </c>
      <c r="N29" s="46">
        <v>18.659249899021408</v>
      </c>
      <c r="O29" s="172">
        <v>0</v>
      </c>
      <c r="P29" s="54"/>
      <c r="Q29" s="163">
        <f t="shared" si="12"/>
        <v>0</v>
      </c>
      <c r="R29" s="54"/>
      <c r="S29" s="173">
        <f>O29*$U$52</f>
        <v>0</v>
      </c>
      <c r="T29" s="54"/>
      <c r="U29" s="173">
        <f t="shared" si="2"/>
        <v>0</v>
      </c>
      <c r="V29" s="54"/>
      <c r="W29" s="174">
        <f t="shared" si="3"/>
        <v>0</v>
      </c>
      <c r="Y29" s="29" t="e">
        <f>#REF!</f>
        <v>#REF!</v>
      </c>
      <c r="Z29" s="30"/>
      <c r="AA29" s="29">
        <f>'Table A rate case'!N29</f>
        <v>24.51727294776936</v>
      </c>
      <c r="AB29" s="29"/>
      <c r="AC29" s="31">
        <f t="shared" si="8"/>
        <v>24.924411100629953</v>
      </c>
      <c r="AD29" s="29"/>
      <c r="AE29" s="29" t="e">
        <f t="shared" si="9"/>
        <v>#REF!</v>
      </c>
      <c r="AF29" s="32" t="e">
        <f>AE29/Y29</f>
        <v>#REF!</v>
      </c>
      <c r="AG29" s="29">
        <f t="shared" si="5"/>
        <v>0.40713815286059485</v>
      </c>
      <c r="AH29" s="32" t="e">
        <f t="shared" si="10"/>
        <v>#REF!</v>
      </c>
      <c r="AI29" s="29" t="e">
        <f t="shared" si="6"/>
        <v>#REF!</v>
      </c>
      <c r="AJ29" s="32" t="e">
        <f t="shared" si="11"/>
        <v>#REF!</v>
      </c>
      <c r="AK29" s="30"/>
      <c r="AL29" s="33">
        <f t="shared" si="7"/>
        <v>0.151</v>
      </c>
      <c r="AM29" s="30"/>
      <c r="AN29" s="34">
        <f>AA29/L29*100</f>
        <v>9.0930024344360199</v>
      </c>
      <c r="AO29" s="30"/>
      <c r="AP29" s="30"/>
      <c r="AQ29" s="206"/>
      <c r="AR29" s="36"/>
      <c r="AS29" s="6"/>
    </row>
    <row r="30" spans="2:47">
      <c r="B30" s="14"/>
      <c r="F30" s="12"/>
      <c r="G30" s="12"/>
      <c r="H30" s="38"/>
      <c r="I30" s="38"/>
      <c r="K30" s="38"/>
      <c r="L30" s="38"/>
      <c r="N30" s="38"/>
      <c r="O30" s="39"/>
      <c r="Q30" s="166"/>
      <c r="S30" s="166"/>
      <c r="U30" s="166"/>
      <c r="W30" s="168"/>
      <c r="Y30" s="38"/>
      <c r="Z30" s="6"/>
      <c r="AA30" s="38"/>
      <c r="AB30" s="6"/>
      <c r="AC30" s="39"/>
      <c r="AD30" s="6"/>
      <c r="AE30" s="38"/>
      <c r="AF30" s="40"/>
      <c r="AG30" s="38"/>
      <c r="AH30" s="40"/>
      <c r="AI30" s="38"/>
      <c r="AJ30" s="40"/>
      <c r="AK30" s="6"/>
      <c r="AL30" s="41"/>
      <c r="AM30" s="6"/>
      <c r="AN30" s="39"/>
      <c r="AO30" s="6"/>
      <c r="AP30" s="6"/>
      <c r="AQ30" s="205"/>
      <c r="AR30" s="6"/>
      <c r="AS30" s="6"/>
    </row>
    <row r="31" spans="2:47">
      <c r="B31" s="14"/>
      <c r="O31" s="28"/>
      <c r="P31" s="46"/>
      <c r="Q31" s="163"/>
      <c r="R31" s="46"/>
      <c r="S31" s="163"/>
      <c r="T31" s="46"/>
      <c r="U31" s="163"/>
      <c r="V31" s="46"/>
      <c r="W31" s="164"/>
      <c r="X31" s="46"/>
      <c r="AF31" s="42"/>
      <c r="AH31" s="42"/>
      <c r="AJ31" s="42"/>
      <c r="AL31" s="43"/>
      <c r="AQ31" s="205"/>
      <c r="AR31" s="6"/>
      <c r="AS31" s="6"/>
    </row>
    <row r="32" spans="2:47">
      <c r="B32" s="44">
        <f>MAX(B$13:B31)+1</f>
        <v>10</v>
      </c>
      <c r="D32" s="26" t="s">
        <v>54</v>
      </c>
      <c r="H32" s="45">
        <f>SUM(H22:H29)</f>
        <v>23780.5</v>
      </c>
      <c r="I32" s="45">
        <f>SUM(I22:I29)</f>
        <v>25453.101474718143</v>
      </c>
      <c r="K32" s="45">
        <f>SUM(K22:K29)</f>
        <v>12559508.835513733</v>
      </c>
      <c r="L32" s="45">
        <f>SUM(L22:L29)</f>
        <v>2501472.3056290983</v>
      </c>
      <c r="M32" s="45"/>
      <c r="N32" s="29">
        <f>SUM(N22:N29)</f>
        <v>170969.95465759834</v>
      </c>
      <c r="O32" s="28">
        <f>SUM(O22:O31)</f>
        <v>229108.10100000002</v>
      </c>
      <c r="P32" s="46"/>
      <c r="Q32" s="163">
        <f>SUM(Q22:Q31)</f>
        <v>-1711.43751447</v>
      </c>
      <c r="R32" s="46"/>
      <c r="S32" s="163">
        <f>SUM(S22:S31)</f>
        <v>-1867.2310231500003</v>
      </c>
      <c r="T32" s="46"/>
      <c r="U32" s="163">
        <f>SUM(U22:U31)</f>
        <v>-155.79350868000023</v>
      </c>
      <c r="V32" s="46"/>
      <c r="W32" s="174">
        <f t="shared" ref="W32" si="14">U32/AA32</f>
        <v>-8.0493409382980427E-4</v>
      </c>
      <c r="X32" s="46"/>
      <c r="Y32" s="29" t="e">
        <f>SUM(Y22:Y29)</f>
        <v>#REF!</v>
      </c>
      <c r="Z32" s="30"/>
      <c r="AA32" s="29">
        <f>SUM(AA22:AA29)</f>
        <v>193548.15490389863</v>
      </c>
      <c r="AB32" s="46"/>
      <c r="AC32" s="31">
        <f>SUM(AC22:AC29)</f>
        <v>196310.28410194564</v>
      </c>
      <c r="AD32" s="46"/>
      <c r="AE32" s="29" t="e">
        <f>SUM(AE22:AE29)</f>
        <v>#REF!</v>
      </c>
      <c r="AF32" s="32" t="e">
        <f>AE32/Y32</f>
        <v>#REF!</v>
      </c>
      <c r="AG32" s="29">
        <f>SUM(AG22:AG29)</f>
        <v>2762.1291980470492</v>
      </c>
      <c r="AH32" s="32" t="e">
        <f>AG32/Y32</f>
        <v>#REF!</v>
      </c>
      <c r="AI32" s="29" t="e">
        <f>AE32+AG32</f>
        <v>#REF!</v>
      </c>
      <c r="AJ32" s="32"/>
      <c r="AK32" s="30"/>
      <c r="AL32" s="33"/>
      <c r="AM32" s="30"/>
      <c r="AN32" s="34">
        <f>AA32/L32*100</f>
        <v>7.7373694870958394</v>
      </c>
      <c r="AO32" s="30"/>
      <c r="AP32" s="30"/>
      <c r="AQ32" s="206"/>
      <c r="AR32" s="36"/>
      <c r="AS32" s="6"/>
    </row>
    <row r="33" spans="2:46">
      <c r="B33" s="14"/>
      <c r="O33" s="28"/>
      <c r="P33" s="46"/>
      <c r="Q33" s="163"/>
      <c r="R33" s="46"/>
      <c r="S33" s="163"/>
      <c r="T33" s="46"/>
      <c r="U33" s="163"/>
      <c r="V33" s="46"/>
      <c r="W33" s="164"/>
      <c r="X33" s="46"/>
      <c r="AF33" s="42"/>
      <c r="AH33" s="42"/>
      <c r="AJ33" s="42"/>
      <c r="AL33" s="43"/>
      <c r="AQ33" s="205"/>
      <c r="AR33" s="6"/>
      <c r="AS33" s="6"/>
    </row>
    <row r="34" spans="2:46">
      <c r="B34" s="14"/>
      <c r="D34" s="26" t="s">
        <v>55</v>
      </c>
      <c r="O34" s="28"/>
      <c r="P34" s="28"/>
      <c r="Q34" s="163"/>
      <c r="R34" s="28"/>
      <c r="S34" s="163"/>
      <c r="T34" s="28"/>
      <c r="U34" s="163"/>
      <c r="V34" s="28"/>
      <c r="W34" s="164"/>
      <c r="X34" s="28"/>
      <c r="AF34" s="42"/>
      <c r="AH34" s="42"/>
      <c r="AJ34" s="42"/>
      <c r="AL34" s="43"/>
      <c r="AQ34" s="205"/>
      <c r="AR34" s="6"/>
      <c r="AS34" s="6"/>
    </row>
    <row r="35" spans="2:46">
      <c r="B35" s="44">
        <f>MAX(B$13:B34)+1</f>
        <v>11</v>
      </c>
      <c r="D35" s="2" t="s">
        <v>56</v>
      </c>
      <c r="F35" s="12" t="s">
        <v>57</v>
      </c>
      <c r="G35" s="12"/>
      <c r="H35" s="28">
        <v>2828</v>
      </c>
      <c r="I35" s="28">
        <f>'Table A rate case'!H35</f>
        <v>2460.6166666666663</v>
      </c>
      <c r="J35" s="3"/>
      <c r="K35" s="28">
        <v>1569938.6044392167</v>
      </c>
      <c r="L35" s="28">
        <f>'Table A rate case'!J35</f>
        <v>3285.7464134232382</v>
      </c>
      <c r="N35" s="46">
        <v>473.92026673033644</v>
      </c>
      <c r="O35" s="28">
        <f>('305 Inputs'!H36+'305 Inputs'!H71+'305 Inputs'!H139)/1000</f>
        <v>1603.396</v>
      </c>
      <c r="P35" s="46"/>
      <c r="Q35" s="163">
        <f t="shared" ref="Q35:Q39" si="15">O35*-0.00747</f>
        <v>-11.97736812</v>
      </c>
      <c r="R35" s="46"/>
      <c r="S35" s="163">
        <f>O35*$U$52</f>
        <v>-13.067677400000001</v>
      </c>
      <c r="T35" s="46"/>
      <c r="U35" s="163">
        <f t="shared" ref="U35:U39" si="16">S35-Q35</f>
        <v>-1.0903092800000014</v>
      </c>
      <c r="V35" s="46"/>
      <c r="W35" s="174">
        <f t="shared" ref="W35:W39" si="17">U35/AA35</f>
        <v>-2.283862321630845E-3</v>
      </c>
      <c r="X35" s="28"/>
      <c r="Y35" s="29" t="e">
        <f>#REF!</f>
        <v>#REF!</v>
      </c>
      <c r="Z35" s="30"/>
      <c r="AA35" s="29">
        <f>'Table A rate case'!N35</f>
        <v>477.39711350964478</v>
      </c>
      <c r="AB35" s="29"/>
      <c r="AC35" s="31">
        <f t="shared" ref="AC35:AC39" si="18">AA35+AG35</f>
        <v>485.31576236599477</v>
      </c>
      <c r="AD35" s="29"/>
      <c r="AE35" s="29" t="e">
        <f t="shared" ref="AE35:AE39" si="19">AA35-Y35</f>
        <v>#REF!</v>
      </c>
      <c r="AF35" s="32" t="e">
        <f>AE35/Y35</f>
        <v>#REF!</v>
      </c>
      <c r="AG35" s="29">
        <f>(AL35/100)*L35</f>
        <v>7.9186488563500035</v>
      </c>
      <c r="AH35" s="32" t="e">
        <f>AG35/Y35</f>
        <v>#REF!</v>
      </c>
      <c r="AI35" s="29" t="e">
        <f>AE35+AG35</f>
        <v>#REF!</v>
      </c>
      <c r="AJ35" s="32" t="e">
        <f>AI35/Y35</f>
        <v>#REF!</v>
      </c>
      <c r="AK35" s="30"/>
      <c r="AL35" s="33">
        <f t="shared" ref="AL35:AL39" si="20">ROUND((((AA35/$AA$44)*$AG$51)/L35)*100,3)</f>
        <v>0.24099999999999999</v>
      </c>
      <c r="AM35" s="30"/>
      <c r="AN35" s="34">
        <f>AA35/L35*100</f>
        <v>14.529335299867864</v>
      </c>
      <c r="AO35" s="30"/>
      <c r="AP35" s="30"/>
      <c r="AQ35" s="206"/>
      <c r="AR35" s="36"/>
      <c r="AS35" s="6"/>
    </row>
    <row r="36" spans="2:46">
      <c r="B36" s="44">
        <f>MAX(B$13:B35)+1</f>
        <v>12</v>
      </c>
      <c r="D36" s="2" t="s">
        <v>58</v>
      </c>
      <c r="F36" s="12" t="s">
        <v>59</v>
      </c>
      <c r="G36" s="12"/>
      <c r="H36" s="28">
        <v>178</v>
      </c>
      <c r="I36" s="28">
        <f>'Table A rate case'!H36</f>
        <v>177</v>
      </c>
      <c r="J36" s="3"/>
      <c r="K36" s="28">
        <v>1569938.6044392167</v>
      </c>
      <c r="L36" s="28">
        <f>'Table A rate case'!J36</f>
        <v>3932.5577854698172</v>
      </c>
      <c r="N36" s="46">
        <v>522.31224201957195</v>
      </c>
      <c r="O36" s="28">
        <v>0</v>
      </c>
      <c r="P36" s="46"/>
      <c r="Q36" s="163">
        <f t="shared" si="15"/>
        <v>0</v>
      </c>
      <c r="R36" s="46"/>
      <c r="S36" s="163">
        <f>O36*$U$52</f>
        <v>0</v>
      </c>
      <c r="T36" s="46"/>
      <c r="U36" s="163">
        <f t="shared" si="16"/>
        <v>0</v>
      </c>
      <c r="V36" s="46"/>
      <c r="W36" s="174">
        <f t="shared" si="17"/>
        <v>0</v>
      </c>
      <c r="X36" s="6"/>
      <c r="Y36" s="29" t="e">
        <f>#REF!</f>
        <v>#REF!</v>
      </c>
      <c r="Z36" s="30"/>
      <c r="AA36" s="29">
        <f>'Table A rate case'!N36</f>
        <v>782.10020538016261</v>
      </c>
      <c r="AB36" s="29"/>
      <c r="AC36" s="31">
        <f t="shared" si="18"/>
        <v>795.07764607221304</v>
      </c>
      <c r="AD36" s="29"/>
      <c r="AE36" s="29" t="e">
        <f t="shared" si="19"/>
        <v>#REF!</v>
      </c>
      <c r="AF36" s="32" t="e">
        <f>AE36/Y36</f>
        <v>#REF!</v>
      </c>
      <c r="AG36" s="29">
        <f>(AL36/100)*L36</f>
        <v>12.977440692050397</v>
      </c>
      <c r="AH36" s="32" t="e">
        <f>AG36/Y36</f>
        <v>#REF!</v>
      </c>
      <c r="AI36" s="29" t="e">
        <f>AE36+AG36</f>
        <v>#REF!</v>
      </c>
      <c r="AJ36" s="32" t="e">
        <f>AI36/Y36</f>
        <v>#REF!</v>
      </c>
      <c r="AK36" s="30"/>
      <c r="AL36" s="33">
        <f t="shared" si="20"/>
        <v>0.33</v>
      </c>
      <c r="AM36" s="30"/>
      <c r="AN36" s="34">
        <f>AA36/L36*100</f>
        <v>19.88782487239984</v>
      </c>
      <c r="AO36" s="30"/>
      <c r="AP36" s="30"/>
      <c r="AQ36" s="206"/>
      <c r="AR36" s="36"/>
      <c r="AS36" s="35" t="s">
        <v>0</v>
      </c>
    </row>
    <row r="37" spans="2:46">
      <c r="B37" s="44">
        <f>MAX(B$13:B36)+1</f>
        <v>13</v>
      </c>
      <c r="D37" s="2" t="s">
        <v>58</v>
      </c>
      <c r="F37" s="12">
        <v>52</v>
      </c>
      <c r="G37" s="12"/>
      <c r="H37" s="28">
        <v>30</v>
      </c>
      <c r="I37" s="28">
        <f>'Table A rate case'!H37</f>
        <v>1.1666666666666667</v>
      </c>
      <c r="J37" s="3"/>
      <c r="K37" s="28">
        <v>1569938.6044392167</v>
      </c>
      <c r="L37" s="28">
        <f>'Table A rate case'!J37</f>
        <v>212.19525038227087</v>
      </c>
      <c r="N37" s="46">
        <v>60.670270195709442</v>
      </c>
      <c r="O37" s="28">
        <v>0</v>
      </c>
      <c r="P37" s="46"/>
      <c r="Q37" s="163">
        <f t="shared" si="15"/>
        <v>0</v>
      </c>
      <c r="R37" s="46"/>
      <c r="S37" s="163">
        <f>O37*$U$52</f>
        <v>0</v>
      </c>
      <c r="T37" s="46"/>
      <c r="U37" s="163">
        <f t="shared" si="16"/>
        <v>0</v>
      </c>
      <c r="V37" s="46"/>
      <c r="W37" s="174">
        <f t="shared" si="17"/>
        <v>0</v>
      </c>
      <c r="Y37" s="29" t="e">
        <f>#REF!</f>
        <v>#REF!</v>
      </c>
      <c r="Z37" s="30"/>
      <c r="AA37" s="29">
        <f>'Table A rate case'!N37</f>
        <v>37.12014195369148</v>
      </c>
      <c r="AB37" s="29"/>
      <c r="AC37" s="31">
        <f t="shared" si="18"/>
        <v>37.735508179800064</v>
      </c>
      <c r="AD37" s="29"/>
      <c r="AE37" s="29" t="e">
        <f t="shared" si="19"/>
        <v>#REF!</v>
      </c>
      <c r="AF37" s="32" t="e">
        <f>AE37/Y37</f>
        <v>#REF!</v>
      </c>
      <c r="AG37" s="29">
        <f>(AL37/100)*L37</f>
        <v>0.61536622610858549</v>
      </c>
      <c r="AH37" s="32" t="e">
        <f>AG37/Y37</f>
        <v>#REF!</v>
      </c>
      <c r="AI37" s="29" t="e">
        <f>AE37+AG37</f>
        <v>#REF!</v>
      </c>
      <c r="AJ37" s="32" t="e">
        <f>AI37/Y37</f>
        <v>#REF!</v>
      </c>
      <c r="AK37" s="30"/>
      <c r="AL37" s="33">
        <f t="shared" si="20"/>
        <v>0.28999999999999998</v>
      </c>
      <c r="AM37" s="30"/>
      <c r="AN37" s="34">
        <f>AA37/L37*100</f>
        <v>17.493389643179736</v>
      </c>
      <c r="AO37" s="30"/>
      <c r="AP37" s="30"/>
      <c r="AQ37" s="206"/>
      <c r="AR37" s="36"/>
      <c r="AS37" s="6"/>
    </row>
    <row r="38" spans="2:46">
      <c r="B38" s="44">
        <f>MAX(B$13:B37)+1</f>
        <v>14</v>
      </c>
      <c r="D38" s="2" t="s">
        <v>58</v>
      </c>
      <c r="F38" s="12">
        <v>53</v>
      </c>
      <c r="G38" s="12"/>
      <c r="H38" s="28">
        <v>272.33333333333337</v>
      </c>
      <c r="I38" s="28">
        <f>'Table A rate case'!H38</f>
        <v>6.7847222222222223</v>
      </c>
      <c r="J38" s="3"/>
      <c r="K38" s="28">
        <v>1569938.6044392167</v>
      </c>
      <c r="L38" s="28">
        <f>'Table A rate case'!J38</f>
        <v>4656.9131691638522</v>
      </c>
      <c r="N38" s="28">
        <v>278.83306975907675</v>
      </c>
      <c r="O38" s="28">
        <v>0</v>
      </c>
      <c r="P38" s="28"/>
      <c r="Q38" s="163">
        <f t="shared" si="15"/>
        <v>0</v>
      </c>
      <c r="R38" s="28"/>
      <c r="S38" s="163">
        <f>O38*$U$52</f>
        <v>0</v>
      </c>
      <c r="T38" s="28"/>
      <c r="U38" s="163">
        <f t="shared" si="16"/>
        <v>0</v>
      </c>
      <c r="V38" s="28"/>
      <c r="W38" s="174">
        <f t="shared" si="17"/>
        <v>0</v>
      </c>
      <c r="X38" s="54"/>
      <c r="Y38" s="29" t="e">
        <f>#REF!</f>
        <v>#REF!</v>
      </c>
      <c r="Z38" s="30"/>
      <c r="AA38" s="29">
        <f>'Table A rate case'!N38</f>
        <v>331.29827748414397</v>
      </c>
      <c r="AB38" s="29"/>
      <c r="AC38" s="31">
        <f t="shared" si="18"/>
        <v>336.7934350237573</v>
      </c>
      <c r="AD38" s="29"/>
      <c r="AE38" s="29" t="e">
        <f t="shared" si="19"/>
        <v>#REF!</v>
      </c>
      <c r="AF38" s="32" t="e">
        <f>AE38/Y38</f>
        <v>#REF!</v>
      </c>
      <c r="AG38" s="29">
        <f>(AL38/100)*L38</f>
        <v>5.495157539613345</v>
      </c>
      <c r="AH38" s="32" t="e">
        <f>AG38/Y38</f>
        <v>#REF!</v>
      </c>
      <c r="AI38" s="29" t="e">
        <f>AE38+AG38</f>
        <v>#REF!</v>
      </c>
      <c r="AJ38" s="32" t="e">
        <f>AI38/Y38</f>
        <v>#REF!</v>
      </c>
      <c r="AK38" s="30"/>
      <c r="AL38" s="33">
        <f t="shared" si="20"/>
        <v>0.11799999999999999</v>
      </c>
      <c r="AM38" s="30"/>
      <c r="AN38" s="34">
        <f>AA38/L38*100</f>
        <v>7.1141175591991663</v>
      </c>
      <c r="AO38" s="30"/>
      <c r="AP38" s="30"/>
      <c r="AQ38" s="206"/>
      <c r="AR38" s="36"/>
      <c r="AS38" s="6"/>
      <c r="AT38" s="3" t="s">
        <v>0</v>
      </c>
    </row>
    <row r="39" spans="2:46">
      <c r="B39" s="44">
        <f>MAX(B$13:B38)+1</f>
        <v>15</v>
      </c>
      <c r="D39" s="2" t="s">
        <v>58</v>
      </c>
      <c r="F39" s="12">
        <v>57</v>
      </c>
      <c r="G39" s="12"/>
      <c r="H39" s="28">
        <v>50.666666666666664</v>
      </c>
      <c r="I39" s="28">
        <f>'Table A rate case'!H39</f>
        <v>34.833333333333336</v>
      </c>
      <c r="J39" s="3"/>
      <c r="K39" s="28">
        <v>1569938.6044392167</v>
      </c>
      <c r="L39" s="28">
        <f>'Table A rate case'!J39</f>
        <v>1753.793178375513</v>
      </c>
      <c r="N39" s="28">
        <v>235.8029580256418</v>
      </c>
      <c r="O39" s="28">
        <v>0</v>
      </c>
      <c r="P39" s="28"/>
      <c r="Q39" s="163">
        <f t="shared" si="15"/>
        <v>0</v>
      </c>
      <c r="R39" s="28"/>
      <c r="S39" s="163">
        <f>O39*$U$52</f>
        <v>0</v>
      </c>
      <c r="T39" s="28"/>
      <c r="U39" s="163">
        <f t="shared" si="16"/>
        <v>0</v>
      </c>
      <c r="V39" s="28"/>
      <c r="W39" s="174">
        <f t="shared" si="17"/>
        <v>0</v>
      </c>
      <c r="X39" s="54"/>
      <c r="Y39" s="29" t="e">
        <f>#REF!</f>
        <v>#REF!</v>
      </c>
      <c r="Z39" s="30"/>
      <c r="AA39" s="29">
        <f>'Table A rate case'!N39</f>
        <v>223.41646192102368</v>
      </c>
      <c r="AB39" s="29"/>
      <c r="AC39" s="31">
        <f t="shared" si="18"/>
        <v>227.11696552739602</v>
      </c>
      <c r="AD39" s="29"/>
      <c r="AE39" s="29" t="e">
        <f t="shared" si="19"/>
        <v>#REF!</v>
      </c>
      <c r="AF39" s="32" t="e">
        <f>AE39/Y39</f>
        <v>#REF!</v>
      </c>
      <c r="AG39" s="29">
        <f>(AL39/100)*L39</f>
        <v>3.7005036063723322</v>
      </c>
      <c r="AH39" s="32" t="e">
        <f>AG39/Y39</f>
        <v>#REF!</v>
      </c>
      <c r="AI39" s="29" t="e">
        <f>AE39+AG39</f>
        <v>#REF!</v>
      </c>
      <c r="AJ39" s="32" t="e">
        <f>AI39/Y39</f>
        <v>#REF!</v>
      </c>
      <c r="AK39" s="30"/>
      <c r="AL39" s="33">
        <f t="shared" si="20"/>
        <v>0.21099999999999999</v>
      </c>
      <c r="AM39" s="30"/>
      <c r="AN39" s="34">
        <f>AA39/L39*100</f>
        <v>12.739042703311673</v>
      </c>
      <c r="AO39" s="30"/>
      <c r="AP39" s="30"/>
      <c r="AQ39" s="206"/>
      <c r="AR39" s="36"/>
      <c r="AS39" s="6"/>
    </row>
    <row r="40" spans="2:46">
      <c r="B40" s="14"/>
      <c r="H40" s="38"/>
      <c r="I40" s="38"/>
      <c r="K40" s="38"/>
      <c r="L40" s="38"/>
      <c r="N40" s="38"/>
      <c r="O40" s="38"/>
      <c r="P40" s="6"/>
      <c r="Q40" s="166"/>
      <c r="R40" s="6"/>
      <c r="S40" s="166"/>
      <c r="T40" s="6"/>
      <c r="U40" s="166"/>
      <c r="V40" s="6"/>
      <c r="W40" s="168"/>
      <c r="X40" s="63"/>
      <c r="Y40" s="38"/>
      <c r="Z40" s="6"/>
      <c r="AA40" s="39"/>
      <c r="AB40" s="6"/>
      <c r="AC40" s="39"/>
      <c r="AD40" s="6"/>
      <c r="AE40" s="38"/>
      <c r="AF40" s="40"/>
      <c r="AG40" s="38"/>
      <c r="AH40" s="40"/>
      <c r="AI40" s="38"/>
      <c r="AJ40" s="40"/>
      <c r="AK40" s="6"/>
      <c r="AL40" s="41"/>
      <c r="AM40" s="6"/>
      <c r="AN40" s="39"/>
      <c r="AO40" s="6"/>
      <c r="AP40" s="6"/>
      <c r="AQ40" s="205"/>
      <c r="AR40" s="6"/>
      <c r="AS40" s="6"/>
    </row>
    <row r="41" spans="2:46">
      <c r="B41" s="14"/>
      <c r="Q41" s="163"/>
      <c r="S41" s="163"/>
      <c r="U41" s="163"/>
      <c r="W41" s="164"/>
      <c r="X41" s="63"/>
      <c r="AF41" s="42"/>
      <c r="AH41" s="42"/>
      <c r="AJ41" s="42"/>
      <c r="AL41" s="43"/>
      <c r="AQ41" s="205"/>
      <c r="AR41" s="6"/>
      <c r="AS41" s="6"/>
    </row>
    <row r="42" spans="2:46">
      <c r="B42" s="44">
        <f>MAX(B$13:B41)+1</f>
        <v>16</v>
      </c>
      <c r="D42" s="26" t="s">
        <v>60</v>
      </c>
      <c r="H42" s="52">
        <f>SUM(H35:H39)</f>
        <v>3359</v>
      </c>
      <c r="I42" s="52">
        <f>SUM(I35:I39)</f>
        <v>2680.4013888888885</v>
      </c>
      <c r="K42" s="52">
        <f>SUM(K35:K39)</f>
        <v>7849693.0221960833</v>
      </c>
      <c r="L42" s="52">
        <f>SUM(L35:L39)</f>
        <v>13841.205796814691</v>
      </c>
      <c r="M42" s="45"/>
      <c r="N42" s="53">
        <f>SUM(N35:N39)</f>
        <v>1571.5388067303365</v>
      </c>
      <c r="O42" s="52">
        <f>SUM(O35:O39)</f>
        <v>1603.396</v>
      </c>
      <c r="P42" s="54"/>
      <c r="Q42" s="166">
        <f>SUM(Q35:Q39)</f>
        <v>-11.97736812</v>
      </c>
      <c r="R42" s="54"/>
      <c r="S42" s="166">
        <f>SUM(S35:S39)</f>
        <v>-13.067677400000001</v>
      </c>
      <c r="T42" s="54"/>
      <c r="U42" s="166">
        <f>SUM(U35:U41)</f>
        <v>-1.0903092800000014</v>
      </c>
      <c r="V42" s="54"/>
      <c r="W42" s="168">
        <f>U42/AA42</f>
        <v>-5.8893227258379323E-4</v>
      </c>
      <c r="X42" s="63"/>
      <c r="Y42" s="53" t="e">
        <f>SUM(Y35:Y39)</f>
        <v>#REF!</v>
      </c>
      <c r="Z42" s="36"/>
      <c r="AA42" s="53">
        <f>SUM(AA35:AA39)</f>
        <v>1851.3322002486666</v>
      </c>
      <c r="AB42" s="54"/>
      <c r="AC42" s="53">
        <f>SUM(AC35:AC39)</f>
        <v>1882.0393171691612</v>
      </c>
      <c r="AD42" s="54"/>
      <c r="AE42" s="53" t="e">
        <f>SUM(AE35:AE39)</f>
        <v>#REF!</v>
      </c>
      <c r="AF42" s="55" t="e">
        <f>AE42/Y42</f>
        <v>#REF!</v>
      </c>
      <c r="AG42" s="53">
        <f>SUM(AG35:AG39)</f>
        <v>30.707116920494663</v>
      </c>
      <c r="AH42" s="55" t="e">
        <f>AG42/Y42</f>
        <v>#REF!</v>
      </c>
      <c r="AI42" s="53" t="e">
        <f>AE42+AG42</f>
        <v>#REF!</v>
      </c>
      <c r="AJ42" s="55" t="e">
        <f>AI42/Y42</f>
        <v>#REF!</v>
      </c>
      <c r="AK42" s="36"/>
      <c r="AL42" s="33"/>
      <c r="AM42" s="36"/>
      <c r="AN42" s="56">
        <f>AA42/L42*100</f>
        <v>13.37551241868478</v>
      </c>
      <c r="AO42" s="36"/>
      <c r="AP42" s="36"/>
      <c r="AQ42" s="207"/>
      <c r="AR42" s="36"/>
      <c r="AS42" s="6"/>
    </row>
    <row r="43" spans="2:46">
      <c r="B43" s="14"/>
      <c r="D43" s="26"/>
      <c r="H43" s="57"/>
      <c r="I43" s="57"/>
      <c r="K43" s="57"/>
      <c r="L43" s="57"/>
      <c r="M43" s="45"/>
      <c r="N43" s="54"/>
      <c r="O43" s="54"/>
      <c r="P43" s="54"/>
      <c r="Q43" s="163"/>
      <c r="R43" s="54"/>
      <c r="S43" s="163"/>
      <c r="T43" s="54"/>
      <c r="U43" s="163"/>
      <c r="V43" s="54"/>
      <c r="W43" s="164"/>
      <c r="X43" s="63"/>
      <c r="Y43" s="54"/>
      <c r="Z43" s="54"/>
      <c r="AA43" s="54"/>
      <c r="AB43" s="54"/>
      <c r="AC43" s="54"/>
      <c r="AD43" s="54"/>
      <c r="AE43" s="54"/>
      <c r="AF43" s="58"/>
      <c r="AG43" s="54"/>
      <c r="AH43" s="58"/>
      <c r="AI43" s="54"/>
      <c r="AJ43" s="59"/>
      <c r="AK43" s="54"/>
      <c r="AL43" s="60"/>
      <c r="AM43" s="54"/>
      <c r="AN43" s="54"/>
      <c r="AO43" s="54"/>
      <c r="AP43" s="54"/>
      <c r="AQ43" s="205"/>
      <c r="AR43" s="54"/>
      <c r="AS43" s="6"/>
    </row>
    <row r="44" spans="2:46" ht="16.5" thickBot="1">
      <c r="B44" s="44">
        <f>MAX(B$13:B43)+1</f>
        <v>17</v>
      </c>
      <c r="D44" s="187" t="s">
        <v>142</v>
      </c>
      <c r="H44" s="61">
        <f>H42+H32+H19</f>
        <v>128476.41666666667</v>
      </c>
      <c r="I44" s="61">
        <f>I42+I32+I19</f>
        <v>133392.15264854633</v>
      </c>
      <c r="K44" s="61">
        <f>K42+K32+K19</f>
        <v>21979140.462149035</v>
      </c>
      <c r="L44" s="61">
        <f>L42+L32+L19</f>
        <v>4085100.1489150897</v>
      </c>
      <c r="N44" s="62">
        <f>N42+N32+N19</f>
        <v>275214.43788963149</v>
      </c>
      <c r="O44" s="61">
        <f>O42+O32+O19</f>
        <v>1800498.1344891768</v>
      </c>
      <c r="P44" s="63"/>
      <c r="Q44" s="167">
        <f>Q42+Q32+Q19</f>
        <v>-13449.72106463415</v>
      </c>
      <c r="R44" s="63"/>
      <c r="S44" s="167">
        <f>S42+S32+S19</f>
        <v>-14674.059796086793</v>
      </c>
      <c r="T44" s="63"/>
      <c r="U44" s="167">
        <f>U42+U32+U19</f>
        <v>-1224.3387314526422</v>
      </c>
      <c r="V44" s="63"/>
      <c r="W44" s="169">
        <f>U44/AA44</f>
        <v>-3.593020533390362E-3</v>
      </c>
      <c r="X44" s="63"/>
      <c r="Y44" s="62" t="e">
        <f>Y42+Y32+Y19</f>
        <v>#REF!</v>
      </c>
      <c r="Z44" s="36"/>
      <c r="AA44" s="62">
        <f>AA42+AA32+AA19</f>
        <v>340754.72713688063</v>
      </c>
      <c r="AB44" s="63"/>
      <c r="AC44" s="62">
        <f>AC42+AC32+AC19</f>
        <v>345965.03487358149</v>
      </c>
      <c r="AD44" s="63"/>
      <c r="AE44" s="62" t="e">
        <f>AE42+AE32+AE19</f>
        <v>#REF!</v>
      </c>
      <c r="AF44" s="64" t="e">
        <f>AE44/Y44</f>
        <v>#REF!</v>
      </c>
      <c r="AG44" s="62">
        <f>AG42+AG32+AG19</f>
        <v>5210.3077367008755</v>
      </c>
      <c r="AH44" s="64" t="e">
        <f>AG44/Y44</f>
        <v>#REF!</v>
      </c>
      <c r="AI44" s="62" t="e">
        <f>AE44+AG44</f>
        <v>#REF!</v>
      </c>
      <c r="AJ44" s="64" t="e">
        <f>AI44/Y44</f>
        <v>#REF!</v>
      </c>
      <c r="AK44" s="36"/>
      <c r="AL44" s="33">
        <f>ROUND((((AA44/$AA$44)*$AG$51)/L44)*100,4)</f>
        <v>0.13830000000000001</v>
      </c>
      <c r="AM44" s="36"/>
      <c r="AN44" s="208">
        <f>AA44/L44*100</f>
        <v>8.3414044874120741</v>
      </c>
      <c r="AO44" s="36"/>
      <c r="AP44" s="36"/>
      <c r="AQ44" s="35" t="s">
        <v>0</v>
      </c>
      <c r="AR44" s="36"/>
      <c r="AS44" s="37" t="s">
        <v>0</v>
      </c>
    </row>
    <row r="45" spans="2:46" ht="16.5" thickTop="1">
      <c r="B45" s="414" t="s">
        <v>0</v>
      </c>
      <c r="C45" s="415"/>
      <c r="D45" s="415"/>
      <c r="H45" s="65"/>
      <c r="I45" s="65"/>
      <c r="K45" s="65"/>
      <c r="L45" s="65"/>
      <c r="N45" s="63"/>
      <c r="O45" s="63"/>
      <c r="P45" s="63"/>
      <c r="Q45" s="163"/>
      <c r="R45" s="63"/>
      <c r="S45" s="163"/>
      <c r="T45" s="63"/>
      <c r="U45" s="163"/>
      <c r="V45" s="63"/>
      <c r="W45" s="164"/>
      <c r="Y45" s="63"/>
      <c r="Z45" s="36"/>
      <c r="AA45" s="63"/>
      <c r="AB45" s="63"/>
      <c r="AC45" s="63"/>
      <c r="AD45" s="63"/>
      <c r="AE45" s="63"/>
      <c r="AF45" s="42"/>
      <c r="AG45" s="63"/>
      <c r="AH45" s="42"/>
      <c r="AI45" s="36"/>
      <c r="AK45" s="36"/>
      <c r="AL45" s="36"/>
      <c r="AM45" s="36"/>
      <c r="AN45" s="36"/>
      <c r="AO45" s="36"/>
      <c r="AP45" s="36"/>
      <c r="AQ45" s="206"/>
      <c r="AR45" s="36"/>
      <c r="AS45" s="6"/>
    </row>
    <row r="46" spans="2:46">
      <c r="B46" s="44">
        <v>18</v>
      </c>
      <c r="D46" s="2" t="s">
        <v>61</v>
      </c>
      <c r="H46" s="65"/>
      <c r="I46" s="65"/>
      <c r="K46" s="65"/>
      <c r="L46" s="65"/>
      <c r="N46" s="63">
        <v>311.00673999999998</v>
      </c>
      <c r="O46" s="63"/>
      <c r="P46" s="63"/>
      <c r="Q46" s="173"/>
      <c r="R46" s="63"/>
      <c r="S46" s="173"/>
      <c r="T46" s="63"/>
      <c r="U46" s="173"/>
      <c r="V46" s="63"/>
      <c r="W46" s="174"/>
      <c r="Y46" s="31">
        <v>652</v>
      </c>
      <c r="Z46" s="66"/>
      <c r="AA46" s="31">
        <f>'Table A rate case'!N46</f>
        <v>594.93922999999995</v>
      </c>
      <c r="AB46" s="63"/>
      <c r="AC46" s="31">
        <f>AA46</f>
        <v>594.93922999999995</v>
      </c>
      <c r="AD46" s="63"/>
      <c r="AE46" s="49"/>
      <c r="AF46" s="32"/>
      <c r="AG46" s="49"/>
      <c r="AH46" s="32"/>
      <c r="AI46" s="36"/>
      <c r="AK46" s="36"/>
      <c r="AL46" s="36"/>
      <c r="AM46" s="36"/>
      <c r="AN46" s="34"/>
      <c r="AO46" s="30"/>
      <c r="AP46" s="36"/>
      <c r="AQ46" s="206"/>
      <c r="AR46" s="36"/>
      <c r="AS46" s="6"/>
    </row>
    <row r="47" spans="2:46">
      <c r="B47" s="44"/>
      <c r="H47" s="65"/>
      <c r="I47" s="65"/>
      <c r="K47" s="65"/>
      <c r="L47" s="65"/>
      <c r="N47" s="63"/>
      <c r="O47" s="63"/>
      <c r="P47" s="63"/>
      <c r="Q47" s="163"/>
      <c r="R47" s="63"/>
      <c r="S47" s="163"/>
      <c r="T47" s="63"/>
      <c r="U47" s="163"/>
      <c r="V47" s="63"/>
      <c r="W47" s="164"/>
      <c r="X47" s="72"/>
      <c r="Y47" s="63"/>
      <c r="Z47" s="66"/>
      <c r="AA47" s="31"/>
      <c r="AB47" s="63"/>
      <c r="AC47" s="31"/>
      <c r="AD47" s="63"/>
      <c r="AE47" s="49"/>
      <c r="AF47" s="32"/>
      <c r="AG47" s="49"/>
      <c r="AH47" s="32"/>
      <c r="AI47" s="36"/>
      <c r="AK47" s="36"/>
      <c r="AL47" s="36"/>
      <c r="AM47" s="36"/>
      <c r="AN47" s="34"/>
      <c r="AO47" s="30"/>
      <c r="AP47" s="36"/>
      <c r="AQ47" s="206"/>
      <c r="AR47" s="36"/>
      <c r="AS47" s="6"/>
    </row>
    <row r="48" spans="2:46" ht="16.5" thickBot="1">
      <c r="B48" s="44">
        <v>19</v>
      </c>
      <c r="D48" s="67" t="s">
        <v>62</v>
      </c>
      <c r="H48" s="68">
        <f>SUM(H44:H46)</f>
        <v>128476.41666666667</v>
      </c>
      <c r="I48" s="68">
        <f>SUM(I44:I46)</f>
        <v>133392.15264854633</v>
      </c>
      <c r="K48" s="68">
        <f>SUM(K44:K46)</f>
        <v>21979140.462149035</v>
      </c>
      <c r="L48" s="68">
        <f>SUM(L44:L46)</f>
        <v>4085100.1489150897</v>
      </c>
      <c r="N48" s="62">
        <f>SUM(N44:N46)</f>
        <v>275525.44462963147</v>
      </c>
      <c r="O48" s="68">
        <f>SUM(O44:O46)</f>
        <v>1800498.1344891768</v>
      </c>
      <c r="P48" s="63"/>
      <c r="Q48" s="167">
        <f>SUM(Q44:Q46)</f>
        <v>-13449.72106463415</v>
      </c>
      <c r="R48" s="63"/>
      <c r="S48" s="167">
        <f>SUM(S44:S46)</f>
        <v>-14674.059796086793</v>
      </c>
      <c r="T48" s="63"/>
      <c r="U48" s="167">
        <f>SUM(U44:U46)</f>
        <v>-1224.3387314526422</v>
      </c>
      <c r="V48" s="63"/>
      <c r="W48" s="169">
        <f>U48/AA48</f>
        <v>-3.5867582484663393E-3</v>
      </c>
      <c r="Y48" s="62" t="e">
        <f>SUM(Y44:Y46)</f>
        <v>#REF!</v>
      </c>
      <c r="AA48" s="69">
        <f>SUM(AA44:AA46)</f>
        <v>341349.66636688064</v>
      </c>
      <c r="AB48" s="63"/>
      <c r="AC48" s="69">
        <f>SUM(AC44:AC46)</f>
        <v>346559.97410358151</v>
      </c>
      <c r="AD48" s="63"/>
      <c r="AE48" s="62" t="e">
        <f>SUM(AE44:AE46)</f>
        <v>#REF!</v>
      </c>
      <c r="AF48" s="64" t="e">
        <f>AE48/Y48</f>
        <v>#REF!</v>
      </c>
      <c r="AG48" s="62">
        <f>SUM(AG44:AG46)</f>
        <v>5210.3077367008755</v>
      </c>
      <c r="AH48" s="64" t="e">
        <f>AG48/Y48</f>
        <v>#REF!</v>
      </c>
      <c r="AN48" s="208">
        <f>AA48/L48*100</f>
        <v>8.3559681262045782</v>
      </c>
      <c r="AO48" s="30"/>
      <c r="AQ48" s="6"/>
      <c r="AR48" s="6"/>
      <c r="AS48" s="6"/>
    </row>
    <row r="49" spans="10:44" ht="18.75" customHeight="1" thickTop="1">
      <c r="J49" s="3"/>
      <c r="AE49" s="29" t="s">
        <v>0</v>
      </c>
      <c r="AF49" s="70" t="s">
        <v>0</v>
      </c>
      <c r="AH49" s="70" t="s">
        <v>0</v>
      </c>
    </row>
    <row r="50" spans="10:44" ht="18.75" customHeight="1">
      <c r="AE50" s="209" t="s">
        <v>0</v>
      </c>
      <c r="AF50" s="171" t="s">
        <v>0</v>
      </c>
      <c r="AH50" s="70"/>
    </row>
    <row r="51" spans="10:44">
      <c r="N51" s="72"/>
      <c r="O51" s="72"/>
      <c r="P51" s="72"/>
      <c r="Q51" s="72"/>
      <c r="R51" s="72"/>
      <c r="S51" s="72"/>
      <c r="T51" s="72"/>
      <c r="U51" s="159">
        <v>-14666230</v>
      </c>
      <c r="V51" s="72"/>
      <c r="W51" s="72"/>
      <c r="Y51" s="72"/>
      <c r="Z51" s="6"/>
      <c r="AC51" s="49"/>
      <c r="AE51" s="49"/>
      <c r="AF51" s="73"/>
      <c r="AG51" s="49">
        <v>5649.1189999999997</v>
      </c>
      <c r="AH51" s="73"/>
      <c r="AI51" s="6"/>
      <c r="AK51" s="6"/>
      <c r="AL51" s="6"/>
      <c r="AM51" s="6"/>
      <c r="AN51" s="6"/>
      <c r="AO51" s="6"/>
      <c r="AP51" s="6"/>
      <c r="AQ51" s="6"/>
      <c r="AR51" s="6"/>
    </row>
    <row r="52" spans="10:44">
      <c r="U52" s="198">
        <f>ROUND(U51/O48,2)/1000</f>
        <v>-8.150000000000001E-3</v>
      </c>
      <c r="W52" s="165" t="s">
        <v>235</v>
      </c>
      <c r="Z52" s="6"/>
      <c r="AE52" s="74"/>
      <c r="AI52" s="6"/>
      <c r="AJ52" s="6"/>
      <c r="AK52" s="6"/>
      <c r="AL52" s="6"/>
      <c r="AM52" s="6"/>
      <c r="AN52" s="63"/>
      <c r="AO52" s="6"/>
      <c r="AP52" s="6"/>
      <c r="AQ52" s="6"/>
      <c r="AR52" s="6"/>
    </row>
    <row r="53" spans="10:44">
      <c r="AA53" s="35"/>
      <c r="AE53" s="75"/>
      <c r="AF53" s="76"/>
      <c r="AG53" s="75"/>
    </row>
    <row r="54" spans="10:44">
      <c r="AA54" s="6"/>
      <c r="AE54" s="77"/>
      <c r="AF54" s="78"/>
      <c r="AG54" s="77"/>
    </row>
    <row r="55" spans="10:44">
      <c r="AA55" s="25"/>
      <c r="AE55" s="79"/>
      <c r="AF55" s="80"/>
      <c r="AG55" s="79"/>
    </row>
    <row r="56" spans="10:44">
      <c r="AA56" s="81"/>
      <c r="AF56" s="42"/>
    </row>
    <row r="57" spans="10:44">
      <c r="AA57" s="3"/>
      <c r="AF57" s="82"/>
    </row>
    <row r="59" spans="10:44">
      <c r="AA59" s="25"/>
      <c r="AH59" s="50"/>
    </row>
  </sheetData>
  <mergeCells count="9">
    <mergeCell ref="AG10:AJ10"/>
    <mergeCell ref="B45:D45"/>
    <mergeCell ref="U9:W9"/>
    <mergeCell ref="B2:W2"/>
    <mergeCell ref="B3:W3"/>
    <mergeCell ref="B4:W4"/>
    <mergeCell ref="B5:W5"/>
    <mergeCell ref="B6:W6"/>
    <mergeCell ref="B7:W7"/>
  </mergeCells>
  <printOptions horizontalCentered="1"/>
  <pageMargins left="0.25" right="0.25" top="0.5" bottom="0.5" header="0.5" footer="0.25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M169"/>
  <sheetViews>
    <sheetView zoomScale="70" zoomScaleNormal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.75"/>
  <cols>
    <col min="1" max="1" width="8.875" style="356" bestFit="1" customWidth="1"/>
    <col min="2" max="2" width="18.625" style="357" customWidth="1"/>
    <col min="3" max="3" width="21.625" style="356" customWidth="1"/>
    <col min="4" max="4" width="55.125" style="356" customWidth="1"/>
    <col min="5" max="5" width="19" style="356" customWidth="1"/>
    <col min="6" max="6" width="15.875" style="356" customWidth="1"/>
    <col min="7" max="7" width="15.875" style="356" hidden="1" customWidth="1"/>
    <col min="8" max="8" width="17.625" style="356" customWidth="1"/>
    <col min="9" max="9" width="20.125" style="356" customWidth="1"/>
    <col min="10" max="10" width="16" style="356" customWidth="1"/>
    <col min="11" max="11" width="9" style="356"/>
    <col min="12" max="12" width="15.125" style="356" bestFit="1" customWidth="1"/>
    <col min="13" max="13" width="16.5" style="356" bestFit="1" customWidth="1"/>
    <col min="14" max="16384" width="9" style="356"/>
  </cols>
  <sheetData>
    <row r="2" spans="1:10">
      <c r="B2" s="356" t="s">
        <v>335</v>
      </c>
    </row>
    <row r="3" spans="1:10">
      <c r="B3" s="356" t="s">
        <v>146</v>
      </c>
    </row>
    <row r="4" spans="1:10">
      <c r="B4" s="356" t="s">
        <v>336</v>
      </c>
    </row>
    <row r="5" spans="1:10">
      <c r="A5" s="356" t="s">
        <v>147</v>
      </c>
      <c r="B5" s="357" t="s">
        <v>148</v>
      </c>
      <c r="C5" s="358" t="s">
        <v>337</v>
      </c>
      <c r="D5" s="359"/>
      <c r="E5" s="359"/>
      <c r="F5" s="359"/>
      <c r="G5" s="359"/>
      <c r="H5" s="359"/>
      <c r="I5" s="359"/>
      <c r="J5" s="360"/>
    </row>
    <row r="6" spans="1:10">
      <c r="A6" s="356" t="s">
        <v>149</v>
      </c>
      <c r="B6" s="357" t="s">
        <v>150</v>
      </c>
      <c r="C6" s="361" t="s">
        <v>151</v>
      </c>
      <c r="D6" s="362" t="s">
        <v>152</v>
      </c>
      <c r="E6" s="362"/>
      <c r="F6" s="362" t="s">
        <v>153</v>
      </c>
      <c r="G6" s="362"/>
      <c r="H6" s="362" t="s">
        <v>26</v>
      </c>
      <c r="I6" s="362" t="s">
        <v>154</v>
      </c>
      <c r="J6" s="362" t="s">
        <v>155</v>
      </c>
    </row>
    <row r="7" spans="1:10" hidden="1">
      <c r="A7" s="363" t="s">
        <v>156</v>
      </c>
      <c r="B7" s="363" t="s">
        <v>156</v>
      </c>
      <c r="C7" s="401" t="s">
        <v>0</v>
      </c>
      <c r="D7" s="364" t="s">
        <v>311</v>
      </c>
      <c r="E7" s="193" t="s">
        <v>0</v>
      </c>
      <c r="F7" s="362" t="s">
        <v>157</v>
      </c>
      <c r="G7" s="362"/>
      <c r="H7" s="365">
        <v>10651000</v>
      </c>
      <c r="I7" s="366">
        <v>969000</v>
      </c>
      <c r="J7" s="365">
        <v>0</v>
      </c>
    </row>
    <row r="8" spans="1:10">
      <c r="A8" s="363" t="s">
        <v>158</v>
      </c>
      <c r="B8" s="363" t="s">
        <v>158</v>
      </c>
      <c r="C8" s="361"/>
      <c r="D8" s="364" t="s">
        <v>296</v>
      </c>
      <c r="E8" s="193" t="s">
        <v>0</v>
      </c>
      <c r="F8" s="362" t="s">
        <v>120</v>
      </c>
      <c r="G8" s="362"/>
      <c r="H8" s="365">
        <v>0</v>
      </c>
      <c r="I8" s="366">
        <v>2680.38</v>
      </c>
      <c r="J8" s="365">
        <v>0</v>
      </c>
    </row>
    <row r="9" spans="1:10" hidden="1">
      <c r="A9" s="363" t="s">
        <v>159</v>
      </c>
      <c r="B9" s="363" t="s">
        <v>159</v>
      </c>
      <c r="C9" s="361"/>
      <c r="D9" s="364" t="s">
        <v>160</v>
      </c>
      <c r="E9" s="193" t="str">
        <f t="shared" ref="E9:E14" si="0">LEFT(D9,10)</f>
        <v>SMUD REVEN</v>
      </c>
      <c r="F9" s="362" t="s">
        <v>161</v>
      </c>
      <c r="G9" s="362"/>
      <c r="H9" s="365">
        <v>0</v>
      </c>
      <c r="I9" s="366">
        <v>75892.78</v>
      </c>
      <c r="J9" s="365">
        <v>0</v>
      </c>
    </row>
    <row r="10" spans="1:10" hidden="1">
      <c r="A10" s="194" t="s">
        <v>148</v>
      </c>
      <c r="B10" s="194" t="s">
        <v>148</v>
      </c>
      <c r="C10" s="361"/>
      <c r="D10" s="364" t="s">
        <v>162</v>
      </c>
      <c r="E10" s="193" t="str">
        <f t="shared" si="0"/>
        <v>REVENUE AD</v>
      </c>
      <c r="F10" s="362" t="s">
        <v>161</v>
      </c>
      <c r="G10" s="362"/>
      <c r="H10" s="365">
        <v>0</v>
      </c>
      <c r="I10" s="366">
        <v>27049.02</v>
      </c>
      <c r="J10" s="365">
        <v>0</v>
      </c>
    </row>
    <row r="11" spans="1:10" hidden="1">
      <c r="A11" s="194" t="s">
        <v>163</v>
      </c>
      <c r="B11" s="194" t="s">
        <v>163</v>
      </c>
      <c r="C11" s="361"/>
      <c r="D11" s="364" t="s">
        <v>164</v>
      </c>
      <c r="E11" s="193" t="str">
        <f t="shared" si="0"/>
        <v>WASHINGTON</v>
      </c>
      <c r="F11" s="362" t="s">
        <v>161</v>
      </c>
      <c r="G11" s="362"/>
      <c r="H11" s="365">
        <v>0</v>
      </c>
      <c r="I11" s="366">
        <v>-1020000</v>
      </c>
      <c r="J11" s="365">
        <v>0</v>
      </c>
    </row>
    <row r="12" spans="1:10" hidden="1">
      <c r="A12" s="194" t="s">
        <v>148</v>
      </c>
      <c r="B12" s="194" t="s">
        <v>148</v>
      </c>
      <c r="C12" s="361"/>
      <c r="D12" s="364" t="s">
        <v>165</v>
      </c>
      <c r="E12" s="193" t="str">
        <f t="shared" si="0"/>
        <v>REVENUE_AC</v>
      </c>
      <c r="F12" s="362" t="s">
        <v>161</v>
      </c>
      <c r="G12" s="362"/>
      <c r="H12" s="365">
        <v>0</v>
      </c>
      <c r="I12" s="366">
        <v>-3754322.98</v>
      </c>
      <c r="J12" s="365">
        <v>0</v>
      </c>
    </row>
    <row r="13" spans="1:10" hidden="1">
      <c r="A13" s="363" t="s">
        <v>166</v>
      </c>
      <c r="B13" s="363" t="s">
        <v>166</v>
      </c>
      <c r="C13" s="361"/>
      <c r="D13" s="364" t="s">
        <v>167</v>
      </c>
      <c r="E13" s="193" t="str">
        <f t="shared" si="0"/>
        <v>301270-DSM</v>
      </c>
      <c r="F13" s="362" t="s">
        <v>161</v>
      </c>
      <c r="G13" s="362"/>
      <c r="H13" s="365">
        <v>0</v>
      </c>
      <c r="I13" s="366">
        <v>4353907.04</v>
      </c>
      <c r="J13" s="365">
        <v>0</v>
      </c>
    </row>
    <row r="14" spans="1:10" hidden="1">
      <c r="A14" s="363" t="s">
        <v>168</v>
      </c>
      <c r="B14" s="363" t="s">
        <v>168</v>
      </c>
      <c r="C14" s="361"/>
      <c r="D14" s="364" t="s">
        <v>169</v>
      </c>
      <c r="E14" s="193" t="str">
        <f t="shared" si="0"/>
        <v>301280-BLU</v>
      </c>
      <c r="F14" s="362" t="s">
        <v>161</v>
      </c>
      <c r="G14" s="362"/>
      <c r="H14" s="365">
        <v>0</v>
      </c>
      <c r="I14" s="366">
        <v>30640.87</v>
      </c>
      <c r="J14" s="365">
        <v>5</v>
      </c>
    </row>
    <row r="15" spans="1:10" hidden="1">
      <c r="A15" s="363">
        <v>24</v>
      </c>
      <c r="B15" s="363">
        <v>24</v>
      </c>
      <c r="C15" s="361"/>
      <c r="D15" s="364" t="s">
        <v>298</v>
      </c>
      <c r="E15" s="193" t="str">
        <f>LEFT(D15,10)</f>
        <v>02GNSV0024</v>
      </c>
      <c r="F15" s="362" t="s">
        <v>161</v>
      </c>
      <c r="G15" s="362"/>
      <c r="H15" s="365">
        <v>473338009</v>
      </c>
      <c r="I15" s="366">
        <v>42881799.259999998</v>
      </c>
      <c r="J15" s="365">
        <v>13542.5</v>
      </c>
    </row>
    <row r="16" spans="1:10" hidden="1">
      <c r="A16" s="363" t="s">
        <v>170</v>
      </c>
      <c r="B16" s="363" t="s">
        <v>170</v>
      </c>
      <c r="C16" s="361"/>
      <c r="D16" s="364" t="s">
        <v>299</v>
      </c>
      <c r="E16" s="193" t="str">
        <f t="shared" ref="E16:E29" si="1">LEFT(D16,10)</f>
        <v>02GNSV024F</v>
      </c>
      <c r="F16" s="362" t="s">
        <v>161</v>
      </c>
      <c r="G16" s="362"/>
      <c r="H16" s="365">
        <v>1119336</v>
      </c>
      <c r="I16" s="366">
        <v>149905.57</v>
      </c>
      <c r="J16" s="365">
        <v>110.75</v>
      </c>
    </row>
    <row r="17" spans="1:10" hidden="1">
      <c r="A17" s="363">
        <v>36</v>
      </c>
      <c r="B17" s="363">
        <v>36</v>
      </c>
      <c r="C17" s="361"/>
      <c r="D17" s="364" t="s">
        <v>300</v>
      </c>
      <c r="E17" s="193" t="str">
        <f t="shared" si="1"/>
        <v>02LGSV0036</v>
      </c>
      <c r="F17" s="362" t="s">
        <v>161</v>
      </c>
      <c r="G17" s="362"/>
      <c r="H17" s="365">
        <v>769909875</v>
      </c>
      <c r="I17" s="366">
        <v>59204986.469999999</v>
      </c>
      <c r="J17" s="365">
        <v>865.25</v>
      </c>
    </row>
    <row r="18" spans="1:10" hidden="1">
      <c r="A18" s="363" t="s">
        <v>171</v>
      </c>
      <c r="B18" s="363" t="s">
        <v>171</v>
      </c>
      <c r="C18" s="361"/>
      <c r="D18" s="364" t="s">
        <v>301</v>
      </c>
      <c r="E18" s="193" t="str">
        <f t="shared" si="1"/>
        <v>02LGSV048T</v>
      </c>
      <c r="F18" s="362" t="s">
        <v>161</v>
      </c>
      <c r="G18" s="362"/>
      <c r="H18" s="365">
        <v>193205160</v>
      </c>
      <c r="I18" s="366">
        <v>13523927.35</v>
      </c>
      <c r="J18" s="365">
        <v>35.083333333333336</v>
      </c>
    </row>
    <row r="19" spans="1:10" hidden="1">
      <c r="A19" s="363" t="s">
        <v>172</v>
      </c>
      <c r="B19" s="363" t="s">
        <v>172</v>
      </c>
      <c r="C19" s="361"/>
      <c r="D19" s="364" t="s">
        <v>302</v>
      </c>
      <c r="E19" s="193" t="str">
        <f t="shared" si="1"/>
        <v>02LNX00102</v>
      </c>
      <c r="F19" s="362" t="s">
        <v>161</v>
      </c>
      <c r="G19" s="362"/>
      <c r="H19" s="365">
        <v>0</v>
      </c>
      <c r="I19" s="366">
        <v>27367.65</v>
      </c>
      <c r="J19" s="365">
        <v>0</v>
      </c>
    </row>
    <row r="20" spans="1:10" hidden="1">
      <c r="A20" s="363" t="s">
        <v>172</v>
      </c>
      <c r="B20" s="363" t="s">
        <v>172</v>
      </c>
      <c r="C20" s="361"/>
      <c r="D20" s="364" t="s">
        <v>303</v>
      </c>
      <c r="E20" s="193" t="str">
        <f t="shared" si="1"/>
        <v>02LNX00103</v>
      </c>
      <c r="F20" s="362" t="s">
        <v>161</v>
      </c>
      <c r="G20" s="362"/>
      <c r="H20" s="365">
        <v>0</v>
      </c>
      <c r="I20" s="366">
        <v>20.11</v>
      </c>
      <c r="J20" s="365">
        <v>0</v>
      </c>
    </row>
    <row r="21" spans="1:10" hidden="1">
      <c r="A21" s="363" t="s">
        <v>172</v>
      </c>
      <c r="B21" s="363" t="s">
        <v>172</v>
      </c>
      <c r="C21" s="361"/>
      <c r="D21" s="364" t="s">
        <v>304</v>
      </c>
      <c r="E21" s="193" t="str">
        <f t="shared" si="1"/>
        <v>02LNX00105</v>
      </c>
      <c r="F21" s="362" t="s">
        <v>161</v>
      </c>
      <c r="G21" s="362"/>
      <c r="H21" s="365">
        <v>0</v>
      </c>
      <c r="I21" s="366">
        <v>1751.52</v>
      </c>
      <c r="J21" s="365">
        <v>0</v>
      </c>
    </row>
    <row r="22" spans="1:10" hidden="1">
      <c r="A22" s="363" t="s">
        <v>172</v>
      </c>
      <c r="B22" s="363" t="s">
        <v>172</v>
      </c>
      <c r="C22" s="361"/>
      <c r="D22" s="364" t="s">
        <v>305</v>
      </c>
      <c r="E22" s="193" t="str">
        <f t="shared" si="1"/>
        <v>02LNX00109</v>
      </c>
      <c r="F22" s="362" t="s">
        <v>161</v>
      </c>
      <c r="G22" s="362"/>
      <c r="H22" s="365">
        <v>0</v>
      </c>
      <c r="I22" s="366">
        <v>251013.98</v>
      </c>
      <c r="J22" s="365">
        <v>0</v>
      </c>
    </row>
    <row r="23" spans="1:10" hidden="1">
      <c r="A23" s="363" t="s">
        <v>172</v>
      </c>
      <c r="B23" s="363" t="s">
        <v>172</v>
      </c>
      <c r="C23" s="361"/>
      <c r="D23" s="364" t="s">
        <v>306</v>
      </c>
      <c r="E23" s="193" t="str">
        <f t="shared" si="1"/>
        <v>02LNX00110</v>
      </c>
      <c r="F23" s="362" t="s">
        <v>161</v>
      </c>
      <c r="G23" s="362"/>
      <c r="H23" s="365">
        <v>0</v>
      </c>
      <c r="I23" s="366">
        <v>34703.730000000003</v>
      </c>
      <c r="J23" s="365">
        <v>0</v>
      </c>
    </row>
    <row r="24" spans="1:10" hidden="1">
      <c r="A24" s="363" t="s">
        <v>172</v>
      </c>
      <c r="B24" s="363" t="s">
        <v>172</v>
      </c>
      <c r="C24" s="361"/>
      <c r="D24" s="364" t="s">
        <v>307</v>
      </c>
      <c r="E24" s="193" t="str">
        <f t="shared" si="1"/>
        <v>02LNX00112</v>
      </c>
      <c r="F24" s="362" t="s">
        <v>161</v>
      </c>
      <c r="G24" s="362"/>
      <c r="H24" s="365">
        <v>0</v>
      </c>
      <c r="I24" s="366">
        <v>668.76</v>
      </c>
      <c r="J24" s="365">
        <v>0</v>
      </c>
    </row>
    <row r="25" spans="1:10" hidden="1">
      <c r="A25" s="363" t="s">
        <v>173</v>
      </c>
      <c r="B25" s="363" t="s">
        <v>173</v>
      </c>
      <c r="C25" s="361"/>
      <c r="D25" s="364" t="s">
        <v>308</v>
      </c>
      <c r="E25" s="193" t="str">
        <f t="shared" si="1"/>
        <v>02OALT015N</v>
      </c>
      <c r="F25" s="362" t="s">
        <v>161</v>
      </c>
      <c r="G25" s="362"/>
      <c r="H25" s="365">
        <v>1511086</v>
      </c>
      <c r="I25" s="366">
        <v>210398.92</v>
      </c>
      <c r="J25" s="365">
        <v>800.75</v>
      </c>
    </row>
    <row r="26" spans="1:10" hidden="1">
      <c r="A26" s="363">
        <v>54</v>
      </c>
      <c r="B26" s="363">
        <v>54</v>
      </c>
      <c r="C26" s="361"/>
      <c r="D26" s="364" t="s">
        <v>309</v>
      </c>
      <c r="E26" s="193" t="str">
        <f t="shared" si="1"/>
        <v>02RCFL0054</v>
      </c>
      <c r="F26" s="362" t="s">
        <v>161</v>
      </c>
      <c r="G26" s="362"/>
      <c r="H26" s="365">
        <v>269682</v>
      </c>
      <c r="I26" s="366">
        <v>24562.3</v>
      </c>
      <c r="J26" s="365">
        <v>29.083333333333332</v>
      </c>
    </row>
    <row r="27" spans="1:10" hidden="1">
      <c r="A27" s="363" t="s">
        <v>172</v>
      </c>
      <c r="B27" s="363" t="s">
        <v>172</v>
      </c>
      <c r="C27" s="361"/>
      <c r="D27" s="364" t="s">
        <v>174</v>
      </c>
      <c r="E27" s="193" t="str">
        <f t="shared" si="1"/>
        <v>02LNX00300</v>
      </c>
      <c r="F27" s="362" t="s">
        <v>161</v>
      </c>
      <c r="G27" s="362"/>
      <c r="H27" s="365">
        <v>0</v>
      </c>
      <c r="I27" s="366">
        <v>10027.219999999999</v>
      </c>
      <c r="J27" s="365">
        <v>0</v>
      </c>
    </row>
    <row r="28" spans="1:10" hidden="1">
      <c r="A28" s="363">
        <v>24</v>
      </c>
      <c r="B28" s="363">
        <v>24</v>
      </c>
      <c r="C28" s="361"/>
      <c r="D28" s="364" t="s">
        <v>175</v>
      </c>
      <c r="E28" s="193" t="str">
        <f t="shared" si="1"/>
        <v>02NMT24135</v>
      </c>
      <c r="F28" s="362" t="s">
        <v>161</v>
      </c>
      <c r="G28" s="362"/>
      <c r="H28" s="365">
        <v>1568941</v>
      </c>
      <c r="I28" s="366">
        <v>136919.25</v>
      </c>
      <c r="J28" s="365">
        <v>33.5</v>
      </c>
    </row>
    <row r="29" spans="1:10" hidden="1">
      <c r="A29" s="194">
        <v>24</v>
      </c>
      <c r="B29" s="194">
        <v>24</v>
      </c>
      <c r="C29" s="361"/>
      <c r="D29" s="364" t="s">
        <v>176</v>
      </c>
      <c r="E29" s="193" t="str">
        <f t="shared" si="1"/>
        <v>02GNSB0024</v>
      </c>
      <c r="F29" s="362" t="s">
        <v>161</v>
      </c>
      <c r="G29" s="362"/>
      <c r="H29" s="365">
        <v>28699502</v>
      </c>
      <c r="I29" s="366">
        <v>2718555.75</v>
      </c>
      <c r="J29" s="365">
        <v>1462.5833333333333</v>
      </c>
    </row>
    <row r="30" spans="1:10">
      <c r="A30" s="363" t="s">
        <v>177</v>
      </c>
      <c r="B30" s="363">
        <v>24</v>
      </c>
      <c r="C30" s="361"/>
      <c r="D30" s="364" t="s">
        <v>121</v>
      </c>
      <c r="E30" s="364"/>
      <c r="F30" s="362" t="s">
        <v>120</v>
      </c>
      <c r="G30" s="362"/>
      <c r="H30" s="365">
        <v>28699346</v>
      </c>
      <c r="I30" s="366">
        <v>-121111.95</v>
      </c>
      <c r="J30" s="365">
        <v>1462.5833333333333</v>
      </c>
    </row>
    <row r="31" spans="1:10" hidden="1">
      <c r="A31" s="363" t="s">
        <v>178</v>
      </c>
      <c r="B31" s="363" t="s">
        <v>178</v>
      </c>
      <c r="C31" s="361"/>
      <c r="D31" s="364" t="s">
        <v>179</v>
      </c>
      <c r="E31" s="193" t="str">
        <f>LEFT(D31,10)</f>
        <v>02GNSB24FP</v>
      </c>
      <c r="F31" s="362" t="s">
        <v>161</v>
      </c>
      <c r="G31" s="362"/>
      <c r="H31" s="365">
        <v>300479</v>
      </c>
      <c r="I31" s="366">
        <v>99841.600000000006</v>
      </c>
      <c r="J31" s="365">
        <v>81.333333333333329</v>
      </c>
    </row>
    <row r="32" spans="1:10">
      <c r="A32" s="363" t="s">
        <v>180</v>
      </c>
      <c r="B32" s="363" t="s">
        <v>178</v>
      </c>
      <c r="C32" s="361"/>
      <c r="D32" s="364" t="s">
        <v>125</v>
      </c>
      <c r="E32" s="364"/>
      <c r="F32" s="362" t="s">
        <v>120</v>
      </c>
      <c r="G32" s="362"/>
      <c r="H32" s="365">
        <v>300452</v>
      </c>
      <c r="I32" s="366">
        <v>-1266.67</v>
      </c>
      <c r="J32" s="365">
        <v>81.333333333333329</v>
      </c>
    </row>
    <row r="33" spans="1:10" hidden="1">
      <c r="A33" s="363">
        <v>36</v>
      </c>
      <c r="B33" s="363">
        <v>36</v>
      </c>
      <c r="C33" s="361"/>
      <c r="D33" s="364" t="s">
        <v>181</v>
      </c>
      <c r="E33" s="193" t="str">
        <f>LEFT(D33,10)</f>
        <v>02LGSB0036</v>
      </c>
      <c r="F33" s="362" t="s">
        <v>161</v>
      </c>
      <c r="G33" s="362"/>
      <c r="H33" s="365">
        <v>61257615</v>
      </c>
      <c r="I33" s="366">
        <v>4847535.8</v>
      </c>
      <c r="J33" s="365">
        <v>104.08333333333333</v>
      </c>
    </row>
    <row r="34" spans="1:10">
      <c r="A34" s="363" t="s">
        <v>182</v>
      </c>
      <c r="B34" s="363">
        <v>36</v>
      </c>
      <c r="C34" s="361"/>
      <c r="D34" s="364" t="s">
        <v>126</v>
      </c>
      <c r="E34" s="364"/>
      <c r="F34" s="362" t="s">
        <v>120</v>
      </c>
      <c r="G34" s="362"/>
      <c r="H34" s="365">
        <v>61257616</v>
      </c>
      <c r="I34" s="366">
        <v>-258507.18</v>
      </c>
      <c r="J34" s="365">
        <v>104.08333333333333</v>
      </c>
    </row>
    <row r="35" spans="1:10" hidden="1">
      <c r="A35" s="363" t="s">
        <v>173</v>
      </c>
      <c r="B35" s="363" t="s">
        <v>173</v>
      </c>
      <c r="C35" s="361"/>
      <c r="D35" s="364" t="s">
        <v>183</v>
      </c>
      <c r="E35" s="193" t="str">
        <f>LEFT(D35,10)</f>
        <v>02OALTB15N</v>
      </c>
      <c r="F35" s="362" t="s">
        <v>161</v>
      </c>
      <c r="G35" s="362"/>
      <c r="H35" s="365">
        <v>549516</v>
      </c>
      <c r="I35" s="366">
        <v>82959.66</v>
      </c>
      <c r="J35" s="365">
        <v>489.58333333333331</v>
      </c>
    </row>
    <row r="36" spans="1:10">
      <c r="A36" s="363" t="s">
        <v>184</v>
      </c>
      <c r="B36" s="363" t="s">
        <v>173</v>
      </c>
      <c r="C36" s="361"/>
      <c r="D36" s="364" t="s">
        <v>129</v>
      </c>
      <c r="E36" s="364"/>
      <c r="F36" s="362" t="s">
        <v>120</v>
      </c>
      <c r="G36" s="362"/>
      <c r="H36" s="365">
        <v>549511</v>
      </c>
      <c r="I36" s="366">
        <v>-2315.04</v>
      </c>
      <c r="J36" s="365">
        <v>0</v>
      </c>
    </row>
    <row r="37" spans="1:10" hidden="1">
      <c r="A37" s="363" t="s">
        <v>170</v>
      </c>
      <c r="B37" s="363" t="s">
        <v>170</v>
      </c>
      <c r="C37" s="361"/>
      <c r="D37" s="364" t="s">
        <v>185</v>
      </c>
      <c r="E37" s="193" t="str">
        <f>LEFT(D37,10)</f>
        <v>02GNSB024F</v>
      </c>
      <c r="F37" s="362" t="s">
        <v>161</v>
      </c>
      <c r="G37" s="362"/>
      <c r="H37" s="365">
        <v>154284</v>
      </c>
      <c r="I37" s="366">
        <v>19345.68</v>
      </c>
      <c r="J37" s="365">
        <v>6</v>
      </c>
    </row>
    <row r="38" spans="1:10">
      <c r="A38" s="363" t="s">
        <v>186</v>
      </c>
      <c r="B38" s="363" t="s">
        <v>170</v>
      </c>
      <c r="C38" s="361"/>
      <c r="D38" s="364" t="s">
        <v>124</v>
      </c>
      <c r="E38" s="364"/>
      <c r="F38" s="362" t="s">
        <v>120</v>
      </c>
      <c r="G38" s="362"/>
      <c r="H38" s="365">
        <v>864</v>
      </c>
      <c r="I38" s="366">
        <v>-3.6</v>
      </c>
      <c r="J38" s="365">
        <v>1</v>
      </c>
    </row>
    <row r="39" spans="1:10" hidden="1">
      <c r="A39" s="363" t="s">
        <v>172</v>
      </c>
      <c r="B39" s="363" t="s">
        <v>172</v>
      </c>
      <c r="C39" s="361"/>
      <c r="D39" s="364" t="s">
        <v>187</v>
      </c>
      <c r="E39" s="193" t="str">
        <f t="shared" ref="E39:E42" si="2">LEFT(D39,10)</f>
        <v>02LNX00311</v>
      </c>
      <c r="F39" s="362" t="s">
        <v>161</v>
      </c>
      <c r="G39" s="362"/>
      <c r="H39" s="365">
        <v>0</v>
      </c>
      <c r="I39" s="366">
        <v>72643.94</v>
      </c>
      <c r="J39" s="365">
        <v>0</v>
      </c>
    </row>
    <row r="40" spans="1:10" hidden="1">
      <c r="A40" s="363" t="s">
        <v>172</v>
      </c>
      <c r="B40" s="363" t="s">
        <v>172</v>
      </c>
      <c r="C40" s="361"/>
      <c r="D40" s="364" t="s">
        <v>188</v>
      </c>
      <c r="E40" s="193" t="str">
        <f t="shared" si="2"/>
        <v>02LNX00310</v>
      </c>
      <c r="F40" s="362" t="s">
        <v>161</v>
      </c>
      <c r="G40" s="362"/>
      <c r="H40" s="365">
        <v>0</v>
      </c>
      <c r="I40" s="366">
        <v>982.75</v>
      </c>
      <c r="J40" s="365">
        <v>0</v>
      </c>
    </row>
    <row r="41" spans="1:10" hidden="1">
      <c r="A41" s="363" t="s">
        <v>172</v>
      </c>
      <c r="B41" s="363" t="s">
        <v>172</v>
      </c>
      <c r="C41" s="361"/>
      <c r="D41" s="364" t="s">
        <v>189</v>
      </c>
      <c r="E41" s="193" t="str">
        <f t="shared" si="2"/>
        <v>02LNX00312</v>
      </c>
      <c r="F41" s="362" t="s">
        <v>161</v>
      </c>
      <c r="G41" s="362"/>
      <c r="H41" s="365">
        <v>0</v>
      </c>
      <c r="I41" s="366">
        <v>2773.36</v>
      </c>
      <c r="J41" s="365">
        <v>0</v>
      </c>
    </row>
    <row r="42" spans="1:10" hidden="1">
      <c r="A42" s="363">
        <v>36</v>
      </c>
      <c r="B42" s="363">
        <v>36</v>
      </c>
      <c r="C42" s="361"/>
      <c r="D42" s="364" t="s">
        <v>190</v>
      </c>
      <c r="E42" s="193" t="str">
        <f t="shared" si="2"/>
        <v>02NMT36135</v>
      </c>
      <c r="F42" s="362" t="s">
        <v>161</v>
      </c>
      <c r="G42" s="362"/>
      <c r="H42" s="365">
        <v>4261740</v>
      </c>
      <c r="I42" s="366">
        <v>339705.44</v>
      </c>
      <c r="J42" s="365">
        <v>6</v>
      </c>
    </row>
    <row r="43" spans="1:10">
      <c r="A43" s="363" t="s">
        <v>177</v>
      </c>
      <c r="B43" s="363">
        <v>24</v>
      </c>
      <c r="C43" s="361"/>
      <c r="D43" s="364" t="s">
        <v>191</v>
      </c>
      <c r="E43" s="364"/>
      <c r="F43" s="362" t="s">
        <v>120</v>
      </c>
      <c r="G43" s="362"/>
      <c r="H43" s="365">
        <v>135582</v>
      </c>
      <c r="I43" s="366">
        <v>-572.14</v>
      </c>
      <c r="J43" s="365">
        <v>9.3333333333333339</v>
      </c>
    </row>
    <row r="44" spans="1:10" hidden="1">
      <c r="A44" s="363" t="s">
        <v>171</v>
      </c>
      <c r="B44" s="363" t="s">
        <v>171</v>
      </c>
      <c r="C44" s="361"/>
      <c r="D44" s="364" t="s">
        <v>230</v>
      </c>
      <c r="E44" s="193" t="str">
        <f>LEFT(D44,10)</f>
        <v>02NMT48135</v>
      </c>
      <c r="F44" s="362" t="s">
        <v>161</v>
      </c>
      <c r="G44" s="362"/>
      <c r="H44" s="365">
        <v>5316000</v>
      </c>
      <c r="I44" s="366">
        <v>350364.36</v>
      </c>
      <c r="J44" s="365">
        <v>1</v>
      </c>
    </row>
    <row r="45" spans="1:10" hidden="1">
      <c r="A45" s="363"/>
      <c r="B45" s="363"/>
      <c r="C45" s="361"/>
      <c r="D45" s="364" t="s">
        <v>310</v>
      </c>
      <c r="E45" s="193" t="str">
        <f>LEFT(D45,10)</f>
        <v>CUSTOMER C</v>
      </c>
      <c r="F45" s="362" t="s">
        <v>161</v>
      </c>
      <c r="G45" s="362"/>
      <c r="H45" s="365"/>
      <c r="I45" s="366"/>
      <c r="J45" s="365">
        <v>0</v>
      </c>
    </row>
    <row r="46" spans="1:10">
      <c r="A46" s="357"/>
      <c r="C46" s="361"/>
      <c r="D46" s="364" t="s">
        <v>297</v>
      </c>
      <c r="E46" s="364"/>
      <c r="F46" s="362" t="s">
        <v>120</v>
      </c>
      <c r="G46" s="367"/>
      <c r="H46" s="365"/>
      <c r="I46" s="366"/>
      <c r="J46" s="365">
        <v>0</v>
      </c>
    </row>
    <row r="47" spans="1:10" hidden="1">
      <c r="A47" s="357"/>
      <c r="C47" s="361" t="s">
        <v>122</v>
      </c>
      <c r="D47" s="363"/>
      <c r="E47" s="363"/>
      <c r="F47" s="368" t="s">
        <v>195</v>
      </c>
      <c r="G47" s="362"/>
      <c r="H47" s="369">
        <f>SUM(H7:H44)-H8-H30-H32-H34-H36-H38-H43</f>
        <v>1552112225</v>
      </c>
      <c r="I47" s="370">
        <f>SUM(I7:I45)</f>
        <v>125293830.95999998</v>
      </c>
      <c r="J47" s="369">
        <f>SUM(J7:J46)-J8-J30-J32-J34-J36-J38-J43-J14</f>
        <v>17567.499999999996</v>
      </c>
    </row>
    <row r="48" spans="1:10" hidden="1">
      <c r="A48" s="357"/>
      <c r="C48" s="361"/>
      <c r="D48" s="363"/>
      <c r="E48" s="363"/>
      <c r="F48" s="362"/>
      <c r="G48" s="362"/>
      <c r="H48" s="369"/>
      <c r="I48" s="370"/>
      <c r="J48" s="369"/>
    </row>
    <row r="49" spans="1:10" hidden="1">
      <c r="A49" s="357"/>
      <c r="C49" s="361"/>
      <c r="D49" s="362"/>
      <c r="E49" s="362"/>
      <c r="F49" s="362"/>
      <c r="G49" s="362"/>
      <c r="H49" s="71"/>
      <c r="I49" s="71"/>
      <c r="J49" s="371"/>
    </row>
    <row r="50" spans="1:10" hidden="1">
      <c r="A50" s="357"/>
      <c r="C50" s="361" t="s">
        <v>151</v>
      </c>
      <c r="D50" s="362" t="s">
        <v>152</v>
      </c>
      <c r="E50" s="362"/>
      <c r="F50" s="362" t="s">
        <v>153</v>
      </c>
      <c r="G50" s="362"/>
      <c r="H50" s="372" t="s">
        <v>193</v>
      </c>
      <c r="I50" s="373" t="s">
        <v>154</v>
      </c>
      <c r="J50" s="372" t="s">
        <v>155</v>
      </c>
    </row>
    <row r="51" spans="1:10" hidden="1">
      <c r="A51" s="357" t="s">
        <v>156</v>
      </c>
      <c r="B51" s="374" t="s">
        <v>156</v>
      </c>
      <c r="C51" s="361" t="s">
        <v>123</v>
      </c>
      <c r="D51" s="364" t="s">
        <v>311</v>
      </c>
      <c r="E51" s="364"/>
      <c r="F51" s="362" t="s">
        <v>157</v>
      </c>
      <c r="G51" s="362"/>
      <c r="H51" s="365">
        <v>2487000</v>
      </c>
      <c r="I51" s="366">
        <v>164000</v>
      </c>
      <c r="J51" s="365">
        <v>0</v>
      </c>
    </row>
    <row r="52" spans="1:10">
      <c r="A52" s="357" t="s">
        <v>158</v>
      </c>
      <c r="B52" s="374" t="s">
        <v>158</v>
      </c>
      <c r="C52" s="361"/>
      <c r="D52" s="364" t="s">
        <v>296</v>
      </c>
      <c r="E52" s="364"/>
      <c r="F52" s="362" t="s">
        <v>120</v>
      </c>
      <c r="G52" s="362"/>
      <c r="H52" s="365">
        <v>0</v>
      </c>
      <c r="I52" s="366">
        <v>-123.33</v>
      </c>
      <c r="J52" s="365">
        <v>0</v>
      </c>
    </row>
    <row r="53" spans="1:10" hidden="1">
      <c r="A53" s="357" t="s">
        <v>159</v>
      </c>
      <c r="B53" s="374" t="s">
        <v>159</v>
      </c>
      <c r="C53" s="361"/>
      <c r="D53" s="364" t="s">
        <v>160</v>
      </c>
      <c r="E53" s="193" t="str">
        <f t="shared" ref="E53:E64" si="3">LEFT(D53,10)</f>
        <v>SMUD REVEN</v>
      </c>
      <c r="F53" s="362" t="s">
        <v>161</v>
      </c>
      <c r="G53" s="362"/>
      <c r="H53" s="365">
        <v>0</v>
      </c>
      <c r="I53" s="366">
        <v>39997.230000000003</v>
      </c>
      <c r="J53" s="365">
        <v>0</v>
      </c>
    </row>
    <row r="54" spans="1:10" hidden="1">
      <c r="A54" s="357" t="s">
        <v>148</v>
      </c>
      <c r="B54" s="374" t="s">
        <v>148</v>
      </c>
      <c r="C54" s="361"/>
      <c r="D54" s="364" t="s">
        <v>162</v>
      </c>
      <c r="E54" s="193" t="str">
        <f t="shared" si="3"/>
        <v>REVENUE AD</v>
      </c>
      <c r="F54" s="362" t="s">
        <v>161</v>
      </c>
      <c r="G54" s="362"/>
      <c r="H54" s="365">
        <v>0</v>
      </c>
      <c r="I54" s="366">
        <v>28184.84</v>
      </c>
      <c r="J54" s="365">
        <v>0</v>
      </c>
    </row>
    <row r="55" spans="1:10" hidden="1">
      <c r="A55" s="357" t="s">
        <v>163</v>
      </c>
      <c r="B55" s="374" t="s">
        <v>163</v>
      </c>
      <c r="C55" s="361"/>
      <c r="D55" s="364" t="s">
        <v>164</v>
      </c>
      <c r="E55" s="193" t="str">
        <f t="shared" si="3"/>
        <v>WASHINGTON</v>
      </c>
      <c r="F55" s="362" t="s">
        <v>161</v>
      </c>
      <c r="G55" s="362"/>
      <c r="H55" s="365">
        <v>0</v>
      </c>
      <c r="I55" s="366">
        <v>-510000</v>
      </c>
      <c r="J55" s="365">
        <v>0</v>
      </c>
    </row>
    <row r="56" spans="1:10" hidden="1">
      <c r="A56" s="357" t="s">
        <v>148</v>
      </c>
      <c r="B56" s="374" t="s">
        <v>148</v>
      </c>
      <c r="C56" s="361"/>
      <c r="D56" s="364" t="s">
        <v>165</v>
      </c>
      <c r="E56" s="193" t="str">
        <f t="shared" si="3"/>
        <v>REVENUE_AC</v>
      </c>
      <c r="F56" s="362" t="s">
        <v>161</v>
      </c>
      <c r="G56" s="362"/>
      <c r="H56" s="365">
        <v>0</v>
      </c>
      <c r="I56" s="366">
        <v>-1578166.63</v>
      </c>
      <c r="J56" s="365">
        <v>0</v>
      </c>
    </row>
    <row r="57" spans="1:10" hidden="1">
      <c r="A57" s="357" t="s">
        <v>166</v>
      </c>
      <c r="B57" s="374" t="s">
        <v>166</v>
      </c>
      <c r="C57" s="361"/>
      <c r="D57" s="364" t="s">
        <v>194</v>
      </c>
      <c r="E57" s="193" t="str">
        <f t="shared" si="3"/>
        <v>301370-DSM</v>
      </c>
      <c r="F57" s="362" t="s">
        <v>161</v>
      </c>
      <c r="G57" s="362"/>
      <c r="H57" s="365">
        <v>0</v>
      </c>
      <c r="I57" s="366">
        <v>1862570.43</v>
      </c>
      <c r="J57" s="365">
        <v>0</v>
      </c>
    </row>
    <row r="58" spans="1:10" hidden="1">
      <c r="A58" s="357">
        <v>24</v>
      </c>
      <c r="B58" s="374">
        <v>24</v>
      </c>
      <c r="C58" s="361"/>
      <c r="D58" s="364" t="s">
        <v>298</v>
      </c>
      <c r="E58" s="193" t="str">
        <f t="shared" si="3"/>
        <v>02GNSV0024</v>
      </c>
      <c r="F58" s="362" t="s">
        <v>161</v>
      </c>
      <c r="G58" s="362"/>
      <c r="H58" s="365">
        <v>16494946</v>
      </c>
      <c r="I58" s="366">
        <v>1492526.45</v>
      </c>
      <c r="J58" s="365">
        <v>341.58333333333331</v>
      </c>
    </row>
    <row r="59" spans="1:10" hidden="1">
      <c r="A59" s="357" t="s">
        <v>170</v>
      </c>
      <c r="B59" s="374" t="s">
        <v>170</v>
      </c>
      <c r="C59" s="361"/>
      <c r="D59" s="364" t="s">
        <v>299</v>
      </c>
      <c r="E59" s="193" t="str">
        <f t="shared" si="3"/>
        <v>02GNSV024F</v>
      </c>
      <c r="F59" s="362" t="s">
        <v>161</v>
      </c>
      <c r="G59" s="362"/>
      <c r="H59" s="365">
        <v>33312</v>
      </c>
      <c r="I59" s="366">
        <v>8155.79</v>
      </c>
      <c r="J59" s="365">
        <v>4</v>
      </c>
    </row>
    <row r="60" spans="1:10" hidden="1">
      <c r="A60" s="357">
        <v>36</v>
      </c>
      <c r="B60" s="374">
        <v>36</v>
      </c>
      <c r="C60" s="361"/>
      <c r="D60" s="364" t="s">
        <v>300</v>
      </c>
      <c r="E60" s="193" t="str">
        <f t="shared" si="3"/>
        <v>02LGSV0036</v>
      </c>
      <c r="F60" s="362" t="s">
        <v>161</v>
      </c>
      <c r="G60" s="362"/>
      <c r="H60" s="365">
        <v>101703152</v>
      </c>
      <c r="I60" s="366">
        <v>8098658.7199999997</v>
      </c>
      <c r="J60" s="365">
        <v>103.5</v>
      </c>
    </row>
    <row r="61" spans="1:10" hidden="1">
      <c r="A61" s="357" t="s">
        <v>171</v>
      </c>
      <c r="B61" s="374" t="s">
        <v>171</v>
      </c>
      <c r="C61" s="361"/>
      <c r="D61" s="364" t="s">
        <v>301</v>
      </c>
      <c r="E61" s="193" t="str">
        <f t="shared" si="3"/>
        <v>02LGSV048T</v>
      </c>
      <c r="F61" s="362" t="s">
        <v>161</v>
      </c>
      <c r="G61" s="362"/>
      <c r="H61" s="365">
        <v>673423150</v>
      </c>
      <c r="I61" s="366">
        <v>41686030.32</v>
      </c>
      <c r="J61" s="365">
        <v>31</v>
      </c>
    </row>
    <row r="62" spans="1:10" hidden="1">
      <c r="A62" s="357" t="s">
        <v>173</v>
      </c>
      <c r="B62" s="374" t="s">
        <v>173</v>
      </c>
      <c r="C62" s="361"/>
      <c r="D62" s="364" t="s">
        <v>308</v>
      </c>
      <c r="E62" s="193" t="str">
        <f t="shared" si="3"/>
        <v>02OALT015N</v>
      </c>
      <c r="F62" s="362" t="s">
        <v>161</v>
      </c>
      <c r="G62" s="362"/>
      <c r="H62" s="365">
        <v>111374</v>
      </c>
      <c r="I62" s="366">
        <v>14417.04</v>
      </c>
      <c r="J62" s="365">
        <v>40.5</v>
      </c>
    </row>
    <row r="63" spans="1:10" hidden="1">
      <c r="A63" s="357">
        <v>47</v>
      </c>
      <c r="B63" s="374">
        <v>47</v>
      </c>
      <c r="C63" s="361"/>
      <c r="D63" s="364" t="s">
        <v>312</v>
      </c>
      <c r="E63" s="193" t="str">
        <f t="shared" si="3"/>
        <v>02PRSV47TM</v>
      </c>
      <c r="F63" s="362" t="s">
        <v>161</v>
      </c>
      <c r="G63" s="362"/>
      <c r="H63" s="365">
        <v>2148000</v>
      </c>
      <c r="I63" s="366">
        <v>308414.28999999998</v>
      </c>
      <c r="J63" s="365">
        <v>1</v>
      </c>
    </row>
    <row r="64" spans="1:10" hidden="1">
      <c r="A64" s="357">
        <v>24</v>
      </c>
      <c r="B64" s="374">
        <v>24</v>
      </c>
      <c r="C64" s="361"/>
      <c r="D64" s="364" t="s">
        <v>176</v>
      </c>
      <c r="E64" s="193" t="str">
        <f t="shared" si="3"/>
        <v>02GNSB0024</v>
      </c>
      <c r="F64" s="362" t="s">
        <v>161</v>
      </c>
      <c r="G64" s="362"/>
      <c r="H64" s="365">
        <v>1106501</v>
      </c>
      <c r="I64" s="366">
        <v>116071.41</v>
      </c>
      <c r="J64" s="365">
        <v>46.416666666666664</v>
      </c>
    </row>
    <row r="65" spans="1:10">
      <c r="A65" s="357" t="s">
        <v>177</v>
      </c>
      <c r="B65" s="374">
        <v>24</v>
      </c>
      <c r="C65" s="361"/>
      <c r="D65" s="364" t="s">
        <v>121</v>
      </c>
      <c r="E65" s="364"/>
      <c r="F65" s="362" t="s">
        <v>120</v>
      </c>
      <c r="G65" s="362"/>
      <c r="H65" s="365">
        <v>1106498</v>
      </c>
      <c r="I65" s="366">
        <v>-4669.46</v>
      </c>
      <c r="J65" s="365">
        <v>46.416666666666664</v>
      </c>
    </row>
    <row r="66" spans="1:10" hidden="1">
      <c r="A66" s="357" t="s">
        <v>178</v>
      </c>
      <c r="B66" s="374" t="s">
        <v>178</v>
      </c>
      <c r="C66" s="361"/>
      <c r="D66" s="364" t="s">
        <v>179</v>
      </c>
      <c r="E66" s="193" t="str">
        <f>LEFT(D66,10)</f>
        <v>02GNSB24FP</v>
      </c>
      <c r="F66" s="362" t="s">
        <v>161</v>
      </c>
      <c r="G66" s="362"/>
      <c r="H66" s="365">
        <v>5786</v>
      </c>
      <c r="I66" s="366">
        <v>2010.58</v>
      </c>
      <c r="J66" s="365">
        <v>1</v>
      </c>
    </row>
    <row r="67" spans="1:10">
      <c r="A67" s="357" t="s">
        <v>180</v>
      </c>
      <c r="B67" s="374" t="s">
        <v>178</v>
      </c>
      <c r="C67" s="361"/>
      <c r="D67" s="364" t="s">
        <v>125</v>
      </c>
      <c r="E67" s="364"/>
      <c r="F67" s="362" t="s">
        <v>120</v>
      </c>
      <c r="G67" s="362"/>
      <c r="H67" s="365">
        <v>5786</v>
      </c>
      <c r="I67" s="366">
        <v>-24.41</v>
      </c>
      <c r="J67" s="365">
        <v>1</v>
      </c>
    </row>
    <row r="68" spans="1:10" hidden="1">
      <c r="A68" s="357">
        <v>36</v>
      </c>
      <c r="B68" s="374">
        <v>36</v>
      </c>
      <c r="C68" s="361"/>
      <c r="D68" s="364" t="s">
        <v>181</v>
      </c>
      <c r="E68" s="193" t="str">
        <f>LEFT(D68,10)</f>
        <v>02LGSB0036</v>
      </c>
      <c r="F68" s="362" t="s">
        <v>161</v>
      </c>
      <c r="G68" s="362"/>
      <c r="H68" s="365">
        <v>1901520</v>
      </c>
      <c r="I68" s="366">
        <v>220348.26</v>
      </c>
      <c r="J68" s="365">
        <v>11.25</v>
      </c>
    </row>
    <row r="69" spans="1:10">
      <c r="A69" s="357" t="s">
        <v>182</v>
      </c>
      <c r="B69" s="374">
        <v>36</v>
      </c>
      <c r="C69" s="361"/>
      <c r="D69" s="364" t="s">
        <v>126</v>
      </c>
      <c r="E69" s="364"/>
      <c r="F69" s="362" t="s">
        <v>120</v>
      </c>
      <c r="G69" s="362"/>
      <c r="H69" s="365">
        <v>1901520</v>
      </c>
      <c r="I69" s="366">
        <v>-8024.4</v>
      </c>
      <c r="J69" s="365">
        <v>11.25</v>
      </c>
    </row>
    <row r="70" spans="1:10" hidden="1">
      <c r="A70" s="357" t="s">
        <v>173</v>
      </c>
      <c r="B70" s="374" t="s">
        <v>173</v>
      </c>
      <c r="C70" s="361"/>
      <c r="D70" s="364" t="s">
        <v>183</v>
      </c>
      <c r="E70" s="193" t="str">
        <f>LEFT(D70,10)</f>
        <v>02OALTB15N</v>
      </c>
      <c r="F70" s="362" t="s">
        <v>161</v>
      </c>
      <c r="G70" s="362"/>
      <c r="H70" s="365">
        <v>26754</v>
      </c>
      <c r="I70" s="366">
        <v>3977.62</v>
      </c>
      <c r="J70" s="365">
        <v>14.666666666666666</v>
      </c>
    </row>
    <row r="71" spans="1:10">
      <c r="A71" s="357" t="s">
        <v>184</v>
      </c>
      <c r="B71" s="374" t="s">
        <v>173</v>
      </c>
      <c r="C71" s="361"/>
      <c r="D71" s="364" t="s">
        <v>129</v>
      </c>
      <c r="E71" s="364"/>
      <c r="F71" s="362" t="s">
        <v>120</v>
      </c>
      <c r="G71" s="362"/>
      <c r="H71" s="365">
        <v>26754</v>
      </c>
      <c r="I71" s="366">
        <v>-112.9</v>
      </c>
      <c r="J71" s="365">
        <v>0</v>
      </c>
    </row>
    <row r="72" spans="1:10" hidden="1">
      <c r="A72" s="357"/>
      <c r="B72" s="374"/>
      <c r="C72" s="361"/>
      <c r="D72" s="364" t="s">
        <v>310</v>
      </c>
      <c r="E72" s="193" t="str">
        <f>LEFT(D72,10)</f>
        <v>CUSTOMER C</v>
      </c>
      <c r="F72" s="362" t="s">
        <v>161</v>
      </c>
      <c r="G72" s="362"/>
      <c r="H72" s="365"/>
      <c r="I72" s="366"/>
      <c r="J72" s="365">
        <v>0</v>
      </c>
    </row>
    <row r="73" spans="1:10">
      <c r="A73" s="357"/>
      <c r="B73" s="374"/>
      <c r="C73" s="361"/>
      <c r="D73" s="364" t="s">
        <v>297</v>
      </c>
      <c r="E73" s="375"/>
      <c r="F73" s="362" t="s">
        <v>120</v>
      </c>
      <c r="G73" s="362"/>
      <c r="H73" s="365"/>
      <c r="I73" s="366"/>
      <c r="J73" s="365">
        <v>0</v>
      </c>
    </row>
    <row r="74" spans="1:10" hidden="1">
      <c r="A74" s="357"/>
      <c r="C74" s="361" t="s">
        <v>123</v>
      </c>
      <c r="F74" s="368" t="s">
        <v>195</v>
      </c>
      <c r="G74" s="368"/>
      <c r="H74" s="376">
        <f>SUM(H51:H71)-H52-H65-H67-H69-H71</f>
        <v>799441495</v>
      </c>
      <c r="I74" s="377">
        <f>SUM(I51:I71)</f>
        <v>51944241.849999994</v>
      </c>
      <c r="J74" s="376">
        <f>SUM(J51:J71)-J52-J65-J67-J69-J71</f>
        <v>594.91666666666652</v>
      </c>
    </row>
    <row r="75" spans="1:10" hidden="1">
      <c r="A75" s="357"/>
      <c r="C75" s="361"/>
      <c r="D75" s="362"/>
      <c r="E75" s="362"/>
      <c r="F75" s="368"/>
      <c r="G75" s="368"/>
      <c r="H75" s="376"/>
      <c r="I75" s="377"/>
      <c r="J75" s="376"/>
    </row>
    <row r="76" spans="1:10" hidden="1">
      <c r="A76" s="357"/>
      <c r="C76" s="361" t="s">
        <v>151</v>
      </c>
      <c r="D76" s="362" t="s">
        <v>152</v>
      </c>
      <c r="E76" s="362"/>
      <c r="F76" s="362" t="s">
        <v>153</v>
      </c>
      <c r="G76" s="362"/>
      <c r="H76" s="372" t="s">
        <v>193</v>
      </c>
      <c r="I76" s="373" t="s">
        <v>154</v>
      </c>
      <c r="J76" s="362" t="s">
        <v>155</v>
      </c>
    </row>
    <row r="77" spans="1:10" hidden="1">
      <c r="A77" s="357" t="s">
        <v>156</v>
      </c>
      <c r="B77" s="357" t="s">
        <v>156</v>
      </c>
      <c r="C77" s="361" t="s">
        <v>119</v>
      </c>
      <c r="D77" s="362" t="s">
        <v>319</v>
      </c>
      <c r="E77" s="364"/>
      <c r="F77" s="362" t="s">
        <v>157</v>
      </c>
      <c r="G77" s="362"/>
      <c r="H77" s="365">
        <v>2551000</v>
      </c>
      <c r="I77" s="366">
        <v>193000</v>
      </c>
      <c r="J77" s="365">
        <v>0</v>
      </c>
    </row>
    <row r="78" spans="1:10">
      <c r="A78" s="357" t="s">
        <v>158</v>
      </c>
      <c r="B78" s="357" t="s">
        <v>158</v>
      </c>
      <c r="C78" s="361"/>
      <c r="D78" s="362" t="s">
        <v>316</v>
      </c>
      <c r="E78" s="364"/>
      <c r="F78" s="362" t="s">
        <v>120</v>
      </c>
      <c r="G78" s="362"/>
      <c r="H78" s="365">
        <v>0</v>
      </c>
      <c r="I78" s="366">
        <v>19561.62</v>
      </c>
      <c r="J78" s="365">
        <v>0</v>
      </c>
    </row>
    <row r="79" spans="1:10" hidden="1">
      <c r="A79" s="357" t="s">
        <v>148</v>
      </c>
      <c r="B79" s="357" t="s">
        <v>148</v>
      </c>
      <c r="C79" s="361"/>
      <c r="D79" s="362" t="s">
        <v>162</v>
      </c>
      <c r="E79" s="193" t="str">
        <f t="shared" ref="E79:E84" si="4">LEFT(D79,10)</f>
        <v>REVENUE AD</v>
      </c>
      <c r="F79" s="362" t="s">
        <v>161</v>
      </c>
      <c r="G79" s="362"/>
      <c r="H79" s="365">
        <v>0</v>
      </c>
      <c r="I79" s="366">
        <v>22616.799999999999</v>
      </c>
      <c r="J79" s="365">
        <v>0</v>
      </c>
    </row>
    <row r="80" spans="1:10" hidden="1">
      <c r="A80" s="357" t="s">
        <v>163</v>
      </c>
      <c r="B80" s="357" t="s">
        <v>163</v>
      </c>
      <c r="C80" s="361"/>
      <c r="D80" s="362" t="s">
        <v>164</v>
      </c>
      <c r="E80" s="193" t="str">
        <f t="shared" si="4"/>
        <v>WASHINGTON</v>
      </c>
      <c r="F80" s="362" t="s">
        <v>161</v>
      </c>
      <c r="G80" s="362"/>
      <c r="H80" s="365">
        <v>0</v>
      </c>
      <c r="I80" s="366">
        <v>-120000</v>
      </c>
      <c r="J80" s="365">
        <v>0</v>
      </c>
    </row>
    <row r="81" spans="1:10" hidden="1">
      <c r="A81" s="357" t="s">
        <v>196</v>
      </c>
      <c r="B81" s="357" t="s">
        <v>196</v>
      </c>
      <c r="C81" s="361"/>
      <c r="D81" s="362" t="s">
        <v>197</v>
      </c>
      <c r="E81" s="193" t="str">
        <f t="shared" si="4"/>
        <v>301461-IRR</v>
      </c>
      <c r="F81" s="362" t="s">
        <v>161</v>
      </c>
      <c r="G81" s="362"/>
      <c r="H81" s="365">
        <v>0</v>
      </c>
      <c r="I81" s="366">
        <v>64000</v>
      </c>
      <c r="J81" s="365">
        <v>0</v>
      </c>
    </row>
    <row r="82" spans="1:10" hidden="1">
      <c r="A82" s="357" t="s">
        <v>148</v>
      </c>
      <c r="B82" s="357" t="s">
        <v>148</v>
      </c>
      <c r="C82" s="361"/>
      <c r="D82" s="362" t="s">
        <v>165</v>
      </c>
      <c r="E82" s="193" t="str">
        <f t="shared" si="4"/>
        <v>REVENUE_AC</v>
      </c>
      <c r="F82" s="362" t="s">
        <v>161</v>
      </c>
      <c r="G82" s="362"/>
      <c r="H82" s="365">
        <v>0</v>
      </c>
      <c r="I82" s="366">
        <v>-497113.84</v>
      </c>
      <c r="J82" s="365">
        <v>0</v>
      </c>
    </row>
    <row r="83" spans="1:10" hidden="1">
      <c r="A83" s="357" t="s">
        <v>166</v>
      </c>
      <c r="B83" s="357" t="s">
        <v>166</v>
      </c>
      <c r="C83" s="361"/>
      <c r="D83" s="362" t="s">
        <v>198</v>
      </c>
      <c r="E83" s="193" t="str">
        <f t="shared" si="4"/>
        <v>301470-DSM</v>
      </c>
      <c r="F83" s="362" t="s">
        <v>161</v>
      </c>
      <c r="G83" s="362"/>
      <c r="H83" s="365">
        <v>0</v>
      </c>
      <c r="I83" s="366">
        <v>540165.32999999996</v>
      </c>
      <c r="J83" s="365">
        <v>0</v>
      </c>
    </row>
    <row r="84" spans="1:10" hidden="1">
      <c r="A84" s="357" t="s">
        <v>168</v>
      </c>
      <c r="B84" s="357" t="s">
        <v>168</v>
      </c>
      <c r="C84" s="361"/>
      <c r="D84" s="362" t="s">
        <v>199</v>
      </c>
      <c r="E84" s="193" t="str">
        <f t="shared" si="4"/>
        <v>301480-BLU</v>
      </c>
      <c r="F84" s="362" t="s">
        <v>161</v>
      </c>
      <c r="G84" s="362"/>
      <c r="H84" s="365">
        <v>0</v>
      </c>
      <c r="I84" s="366">
        <v>130.54</v>
      </c>
      <c r="J84" s="365">
        <v>5.833333333333333</v>
      </c>
    </row>
    <row r="85" spans="1:10" hidden="1">
      <c r="A85" s="357">
        <v>40</v>
      </c>
      <c r="B85" s="357">
        <v>40</v>
      </c>
      <c r="C85" s="361"/>
      <c r="D85" s="362" t="s">
        <v>313</v>
      </c>
      <c r="E85" s="193" t="str">
        <f>LEFT(D85,10)</f>
        <v>02APSV0040</v>
      </c>
      <c r="F85" s="362" t="s">
        <v>161</v>
      </c>
      <c r="G85" s="362"/>
      <c r="H85" s="365">
        <v>132803266</v>
      </c>
      <c r="I85" s="366">
        <v>11326942.41</v>
      </c>
      <c r="J85" s="365">
        <v>3471</v>
      </c>
    </row>
    <row r="86" spans="1:10">
      <c r="A86" s="357" t="s">
        <v>200</v>
      </c>
      <c r="B86" s="357">
        <v>40</v>
      </c>
      <c r="C86" s="361"/>
      <c r="D86" s="362" t="s">
        <v>313</v>
      </c>
      <c r="E86" s="193" t="str">
        <f>LEFT(D86,10)</f>
        <v>02APSV0040</v>
      </c>
      <c r="F86" s="362" t="s">
        <v>120</v>
      </c>
      <c r="G86" s="362"/>
      <c r="H86" s="365">
        <v>132802787</v>
      </c>
      <c r="I86" s="366">
        <v>-560429.52</v>
      </c>
      <c r="J86" s="365">
        <v>3471</v>
      </c>
    </row>
    <row r="87" spans="1:10" hidden="1">
      <c r="A87" s="357" t="s">
        <v>201</v>
      </c>
      <c r="B87" s="357" t="s">
        <v>201</v>
      </c>
      <c r="C87" s="361"/>
      <c r="D87" s="362" t="s">
        <v>317</v>
      </c>
      <c r="E87" s="193" t="str">
        <f t="shared" ref="E87:E91" si="5">LEFT(D87,10)</f>
        <v>02APSV040X</v>
      </c>
      <c r="F87" s="362" t="s">
        <v>161</v>
      </c>
      <c r="G87" s="362"/>
      <c r="H87" s="365">
        <v>47343132</v>
      </c>
      <c r="I87" s="366">
        <v>4076711.77</v>
      </c>
      <c r="J87" s="365">
        <v>1737.75</v>
      </c>
    </row>
    <row r="88" spans="1:10" hidden="1">
      <c r="A88" s="357" t="s">
        <v>172</v>
      </c>
      <c r="B88" s="357" t="s">
        <v>172</v>
      </c>
      <c r="C88" s="361"/>
      <c r="D88" s="362" t="s">
        <v>303</v>
      </c>
      <c r="E88" s="193" t="str">
        <f t="shared" si="5"/>
        <v>02LNX00103</v>
      </c>
      <c r="F88" s="362" t="s">
        <v>161</v>
      </c>
      <c r="G88" s="362"/>
      <c r="H88" s="365">
        <v>0</v>
      </c>
      <c r="I88" s="366">
        <v>5221.5200000000004</v>
      </c>
      <c r="J88" s="365">
        <v>0</v>
      </c>
    </row>
    <row r="89" spans="1:10" hidden="1">
      <c r="A89" s="357" t="s">
        <v>172</v>
      </c>
      <c r="B89" s="357" t="s">
        <v>172</v>
      </c>
      <c r="C89" s="361"/>
      <c r="D89" s="362" t="s">
        <v>304</v>
      </c>
      <c r="E89" s="193" t="str">
        <f t="shared" si="5"/>
        <v>02LNX00105</v>
      </c>
      <c r="F89" s="362" t="s">
        <v>161</v>
      </c>
      <c r="G89" s="362"/>
      <c r="H89" s="365">
        <v>0</v>
      </c>
      <c r="I89" s="366">
        <v>79.69</v>
      </c>
      <c r="J89" s="365">
        <v>0</v>
      </c>
    </row>
    <row r="90" spans="1:10" hidden="1">
      <c r="A90" s="357" t="s">
        <v>172</v>
      </c>
      <c r="B90" s="357" t="s">
        <v>172</v>
      </c>
      <c r="C90" s="361"/>
      <c r="D90" s="362" t="s">
        <v>305</v>
      </c>
      <c r="E90" s="193" t="str">
        <f t="shared" si="5"/>
        <v>02LNX00109</v>
      </c>
      <c r="F90" s="362" t="s">
        <v>161</v>
      </c>
      <c r="G90" s="362"/>
      <c r="H90" s="365">
        <v>0</v>
      </c>
      <c r="I90" s="366">
        <v>8106.46</v>
      </c>
      <c r="J90" s="365">
        <v>0</v>
      </c>
    </row>
    <row r="91" spans="1:10" hidden="1">
      <c r="A91" s="357" t="s">
        <v>172</v>
      </c>
      <c r="B91" s="357" t="s">
        <v>172</v>
      </c>
      <c r="C91" s="361"/>
      <c r="D91" s="362" t="s">
        <v>306</v>
      </c>
      <c r="E91" s="193" t="str">
        <f t="shared" si="5"/>
        <v>02LNX00110</v>
      </c>
      <c r="F91" s="362" t="s">
        <v>161</v>
      </c>
      <c r="G91" s="362"/>
      <c r="H91" s="365">
        <v>0</v>
      </c>
      <c r="I91" s="366">
        <v>136046.39000000001</v>
      </c>
      <c r="J91" s="365">
        <v>0</v>
      </c>
    </row>
    <row r="92" spans="1:10">
      <c r="A92" s="357" t="s">
        <v>202</v>
      </c>
      <c r="B92" s="357" t="s">
        <v>203</v>
      </c>
      <c r="C92" s="361"/>
      <c r="D92" s="362" t="s">
        <v>314</v>
      </c>
      <c r="E92" s="193"/>
      <c r="F92" s="362" t="s">
        <v>120</v>
      </c>
      <c r="G92" s="362"/>
      <c r="H92" s="365">
        <v>-17931619</v>
      </c>
      <c r="I92" s="366">
        <v>75671.41</v>
      </c>
      <c r="J92" s="365">
        <v>0</v>
      </c>
    </row>
    <row r="93" spans="1:10" hidden="1">
      <c r="A93" s="357" t="s">
        <v>172</v>
      </c>
      <c r="B93" s="357" t="s">
        <v>172</v>
      </c>
      <c r="C93" s="361"/>
      <c r="D93" s="362" t="s">
        <v>187</v>
      </c>
      <c r="E93" s="193" t="str">
        <f t="shared" ref="E93:E98" si="6">LEFT(D93,10)</f>
        <v>02LNX00311</v>
      </c>
      <c r="F93" s="362" t="s">
        <v>161</v>
      </c>
      <c r="G93" s="362"/>
      <c r="H93" s="365">
        <v>0</v>
      </c>
      <c r="I93" s="366">
        <v>179.86</v>
      </c>
      <c r="J93" s="365">
        <v>0</v>
      </c>
    </row>
    <row r="94" spans="1:10" hidden="1">
      <c r="A94" s="357" t="s">
        <v>172</v>
      </c>
      <c r="B94" s="357" t="s">
        <v>172</v>
      </c>
      <c r="C94" s="361"/>
      <c r="D94" s="362" t="s">
        <v>188</v>
      </c>
      <c r="E94" s="193" t="str">
        <f t="shared" si="6"/>
        <v>02LNX00310</v>
      </c>
      <c r="F94" s="362" t="s">
        <v>161</v>
      </c>
      <c r="G94" s="362"/>
      <c r="H94" s="365">
        <v>0</v>
      </c>
      <c r="I94" s="366">
        <v>8644.0300000000007</v>
      </c>
      <c r="J94" s="365">
        <v>0</v>
      </c>
    </row>
    <row r="95" spans="1:10" hidden="1">
      <c r="A95" s="357" t="s">
        <v>172</v>
      </c>
      <c r="B95" s="357" t="s">
        <v>172</v>
      </c>
      <c r="D95" s="362" t="s">
        <v>189</v>
      </c>
      <c r="E95" s="193" t="str">
        <f t="shared" si="6"/>
        <v>02LNX00312</v>
      </c>
      <c r="F95" s="362" t="s">
        <v>161</v>
      </c>
      <c r="G95" s="362"/>
      <c r="H95" s="378">
        <v>0</v>
      </c>
      <c r="I95" s="379">
        <v>33255.83</v>
      </c>
      <c r="J95" s="378">
        <v>0</v>
      </c>
    </row>
    <row r="96" spans="1:10" hidden="1">
      <c r="A96" s="357">
        <v>40</v>
      </c>
      <c r="B96" s="357">
        <v>40</v>
      </c>
      <c r="D96" s="362" t="s">
        <v>231</v>
      </c>
      <c r="E96" s="193" t="str">
        <f t="shared" si="6"/>
        <v>02NMT40135</v>
      </c>
      <c r="F96" s="362" t="s">
        <v>161</v>
      </c>
      <c r="G96" s="362"/>
      <c r="H96" s="380">
        <v>75034</v>
      </c>
      <c r="I96" s="381">
        <v>6609.04</v>
      </c>
      <c r="J96" s="380">
        <v>3</v>
      </c>
    </row>
    <row r="97" spans="1:10">
      <c r="A97" s="357" t="s">
        <v>200</v>
      </c>
      <c r="B97" s="357">
        <v>40</v>
      </c>
      <c r="D97" s="362" t="s">
        <v>232</v>
      </c>
      <c r="E97" s="193" t="str">
        <f t="shared" si="6"/>
        <v>02NMT40135</v>
      </c>
      <c r="F97" s="362" t="s">
        <v>120</v>
      </c>
      <c r="G97" s="362"/>
      <c r="H97" s="380">
        <v>75034</v>
      </c>
      <c r="I97" s="381">
        <v>-316.64999999999998</v>
      </c>
      <c r="J97" s="380">
        <v>3</v>
      </c>
    </row>
    <row r="98" spans="1:10" hidden="1">
      <c r="A98" s="357"/>
      <c r="D98" s="362" t="s">
        <v>318</v>
      </c>
      <c r="E98" s="193" t="str">
        <f t="shared" si="6"/>
        <v>CUSTOMER C</v>
      </c>
      <c r="F98" s="362" t="s">
        <v>161</v>
      </c>
      <c r="G98" s="362"/>
      <c r="H98" s="380"/>
      <c r="I98" s="381"/>
      <c r="J98" s="380">
        <v>0</v>
      </c>
    </row>
    <row r="99" spans="1:10">
      <c r="A99" s="357"/>
      <c r="D99" s="362" t="s">
        <v>315</v>
      </c>
      <c r="E99" s="193"/>
      <c r="F99" s="362" t="s">
        <v>120</v>
      </c>
      <c r="G99" s="362"/>
      <c r="H99" s="376"/>
      <c r="I99" s="377"/>
      <c r="J99" s="376">
        <v>0</v>
      </c>
    </row>
    <row r="100" spans="1:10" hidden="1">
      <c r="A100" s="357"/>
      <c r="C100" s="361" t="s">
        <v>119</v>
      </c>
      <c r="D100" s="362" t="s">
        <v>0</v>
      </c>
      <c r="E100" s="375"/>
      <c r="F100" s="368" t="s">
        <v>195</v>
      </c>
      <c r="G100" s="368"/>
      <c r="H100" s="376">
        <f>SUM(H77:H97)-H78-H86-H92-H97</f>
        <v>182772432</v>
      </c>
      <c r="I100" s="377">
        <f>SUM(I77:I97)</f>
        <v>15339082.689999998</v>
      </c>
      <c r="J100" s="376">
        <f>SUM(J77:J97)-J78-J86-J92-J97-J84</f>
        <v>5211.7500000000009</v>
      </c>
    </row>
    <row r="101" spans="1:10" hidden="1">
      <c r="A101" s="357"/>
      <c r="D101" s="375"/>
      <c r="E101" s="375"/>
      <c r="F101" s="368"/>
      <c r="G101" s="368"/>
      <c r="H101" s="376"/>
      <c r="I101" s="377"/>
      <c r="J101" s="376"/>
    </row>
    <row r="102" spans="1:10" hidden="1">
      <c r="A102" s="357"/>
      <c r="C102" s="361" t="s">
        <v>151</v>
      </c>
      <c r="D102" s="362" t="s">
        <v>152</v>
      </c>
      <c r="E102" s="362"/>
      <c r="F102" s="362" t="s">
        <v>153</v>
      </c>
      <c r="G102" s="362"/>
      <c r="H102" s="372" t="s">
        <v>193</v>
      </c>
      <c r="I102" s="382" t="s">
        <v>154</v>
      </c>
      <c r="J102" s="383" t="s">
        <v>155</v>
      </c>
    </row>
    <row r="103" spans="1:10" hidden="1">
      <c r="A103" s="357" t="s">
        <v>156</v>
      </c>
      <c r="B103" s="357" t="s">
        <v>156</v>
      </c>
      <c r="C103" s="361" t="s">
        <v>204</v>
      </c>
      <c r="D103" s="364" t="s">
        <v>311</v>
      </c>
      <c r="E103" s="364"/>
      <c r="F103" s="362" t="s">
        <v>157</v>
      </c>
      <c r="G103" s="362"/>
      <c r="H103" s="365">
        <v>132000</v>
      </c>
      <c r="I103" s="366">
        <v>21000</v>
      </c>
      <c r="J103" s="384">
        <v>0</v>
      </c>
    </row>
    <row r="104" spans="1:10" hidden="1">
      <c r="A104" s="357" t="s">
        <v>148</v>
      </c>
      <c r="B104" s="357" t="s">
        <v>148</v>
      </c>
      <c r="C104" s="361"/>
      <c r="D104" s="364" t="s">
        <v>162</v>
      </c>
      <c r="E104" s="193" t="str">
        <f t="shared" ref="E104:E114" si="7">LEFT(D104,10)</f>
        <v>REVENUE AD</v>
      </c>
      <c r="F104" s="362" t="s">
        <v>161</v>
      </c>
      <c r="G104" s="362"/>
      <c r="H104" s="365">
        <v>0</v>
      </c>
      <c r="I104" s="366">
        <v>1405.9</v>
      </c>
      <c r="J104" s="384">
        <v>0</v>
      </c>
    </row>
    <row r="105" spans="1:10" hidden="1">
      <c r="A105" s="357" t="s">
        <v>163</v>
      </c>
      <c r="B105" s="357" t="s">
        <v>163</v>
      </c>
      <c r="C105" s="361"/>
      <c r="D105" s="364" t="s">
        <v>164</v>
      </c>
      <c r="E105" s="193" t="str">
        <f t="shared" si="7"/>
        <v>WASHINGTON</v>
      </c>
      <c r="F105" s="362" t="s">
        <v>161</v>
      </c>
      <c r="G105" s="362"/>
      <c r="H105" s="365">
        <v>0</v>
      </c>
      <c r="I105" s="366">
        <v>-30000</v>
      </c>
      <c r="J105" s="384">
        <v>0</v>
      </c>
    </row>
    <row r="106" spans="1:10" hidden="1">
      <c r="A106" s="357" t="s">
        <v>148</v>
      </c>
      <c r="B106" s="357" t="s">
        <v>148</v>
      </c>
      <c r="C106" s="361"/>
      <c r="D106" s="364" t="s">
        <v>165</v>
      </c>
      <c r="E106" s="193" t="str">
        <f t="shared" si="7"/>
        <v>REVENUE_AC</v>
      </c>
      <c r="F106" s="362" t="s">
        <v>161</v>
      </c>
      <c r="G106" s="362"/>
      <c r="H106" s="365">
        <v>0</v>
      </c>
      <c r="I106" s="366">
        <v>-25247.8</v>
      </c>
      <c r="J106" s="384">
        <v>0</v>
      </c>
    </row>
    <row r="107" spans="1:10" hidden="1">
      <c r="A107" s="357" t="s">
        <v>166</v>
      </c>
      <c r="B107" s="357" t="s">
        <v>166</v>
      </c>
      <c r="C107" s="361"/>
      <c r="D107" s="364" t="s">
        <v>205</v>
      </c>
      <c r="E107" s="193" t="str">
        <f t="shared" si="7"/>
        <v>301670-DSM</v>
      </c>
      <c r="F107" s="362" t="s">
        <v>161</v>
      </c>
      <c r="G107" s="362"/>
      <c r="H107" s="365">
        <v>0</v>
      </c>
      <c r="I107" s="366">
        <v>30606.84</v>
      </c>
      <c r="J107" s="384">
        <v>0</v>
      </c>
    </row>
    <row r="108" spans="1:10" hidden="1">
      <c r="A108" s="357" t="s">
        <v>172</v>
      </c>
      <c r="B108" s="357" t="s">
        <v>172</v>
      </c>
      <c r="C108" s="361"/>
      <c r="D108" s="364" t="s">
        <v>320</v>
      </c>
      <c r="E108" s="195" t="str">
        <f t="shared" si="7"/>
        <v>02CFR00012</v>
      </c>
      <c r="F108" s="362" t="s">
        <v>161</v>
      </c>
      <c r="G108" s="362"/>
      <c r="H108" s="365">
        <v>0</v>
      </c>
      <c r="I108" s="366">
        <v>90.84</v>
      </c>
      <c r="J108" s="384">
        <v>0</v>
      </c>
    </row>
    <row r="109" spans="1:10" hidden="1">
      <c r="A109" s="357">
        <v>52</v>
      </c>
      <c r="B109" s="357">
        <v>52</v>
      </c>
      <c r="C109" s="361"/>
      <c r="D109" s="364" t="s">
        <v>321</v>
      </c>
      <c r="E109" s="193" t="str">
        <f t="shared" si="7"/>
        <v>02COSL0052</v>
      </c>
      <c r="F109" s="362" t="s">
        <v>161</v>
      </c>
      <c r="G109" s="362"/>
      <c r="H109" s="365">
        <v>202401</v>
      </c>
      <c r="I109" s="366">
        <v>34679.26</v>
      </c>
      <c r="J109" s="384">
        <v>14.166666666666666</v>
      </c>
    </row>
    <row r="110" spans="1:10" hidden="1">
      <c r="A110" s="357" t="s">
        <v>233</v>
      </c>
      <c r="B110" s="357" t="s">
        <v>233</v>
      </c>
      <c r="C110" s="361"/>
      <c r="D110" s="364" t="s">
        <v>322</v>
      </c>
      <c r="E110" s="193" t="str">
        <f t="shared" si="7"/>
        <v>02CUSL053F</v>
      </c>
      <c r="F110" s="362" t="s">
        <v>161</v>
      </c>
      <c r="G110" s="362"/>
      <c r="H110" s="365">
        <v>3447449</v>
      </c>
      <c r="I110" s="366">
        <v>247377.26</v>
      </c>
      <c r="J110" s="384">
        <v>110.41666666666667</v>
      </c>
    </row>
    <row r="111" spans="1:10" hidden="1">
      <c r="A111" s="357" t="s">
        <v>206</v>
      </c>
      <c r="B111" s="357" t="s">
        <v>206</v>
      </c>
      <c r="C111" s="361"/>
      <c r="D111" s="364" t="s">
        <v>323</v>
      </c>
      <c r="E111" s="193" t="str">
        <f t="shared" si="7"/>
        <v>02CUSL053M</v>
      </c>
      <c r="F111" s="362" t="s">
        <v>161</v>
      </c>
      <c r="G111" s="362"/>
      <c r="H111" s="365">
        <v>1151385</v>
      </c>
      <c r="I111" s="366">
        <v>81786.179999999993</v>
      </c>
      <c r="J111" s="384">
        <v>105</v>
      </c>
    </row>
    <row r="112" spans="1:10" hidden="1">
      <c r="A112" s="357">
        <v>51</v>
      </c>
      <c r="B112" s="357">
        <v>51</v>
      </c>
      <c r="C112" s="361"/>
      <c r="D112" s="364" t="s">
        <v>325</v>
      </c>
      <c r="E112" s="195" t="str">
        <f t="shared" si="7"/>
        <v>02SLCO0051</v>
      </c>
      <c r="F112" s="362" t="s">
        <v>161</v>
      </c>
      <c r="G112" s="362"/>
      <c r="H112" s="365">
        <v>3892466</v>
      </c>
      <c r="I112" s="366">
        <v>760182.18</v>
      </c>
      <c r="J112" s="384">
        <v>163.58333333333334</v>
      </c>
    </row>
    <row r="113" spans="1:10" hidden="1">
      <c r="A113" s="357">
        <v>57</v>
      </c>
      <c r="B113" s="357">
        <v>57</v>
      </c>
      <c r="D113" s="362" t="s">
        <v>324</v>
      </c>
      <c r="E113" s="193" t="str">
        <f t="shared" si="7"/>
        <v>02MVSL0057</v>
      </c>
      <c r="F113" s="362" t="s">
        <v>161</v>
      </c>
      <c r="G113" s="362"/>
      <c r="H113" s="365">
        <v>1733378</v>
      </c>
      <c r="I113" s="366">
        <v>218370.52</v>
      </c>
      <c r="J113" s="384">
        <v>40</v>
      </c>
    </row>
    <row r="114" spans="1:10" hidden="1">
      <c r="A114" s="357"/>
      <c r="D114" s="362" t="s">
        <v>310</v>
      </c>
      <c r="E114" s="193" t="str">
        <f t="shared" si="7"/>
        <v>CUSTOMER C</v>
      </c>
      <c r="F114" s="362" t="s">
        <v>161</v>
      </c>
      <c r="G114" s="362"/>
      <c r="H114" s="365"/>
      <c r="I114" s="366"/>
      <c r="J114" s="384">
        <v>0</v>
      </c>
    </row>
    <row r="115" spans="1:10" hidden="1">
      <c r="C115" s="361" t="s">
        <v>204</v>
      </c>
      <c r="D115" s="362"/>
      <c r="E115" s="362"/>
      <c r="F115" s="368" t="s">
        <v>195</v>
      </c>
      <c r="G115" s="368"/>
      <c r="H115" s="376">
        <f>SUM(H103:H113)</f>
        <v>10559079</v>
      </c>
      <c r="I115" s="377">
        <f>SUM(I103:I113)</f>
        <v>1340251.1800000002</v>
      </c>
      <c r="J115" s="376">
        <f>SUM(J103:J113)</f>
        <v>433.16666666666669</v>
      </c>
    </row>
    <row r="116" spans="1:10" hidden="1">
      <c r="C116" s="361"/>
      <c r="D116" s="362"/>
      <c r="E116" s="362"/>
      <c r="F116" s="362"/>
      <c r="G116" s="362"/>
      <c r="H116" s="372"/>
      <c r="I116" s="373"/>
      <c r="J116" s="372"/>
    </row>
    <row r="117" spans="1:10" hidden="1">
      <c r="C117" s="361" t="s">
        <v>151</v>
      </c>
      <c r="D117" s="362" t="s">
        <v>152</v>
      </c>
      <c r="E117" s="362"/>
      <c r="F117" s="362" t="s">
        <v>153</v>
      </c>
      <c r="G117" s="362"/>
      <c r="H117" s="372" t="s">
        <v>193</v>
      </c>
      <c r="I117" s="373" t="s">
        <v>154</v>
      </c>
      <c r="J117" s="383" t="s">
        <v>155</v>
      </c>
    </row>
    <row r="118" spans="1:10" hidden="1">
      <c r="A118" s="357" t="s">
        <v>156</v>
      </c>
      <c r="B118" s="357" t="s">
        <v>156</v>
      </c>
      <c r="C118" s="361" t="s">
        <v>128</v>
      </c>
      <c r="D118" s="364" t="s">
        <v>311</v>
      </c>
      <c r="E118" s="364"/>
      <c r="F118" s="362" t="s">
        <v>157</v>
      </c>
      <c r="G118" s="362"/>
      <c r="H118" s="365">
        <v>19861000</v>
      </c>
      <c r="I118" s="366">
        <v>2026000</v>
      </c>
      <c r="J118" s="365">
        <v>0</v>
      </c>
    </row>
    <row r="119" spans="1:10">
      <c r="A119" s="357" t="s">
        <v>158</v>
      </c>
      <c r="B119" s="357" t="s">
        <v>158</v>
      </c>
      <c r="C119" s="361"/>
      <c r="D119" s="364" t="s">
        <v>296</v>
      </c>
      <c r="E119" s="364"/>
      <c r="F119" s="362" t="s">
        <v>120</v>
      </c>
      <c r="G119" s="362"/>
      <c r="H119" s="365">
        <v>0</v>
      </c>
      <c r="I119" s="366">
        <v>56582.47</v>
      </c>
      <c r="J119" s="365">
        <v>0</v>
      </c>
    </row>
    <row r="120" spans="1:10" hidden="1">
      <c r="A120" s="357" t="s">
        <v>159</v>
      </c>
      <c r="B120" s="357" t="s">
        <v>159</v>
      </c>
      <c r="C120" s="361"/>
      <c r="D120" s="364" t="s">
        <v>160</v>
      </c>
      <c r="E120" s="193" t="str">
        <f t="shared" ref="E120:E127" si="8">LEFT(D120,10)</f>
        <v>SMUD REVEN</v>
      </c>
      <c r="F120" s="362" t="s">
        <v>161</v>
      </c>
      <c r="G120" s="362"/>
      <c r="H120" s="365">
        <v>0</v>
      </c>
      <c r="I120" s="366">
        <v>82078.77</v>
      </c>
      <c r="J120" s="365">
        <v>0</v>
      </c>
    </row>
    <row r="121" spans="1:10" hidden="1">
      <c r="A121" s="357" t="s">
        <v>148</v>
      </c>
      <c r="B121" s="357" t="s">
        <v>148</v>
      </c>
      <c r="C121" s="361"/>
      <c r="D121" s="364" t="s">
        <v>162</v>
      </c>
      <c r="E121" s="193" t="str">
        <f t="shared" si="8"/>
        <v>REVENUE AD</v>
      </c>
      <c r="F121" s="362" t="s">
        <v>161</v>
      </c>
      <c r="G121" s="362"/>
      <c r="H121" s="365">
        <v>0</v>
      </c>
      <c r="I121" s="366">
        <v>-11787.95</v>
      </c>
      <c r="J121" s="365">
        <v>0</v>
      </c>
    </row>
    <row r="122" spans="1:10" hidden="1">
      <c r="A122" s="357" t="s">
        <v>163</v>
      </c>
      <c r="B122" s="357" t="s">
        <v>163</v>
      </c>
      <c r="C122" s="361"/>
      <c r="D122" s="364" t="s">
        <v>164</v>
      </c>
      <c r="E122" s="193" t="str">
        <f t="shared" si="8"/>
        <v>WASHINGTON</v>
      </c>
      <c r="F122" s="362" t="s">
        <v>161</v>
      </c>
      <c r="G122" s="362"/>
      <c r="H122" s="365">
        <v>0</v>
      </c>
      <c r="I122" s="366">
        <v>-1320000</v>
      </c>
      <c r="J122" s="365">
        <v>0</v>
      </c>
    </row>
    <row r="123" spans="1:10" hidden="1">
      <c r="A123" s="357" t="s">
        <v>148</v>
      </c>
      <c r="B123" s="357" t="s">
        <v>148</v>
      </c>
      <c r="C123" s="361"/>
      <c r="D123" s="364" t="s">
        <v>165</v>
      </c>
      <c r="E123" s="193" t="str">
        <f t="shared" si="8"/>
        <v>REVENUE_AC</v>
      </c>
      <c r="F123" s="362" t="s">
        <v>161</v>
      </c>
      <c r="G123" s="362"/>
      <c r="H123" s="365">
        <v>0</v>
      </c>
      <c r="I123" s="366">
        <v>-4051267.76</v>
      </c>
      <c r="J123" s="365">
        <v>0</v>
      </c>
    </row>
    <row r="124" spans="1:10" hidden="1">
      <c r="A124" s="357" t="s">
        <v>166</v>
      </c>
      <c r="B124" s="357" t="s">
        <v>166</v>
      </c>
      <c r="C124" s="361"/>
      <c r="D124" s="364" t="s">
        <v>207</v>
      </c>
      <c r="E124" s="193" t="str">
        <f t="shared" si="8"/>
        <v>301170-DSM</v>
      </c>
      <c r="F124" s="362" t="s">
        <v>161</v>
      </c>
      <c r="G124" s="362"/>
      <c r="H124" s="365">
        <v>0</v>
      </c>
      <c r="I124" s="366">
        <v>4745733.83</v>
      </c>
      <c r="J124" s="365">
        <v>0</v>
      </c>
    </row>
    <row r="125" spans="1:10" hidden="1">
      <c r="A125" s="357" t="s">
        <v>168</v>
      </c>
      <c r="B125" s="357" t="s">
        <v>168</v>
      </c>
      <c r="C125" s="361"/>
      <c r="D125" s="364" t="s">
        <v>208</v>
      </c>
      <c r="E125" s="193" t="str">
        <f t="shared" si="8"/>
        <v>301180-BLU</v>
      </c>
      <c r="F125" s="362" t="s">
        <v>161</v>
      </c>
      <c r="G125" s="362"/>
      <c r="H125" s="365">
        <v>0</v>
      </c>
      <c r="I125" s="366">
        <v>113307.88</v>
      </c>
      <c r="J125" s="365">
        <v>0</v>
      </c>
    </row>
    <row r="126" spans="1:10" hidden="1">
      <c r="A126" s="357" t="s">
        <v>172</v>
      </c>
      <c r="B126" s="357" t="s">
        <v>172</v>
      </c>
      <c r="C126" s="361"/>
      <c r="D126" s="364" t="s">
        <v>305</v>
      </c>
      <c r="E126" s="193" t="str">
        <f t="shared" si="8"/>
        <v>02LNX00109</v>
      </c>
      <c r="F126" s="362" t="s">
        <v>161</v>
      </c>
      <c r="G126" s="362"/>
      <c r="H126" s="365">
        <v>0</v>
      </c>
      <c r="I126" s="366">
        <v>1361.59</v>
      </c>
      <c r="J126" s="365">
        <v>0</v>
      </c>
    </row>
    <row r="127" spans="1:10" hidden="1">
      <c r="A127" s="357">
        <v>16</v>
      </c>
      <c r="B127" s="357">
        <v>16</v>
      </c>
      <c r="C127" s="361"/>
      <c r="D127" s="364" t="s">
        <v>330</v>
      </c>
      <c r="E127" s="193" t="str">
        <f t="shared" si="8"/>
        <v>02RESD0016</v>
      </c>
      <c r="F127" s="362" t="s">
        <v>161</v>
      </c>
      <c r="G127" s="362"/>
      <c r="H127" s="365">
        <v>1419612497</v>
      </c>
      <c r="I127" s="366">
        <v>129705719.7</v>
      </c>
      <c r="J127" s="365">
        <v>99032.333333333328</v>
      </c>
    </row>
    <row r="128" spans="1:10" hidden="1">
      <c r="A128" s="357" t="s">
        <v>209</v>
      </c>
      <c r="B128" s="357">
        <v>16</v>
      </c>
      <c r="C128" s="361"/>
      <c r="D128" s="364" t="s">
        <v>326</v>
      </c>
      <c r="E128" s="364"/>
      <c r="F128" s="362" t="s">
        <v>120</v>
      </c>
      <c r="G128" s="362"/>
      <c r="H128" s="365">
        <v>1418551267</v>
      </c>
      <c r="I128" s="366">
        <v>-5986321.0899999999</v>
      </c>
      <c r="J128" s="365">
        <v>99032.333333333328</v>
      </c>
    </row>
    <row r="129" spans="1:12" hidden="1">
      <c r="A129" s="357">
        <v>18</v>
      </c>
      <c r="B129" s="357">
        <v>18</v>
      </c>
      <c r="C129" s="361"/>
      <c r="D129" s="364" t="s">
        <v>332</v>
      </c>
      <c r="E129" s="193" t="str">
        <f>LEFT(D129,10)</f>
        <v>02RESD0018</v>
      </c>
      <c r="F129" s="362" t="s">
        <v>161</v>
      </c>
      <c r="G129" s="362"/>
      <c r="H129" s="365">
        <v>2188990</v>
      </c>
      <c r="I129" s="366">
        <v>219458.32</v>
      </c>
      <c r="J129" s="365">
        <v>83.333333333333329</v>
      </c>
    </row>
    <row r="130" spans="1:12" hidden="1">
      <c r="A130" s="357" t="s">
        <v>210</v>
      </c>
      <c r="B130" s="357">
        <v>18</v>
      </c>
      <c r="C130" s="361"/>
      <c r="D130" s="364" t="s">
        <v>327</v>
      </c>
      <c r="E130" s="364"/>
      <c r="F130" s="362" t="s">
        <v>120</v>
      </c>
      <c r="G130" s="362"/>
      <c r="H130" s="365">
        <v>2188990</v>
      </c>
      <c r="I130" s="366">
        <v>-9237.4500000000007</v>
      </c>
      <c r="J130" s="365">
        <v>83.333333333333329</v>
      </c>
    </row>
    <row r="131" spans="1:12" hidden="1">
      <c r="A131" s="357" t="s">
        <v>211</v>
      </c>
      <c r="B131" s="357" t="s">
        <v>211</v>
      </c>
      <c r="C131" s="361"/>
      <c r="D131" s="364" t="s">
        <v>333</v>
      </c>
      <c r="E131" s="193" t="str">
        <f>LEFT(D131,10)</f>
        <v>02RESD018X</v>
      </c>
      <c r="F131" s="362" t="s">
        <v>161</v>
      </c>
      <c r="G131" s="362"/>
      <c r="H131" s="365">
        <v>397063</v>
      </c>
      <c r="I131" s="366">
        <v>38953.69</v>
      </c>
      <c r="J131" s="365">
        <v>17</v>
      </c>
    </row>
    <row r="132" spans="1:12" hidden="1">
      <c r="A132" s="357" t="s">
        <v>212</v>
      </c>
      <c r="B132" s="357" t="s">
        <v>211</v>
      </c>
      <c r="C132" s="361"/>
      <c r="D132" s="364" t="s">
        <v>328</v>
      </c>
      <c r="E132" s="364"/>
      <c r="F132" s="362" t="s">
        <v>120</v>
      </c>
      <c r="G132" s="362"/>
      <c r="H132" s="365">
        <v>397063</v>
      </c>
      <c r="I132" s="366">
        <v>-1675.58</v>
      </c>
      <c r="J132" s="365">
        <v>17</v>
      </c>
    </row>
    <row r="133" spans="1:12" hidden="1">
      <c r="A133" s="357" t="s">
        <v>172</v>
      </c>
      <c r="B133" s="357" t="s">
        <v>172</v>
      </c>
      <c r="C133" s="361"/>
      <c r="D133" s="364" t="s">
        <v>334</v>
      </c>
      <c r="E133" s="193" t="str">
        <f t="shared" ref="E133:E135" si="9">LEFT(D133,10)</f>
        <v>02UPPL000R</v>
      </c>
      <c r="F133" s="362" t="s">
        <v>161</v>
      </c>
      <c r="G133" s="362"/>
      <c r="H133" s="365"/>
      <c r="I133" s="366"/>
      <c r="J133" s="365">
        <v>1.4166666666666667</v>
      </c>
    </row>
    <row r="134" spans="1:12" hidden="1">
      <c r="A134" s="357" t="s">
        <v>168</v>
      </c>
      <c r="B134" s="357" t="s">
        <v>168</v>
      </c>
      <c r="C134" s="361"/>
      <c r="D134" s="364" t="s">
        <v>329</v>
      </c>
      <c r="E134" s="193" t="str">
        <f t="shared" si="9"/>
        <v>02BLSKY01R</v>
      </c>
      <c r="F134" s="362" t="s">
        <v>161</v>
      </c>
      <c r="G134" s="362"/>
      <c r="H134" s="365">
        <v>0</v>
      </c>
      <c r="I134" s="366">
        <v>-0.11</v>
      </c>
      <c r="J134" s="365">
        <v>0</v>
      </c>
    </row>
    <row r="135" spans="1:12" hidden="1">
      <c r="A135" s="357">
        <v>17</v>
      </c>
      <c r="B135" s="357">
        <v>17</v>
      </c>
      <c r="C135" s="361"/>
      <c r="D135" s="364" t="s">
        <v>331</v>
      </c>
      <c r="E135" s="193" t="str">
        <f t="shared" si="9"/>
        <v>02RESD0017</v>
      </c>
      <c r="F135" s="362" t="s">
        <v>161</v>
      </c>
      <c r="G135" s="362"/>
      <c r="H135" s="365">
        <v>85689625</v>
      </c>
      <c r="I135" s="366">
        <v>7788978.2800000003</v>
      </c>
      <c r="J135" s="365">
        <v>5978.75</v>
      </c>
    </row>
    <row r="136" spans="1:12" hidden="1">
      <c r="A136" s="357" t="s">
        <v>213</v>
      </c>
      <c r="B136" s="357">
        <v>17</v>
      </c>
      <c r="C136" s="361"/>
      <c r="D136" s="364" t="s">
        <v>131</v>
      </c>
      <c r="E136" s="364"/>
      <c r="F136" s="362" t="s">
        <v>120</v>
      </c>
      <c r="G136" s="362"/>
      <c r="H136" s="365">
        <v>85689624</v>
      </c>
      <c r="I136" s="366">
        <v>-361610.95</v>
      </c>
      <c r="J136" s="365">
        <v>5978.75</v>
      </c>
    </row>
    <row r="137" spans="1:12" hidden="1">
      <c r="A137" s="357" t="s">
        <v>156</v>
      </c>
      <c r="B137" s="357" t="s">
        <v>156</v>
      </c>
      <c r="C137" s="361"/>
      <c r="D137" s="364" t="s">
        <v>214</v>
      </c>
      <c r="E137" s="193" t="str">
        <f>LEFT(D137,10)</f>
        <v>301119 - U</v>
      </c>
      <c r="F137" s="362" t="s">
        <v>157</v>
      </c>
      <c r="G137" s="362"/>
      <c r="H137" s="365">
        <v>0</v>
      </c>
      <c r="I137" s="366">
        <v>-1000</v>
      </c>
      <c r="J137" s="365">
        <v>0</v>
      </c>
    </row>
    <row r="138" spans="1:12" hidden="1">
      <c r="A138" s="357" t="s">
        <v>215</v>
      </c>
      <c r="B138" s="357" t="s">
        <v>215</v>
      </c>
      <c r="C138" s="361"/>
      <c r="D138" s="364" t="s">
        <v>216</v>
      </c>
      <c r="E138" s="193" t="str">
        <f>LEFT(D139,10)</f>
        <v>02OALTB15R</v>
      </c>
      <c r="F138" s="362" t="s">
        <v>161</v>
      </c>
      <c r="G138" s="362"/>
      <c r="H138" s="365">
        <v>1027136</v>
      </c>
      <c r="I138" s="366">
        <v>153289.88</v>
      </c>
      <c r="J138" s="365">
        <v>1107.4166666666667</v>
      </c>
    </row>
    <row r="139" spans="1:12">
      <c r="A139" s="357" t="s">
        <v>217</v>
      </c>
      <c r="B139" s="357" t="s">
        <v>215</v>
      </c>
      <c r="C139" s="361"/>
      <c r="D139" s="364" t="s">
        <v>130</v>
      </c>
      <c r="F139" s="362" t="s">
        <v>120</v>
      </c>
      <c r="G139" s="362"/>
      <c r="H139" s="365">
        <v>1027131</v>
      </c>
      <c r="I139" s="366">
        <v>-4337.41</v>
      </c>
      <c r="J139" s="365">
        <v>0</v>
      </c>
    </row>
    <row r="140" spans="1:12" hidden="1">
      <c r="A140" s="357">
        <v>135</v>
      </c>
      <c r="B140" s="357">
        <v>135</v>
      </c>
      <c r="C140" s="361"/>
      <c r="D140" s="364" t="s">
        <v>218</v>
      </c>
      <c r="E140" s="193" t="str">
        <f>LEFT(D141,10)</f>
        <v>02NETMT135</v>
      </c>
      <c r="F140" s="362" t="s">
        <v>161</v>
      </c>
      <c r="G140" s="362"/>
      <c r="H140" s="365">
        <v>2901054</v>
      </c>
      <c r="I140" s="366">
        <v>276110.82</v>
      </c>
      <c r="J140" s="365">
        <v>213.33333333333334</v>
      </c>
    </row>
    <row r="141" spans="1:12" hidden="1">
      <c r="A141" s="357" t="s">
        <v>219</v>
      </c>
      <c r="B141" s="357">
        <v>135</v>
      </c>
      <c r="C141" s="361"/>
      <c r="D141" s="364" t="s">
        <v>127</v>
      </c>
      <c r="F141" s="362" t="s">
        <v>120</v>
      </c>
      <c r="G141" s="362"/>
      <c r="H141" s="365">
        <v>2851312</v>
      </c>
      <c r="I141" s="366">
        <v>-12032.65</v>
      </c>
      <c r="J141" s="365">
        <v>213.33333333333334</v>
      </c>
    </row>
    <row r="142" spans="1:12" hidden="1">
      <c r="A142" s="357">
        <v>24</v>
      </c>
      <c r="B142" s="357">
        <v>24</v>
      </c>
      <c r="C142" s="361"/>
      <c r="D142" s="364" t="s">
        <v>220</v>
      </c>
      <c r="E142" s="193" t="str">
        <f>LEFT(D143,10)</f>
        <v>02RGNSB024</v>
      </c>
      <c r="F142" s="362" t="s">
        <v>161</v>
      </c>
      <c r="G142" s="362"/>
      <c r="H142" s="365">
        <v>21459037</v>
      </c>
      <c r="I142" s="366">
        <v>2467279.9700000002</v>
      </c>
      <c r="J142" s="365">
        <v>3463.6666666666665</v>
      </c>
    </row>
    <row r="143" spans="1:12">
      <c r="A143" s="357" t="s">
        <v>177</v>
      </c>
      <c r="B143" s="357">
        <v>24</v>
      </c>
      <c r="C143" s="361"/>
      <c r="D143" s="364" t="s">
        <v>221</v>
      </c>
      <c r="E143" s="193"/>
      <c r="F143" s="362" t="s">
        <v>120</v>
      </c>
      <c r="G143" s="362"/>
      <c r="H143" s="365">
        <v>20754235</v>
      </c>
      <c r="I143" s="366">
        <v>-87583.64</v>
      </c>
      <c r="J143" s="365">
        <v>3463.6666666666665</v>
      </c>
    </row>
    <row r="144" spans="1:12" hidden="1">
      <c r="C144" s="361"/>
      <c r="D144" s="364" t="s">
        <v>310</v>
      </c>
      <c r="E144" s="193" t="str">
        <f t="shared" ref="E144" si="10">LEFT(D145,10)</f>
        <v>CUSTOMER C</v>
      </c>
      <c r="F144" s="362" t="s">
        <v>161</v>
      </c>
      <c r="G144" s="362"/>
      <c r="H144" s="365"/>
      <c r="I144" s="385"/>
      <c r="J144" s="365">
        <v>0</v>
      </c>
      <c r="L144" s="71"/>
    </row>
    <row r="145" spans="1:13">
      <c r="A145" s="357"/>
      <c r="D145" s="362" t="s">
        <v>192</v>
      </c>
      <c r="E145" s="362"/>
      <c r="F145" s="362" t="s">
        <v>120</v>
      </c>
      <c r="G145" s="362"/>
      <c r="H145" s="365"/>
      <c r="I145" s="385"/>
      <c r="J145" s="365">
        <v>0</v>
      </c>
      <c r="L145" s="386"/>
    </row>
    <row r="146" spans="1:13">
      <c r="C146" s="361" t="s">
        <v>128</v>
      </c>
      <c r="D146" s="362"/>
      <c r="E146" s="362"/>
      <c r="F146" s="368" t="s">
        <v>195</v>
      </c>
      <c r="G146" s="362"/>
      <c r="H146" s="387">
        <f>SUM(H118:H144)-H119-H128-H130-H132-H136-H139-H141-H143</f>
        <v>1553136402</v>
      </c>
      <c r="I146" s="388">
        <f>SUM(I118:I144)</f>
        <v>135828000.60999998</v>
      </c>
      <c r="J146" s="387">
        <f>SUM(J118:J144)-J119-J128-J130-J132-J133-J136-J139-J141-J143</f>
        <v>109895.83333333333</v>
      </c>
    </row>
    <row r="147" spans="1:13">
      <c r="C147" s="361"/>
      <c r="D147" s="362"/>
      <c r="E147" s="362"/>
      <c r="F147" s="362"/>
      <c r="G147" s="362"/>
      <c r="H147" s="387"/>
      <c r="I147" s="388"/>
      <c r="J147" s="387"/>
    </row>
    <row r="148" spans="1:13">
      <c r="C148" s="361"/>
      <c r="D148" s="362"/>
      <c r="E148" s="362"/>
      <c r="F148" s="362"/>
      <c r="G148" s="362"/>
      <c r="H148" s="387"/>
      <c r="I148" s="388"/>
      <c r="J148" s="387"/>
    </row>
    <row r="149" spans="1:13">
      <c r="C149" s="361"/>
      <c r="D149" s="362"/>
      <c r="E149" s="362"/>
      <c r="F149" s="362"/>
      <c r="G149" s="362"/>
      <c r="H149" s="196"/>
      <c r="J149" s="362"/>
      <c r="M149" s="373"/>
    </row>
    <row r="150" spans="1:13">
      <c r="C150" s="361"/>
      <c r="D150" s="362"/>
      <c r="E150" s="362"/>
      <c r="F150" s="362"/>
      <c r="G150" s="362"/>
      <c r="H150" s="362"/>
      <c r="I150" s="373"/>
      <c r="J150" s="362"/>
    </row>
    <row r="151" spans="1:13">
      <c r="C151" s="361"/>
      <c r="D151" s="362"/>
      <c r="E151" s="362"/>
      <c r="F151" s="362"/>
      <c r="G151" s="362"/>
      <c r="H151" s="362"/>
      <c r="I151" s="373"/>
      <c r="J151" s="362"/>
    </row>
    <row r="152" spans="1:13">
      <c r="C152" s="389"/>
      <c r="D152" s="390"/>
      <c r="E152" s="390"/>
      <c r="F152" s="390" t="s">
        <v>195</v>
      </c>
      <c r="G152" s="390"/>
      <c r="H152" s="391">
        <f>H146+H115+H100+H74+H47</f>
        <v>4098021633</v>
      </c>
      <c r="I152" s="392">
        <f>I146+I115+I100+I74+I47</f>
        <v>329745407.28999996</v>
      </c>
      <c r="J152" s="391">
        <f>J146+J115+J100+J74+J47</f>
        <v>133703.16666666666</v>
      </c>
    </row>
    <row r="154" spans="1:13">
      <c r="F154" s="356" t="s">
        <v>140</v>
      </c>
    </row>
    <row r="155" spans="1:13">
      <c r="F155" s="356" t="s">
        <v>222</v>
      </c>
      <c r="H155" s="376">
        <f ca="1">SUMIF(F6:F148,"&lt;&gt;bpa",H6:H146)-H152</f>
        <v>5838411386</v>
      </c>
      <c r="I155" s="376">
        <f>SUMIF($F$7:$F$150,"&lt;&gt;bpa",I7:I150)-I152</f>
        <v>329745407.28999996</v>
      </c>
      <c r="J155" s="376">
        <f>SUMIF($F$7:$F$148,"&lt;&gt;bpa",J7:J149)-J152</f>
        <v>247694.83333333334</v>
      </c>
    </row>
    <row r="156" spans="1:13">
      <c r="F156" s="356" t="s">
        <v>115</v>
      </c>
      <c r="H156" s="391">
        <f ca="1">SUMIF(F6:F148,"=bpa",H6:H146)</f>
        <v>0</v>
      </c>
      <c r="I156" s="393">
        <f ca="1">SUMIF($F$7:$F$148,"=bpa",I$7:I$146)</f>
        <v>0</v>
      </c>
      <c r="J156" s="391">
        <v>0</v>
      </c>
    </row>
    <row r="157" spans="1:13">
      <c r="H157" s="394">
        <f ca="1">SUM(H155:H156)</f>
        <v>5838411386</v>
      </c>
      <c r="I157" s="395">
        <f ca="1">SUM(I155:I156)</f>
        <v>329745407.28999996</v>
      </c>
      <c r="J157" s="394">
        <f>SUM(J155:J156)</f>
        <v>247694.83333333334</v>
      </c>
    </row>
    <row r="159" spans="1:13">
      <c r="I159" s="396"/>
    </row>
    <row r="161" spans="6:11">
      <c r="F161" s="356" t="s">
        <v>223</v>
      </c>
      <c r="H161" s="372">
        <f ca="1">SUMIF($F$7:$F$145,"=regular",H$7:H$143)</f>
        <v>0</v>
      </c>
      <c r="I161" s="376">
        <f ca="1">SUMIF($F$7:$F$143,"=regular",I7:I142)</f>
        <v>0</v>
      </c>
      <c r="J161" s="372">
        <f ca="1">SUMIF($F$7:$F$148,"=regular",J$7:J$146)</f>
        <v>0</v>
      </c>
    </row>
    <row r="162" spans="6:11">
      <c r="F162" s="356" t="s">
        <v>224</v>
      </c>
      <c r="H162" s="372">
        <f ca="1">SUMIF($F$7:$F$148,"UNBILLED",H$7:H$146)</f>
        <v>0</v>
      </c>
      <c r="I162" s="397">
        <f ca="1">SUMIF(F7:F143,"=unbilled",I7:I142)</f>
        <v>0</v>
      </c>
      <c r="J162" s="367"/>
      <c r="K162" s="362"/>
    </row>
    <row r="163" spans="6:11">
      <c r="H163" s="376">
        <f ca="1">SUM(H161:H162)</f>
        <v>0</v>
      </c>
      <c r="I163" s="376">
        <f ca="1">SUM(I161:I162)</f>
        <v>0</v>
      </c>
      <c r="J163" s="398">
        <f ca="1">J161</f>
        <v>0</v>
      </c>
      <c r="K163" s="362"/>
    </row>
    <row r="164" spans="6:11">
      <c r="F164" s="362"/>
      <c r="G164" s="362"/>
      <c r="H164" s="362"/>
      <c r="I164" s="362"/>
      <c r="J164" s="362"/>
      <c r="K164" s="362"/>
    </row>
    <row r="165" spans="6:11">
      <c r="F165" s="362"/>
      <c r="G165" s="362"/>
      <c r="H165" s="365"/>
      <c r="I165" s="197"/>
      <c r="J165" s="365"/>
      <c r="K165" s="362"/>
    </row>
    <row r="166" spans="6:11">
      <c r="F166" s="362"/>
      <c r="G166" s="362"/>
      <c r="H166" s="362"/>
      <c r="I166" s="362"/>
      <c r="J166" s="362"/>
      <c r="K166" s="362"/>
    </row>
    <row r="167" spans="6:11">
      <c r="F167" s="362"/>
      <c r="G167" s="362"/>
      <c r="H167" s="196"/>
      <c r="I167" s="196"/>
      <c r="J167" s="362"/>
    </row>
    <row r="168" spans="6:11">
      <c r="F168" s="362"/>
      <c r="G168" s="362"/>
      <c r="H168" s="362"/>
      <c r="I168" s="399"/>
      <c r="J168" s="362"/>
    </row>
    <row r="169" spans="6:11">
      <c r="H169" s="394"/>
      <c r="I169" s="400"/>
    </row>
  </sheetData>
  <autoFilter ref="A6:J145">
    <filterColumn colId="1">
      <filters blank="1">
        <filter val="15n"/>
        <filter val="15r"/>
        <filter val="24"/>
        <filter val="24f"/>
        <filter val="24fp"/>
        <filter val="36"/>
        <filter val="40"/>
        <filter val="bpa"/>
        <filter val="bpaadj"/>
      </filters>
    </filterColumn>
    <filterColumn colId="5">
      <filters>
        <filter val="B"/>
      </filters>
    </filterColumn>
  </autoFilter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51"/>
  <sheetViews>
    <sheetView view="pageBreakPreview" zoomScale="75" zoomScaleNormal="100" workbookViewId="0">
      <selection activeCell="B2" sqref="B2"/>
    </sheetView>
  </sheetViews>
  <sheetFormatPr defaultColWidth="8.5" defaultRowHeight="15"/>
  <cols>
    <col min="1" max="1" width="1.875" style="83" customWidth="1"/>
    <col min="2" max="2" width="10.875" style="83" customWidth="1"/>
    <col min="3" max="3" width="1.75" style="83" customWidth="1"/>
    <col min="4" max="4" width="11.25" style="83" hidden="1" customWidth="1"/>
    <col min="5" max="5" width="8.25" style="83" bestFit="1" customWidth="1"/>
    <col min="6" max="6" width="3.25" style="83" customWidth="1"/>
    <col min="7" max="7" width="13.75" style="83" bestFit="1" customWidth="1"/>
    <col min="8" max="8" width="2.125" style="83" customWidth="1"/>
    <col min="9" max="9" width="8.5" style="83" bestFit="1" customWidth="1"/>
    <col min="10" max="10" width="2.125" style="83" customWidth="1"/>
    <col min="11" max="11" width="12.625" style="83" bestFit="1" customWidth="1"/>
    <col min="12" max="12" width="1.75" style="83" customWidth="1"/>
    <col min="13" max="13" width="8.5" style="83" bestFit="1" customWidth="1"/>
    <col min="14" max="14" width="2" style="83" customWidth="1"/>
    <col min="15" max="15" width="10.5" style="83" bestFit="1" customWidth="1"/>
    <col min="16" max="16" width="1.875" style="83" customWidth="1"/>
    <col min="17" max="17" width="8.5" style="83" bestFit="1" customWidth="1"/>
    <col min="18" max="18" width="3" style="83" customWidth="1"/>
    <col min="19" max="19" width="16.125" style="83" customWidth="1"/>
    <col min="20" max="20" width="13.25" style="83" customWidth="1"/>
    <col min="21" max="21" width="9.25" style="83" customWidth="1"/>
    <col min="22" max="22" width="8.375" style="83" customWidth="1"/>
    <col min="23" max="23" width="2.25" style="83" customWidth="1"/>
    <col min="24" max="16384" width="8.5" style="83"/>
  </cols>
  <sheetData>
    <row r="2" spans="2:24" ht="18.75">
      <c r="B2" s="92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28"/>
      <c r="P2" s="86" t="s">
        <v>0</v>
      </c>
      <c r="Q2" s="128"/>
    </row>
    <row r="3" spans="2:24" ht="18.75">
      <c r="B3" s="87" t="s">
        <v>63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</row>
    <row r="4" spans="2:24" ht="18.75">
      <c r="B4" s="87" t="s">
        <v>88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2:24" ht="18.75">
      <c r="B5" s="87" t="s">
        <v>89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2:24" ht="18.75">
      <c r="B6" s="87" t="s">
        <v>0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24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</row>
    <row r="8" spans="2:24"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X8" s="92"/>
    </row>
    <row r="9" spans="2:24">
      <c r="G9" s="92"/>
      <c r="H9" s="92"/>
      <c r="I9" s="92"/>
      <c r="J9" s="92"/>
      <c r="K9" s="92"/>
      <c r="L9" s="92"/>
      <c r="M9" s="92"/>
      <c r="X9" s="92"/>
    </row>
    <row r="10" spans="2:24">
      <c r="B10" s="92"/>
      <c r="C10" s="92"/>
      <c r="D10" s="92"/>
      <c r="E10" s="92"/>
      <c r="G10" s="92"/>
      <c r="H10" s="92"/>
      <c r="I10" s="92"/>
      <c r="J10" s="92"/>
      <c r="K10" s="92"/>
      <c r="L10" s="92"/>
      <c r="M10" s="92"/>
      <c r="X10" s="92"/>
    </row>
    <row r="11" spans="2:24">
      <c r="B11" s="92"/>
      <c r="C11" s="92"/>
      <c r="D11" s="92"/>
      <c r="E11" s="92"/>
      <c r="G11" s="94"/>
      <c r="H11" s="94"/>
      <c r="I11" s="94"/>
      <c r="J11" s="94"/>
      <c r="K11" s="94"/>
      <c r="L11" s="94"/>
      <c r="M11" s="94"/>
      <c r="O11" s="88"/>
      <c r="P11" s="88"/>
      <c r="Q11" s="88"/>
      <c r="X11" s="92"/>
    </row>
    <row r="12" spans="2:24" ht="15.75" thickBot="1">
      <c r="G12" s="412" t="s">
        <v>90</v>
      </c>
      <c r="H12" s="412"/>
      <c r="I12" s="412"/>
      <c r="K12" s="412" t="s">
        <v>91</v>
      </c>
      <c r="L12" s="412"/>
      <c r="M12" s="412"/>
      <c r="O12" s="412" t="s">
        <v>92</v>
      </c>
      <c r="P12" s="412"/>
      <c r="Q12" s="412"/>
      <c r="X12" s="92"/>
    </row>
    <row r="13" spans="2:24">
      <c r="B13" s="129" t="s">
        <v>93</v>
      </c>
      <c r="G13" s="95" t="s">
        <v>67</v>
      </c>
      <c r="H13" s="93"/>
      <c r="I13" s="93" t="s">
        <v>94</v>
      </c>
      <c r="J13" s="103"/>
      <c r="K13" s="95" t="s">
        <v>7</v>
      </c>
      <c r="L13" s="93"/>
      <c r="M13" s="93" t="s">
        <v>94</v>
      </c>
      <c r="O13" s="93"/>
      <c r="P13" s="93"/>
      <c r="Q13" s="93" t="s">
        <v>94</v>
      </c>
      <c r="S13" s="130" t="s">
        <v>71</v>
      </c>
      <c r="T13" s="131"/>
      <c r="U13" s="132" t="s">
        <v>72</v>
      </c>
      <c r="V13" s="131"/>
      <c r="X13" s="92"/>
    </row>
    <row r="14" spans="2:24">
      <c r="B14" s="133" t="s">
        <v>95</v>
      </c>
      <c r="C14" s="95"/>
      <c r="D14" s="95" t="s">
        <v>96</v>
      </c>
      <c r="G14" s="134" t="s">
        <v>97</v>
      </c>
      <c r="H14" s="93" t="s">
        <v>0</v>
      </c>
      <c r="I14" s="93" t="s">
        <v>98</v>
      </c>
      <c r="J14" s="103"/>
      <c r="K14" s="134" t="s">
        <v>99</v>
      </c>
      <c r="L14" s="93" t="s">
        <v>0</v>
      </c>
      <c r="M14" s="93" t="s">
        <v>98</v>
      </c>
      <c r="O14" s="93" t="s">
        <v>100</v>
      </c>
      <c r="P14" s="93" t="s">
        <v>0</v>
      </c>
      <c r="Q14" s="93" t="s">
        <v>98</v>
      </c>
      <c r="S14" s="135" t="s">
        <v>101</v>
      </c>
      <c r="T14" s="104">
        <f>7.035+V22+V30+V31</f>
        <v>7.3940000000000001</v>
      </c>
      <c r="U14" s="136"/>
      <c r="V14" s="104">
        <f>T14</f>
        <v>7.3940000000000001</v>
      </c>
      <c r="X14" s="92"/>
    </row>
    <row r="15" spans="2:24">
      <c r="B15" s="134" t="s">
        <v>102</v>
      </c>
      <c r="C15" s="95"/>
      <c r="D15" s="137" t="s">
        <v>103</v>
      </c>
      <c r="E15" s="98" t="s">
        <v>26</v>
      </c>
      <c r="G15" s="98" t="s">
        <v>104</v>
      </c>
      <c r="H15" s="93"/>
      <c r="I15" s="98" t="s">
        <v>74</v>
      </c>
      <c r="J15" s="103"/>
      <c r="K15" s="98" t="s">
        <v>104</v>
      </c>
      <c r="L15" s="93"/>
      <c r="M15" s="98" t="s">
        <v>74</v>
      </c>
      <c r="O15" s="98" t="s">
        <v>105</v>
      </c>
      <c r="P15" s="93"/>
      <c r="Q15" s="98" t="s">
        <v>74</v>
      </c>
      <c r="S15" s="135" t="s">
        <v>0</v>
      </c>
      <c r="T15" s="138" t="s">
        <v>0</v>
      </c>
      <c r="U15" s="139" t="s">
        <v>0</v>
      </c>
      <c r="V15" s="138" t="s">
        <v>0</v>
      </c>
      <c r="X15" s="92"/>
    </row>
    <row r="16" spans="2:24">
      <c r="B16" s="93"/>
      <c r="C16" s="95"/>
      <c r="D16" s="137"/>
      <c r="E16" s="93"/>
      <c r="G16" s="93"/>
      <c r="H16" s="93"/>
      <c r="I16" s="93"/>
      <c r="J16" s="103"/>
      <c r="K16" s="93"/>
      <c r="L16" s="93"/>
      <c r="M16" s="93"/>
      <c r="O16" s="93"/>
      <c r="P16" s="93"/>
      <c r="Q16" s="93"/>
      <c r="S16" s="140" t="s">
        <v>98</v>
      </c>
      <c r="T16" s="141"/>
      <c r="U16" s="141"/>
      <c r="V16" s="142"/>
      <c r="X16" s="92"/>
    </row>
    <row r="17" spans="2:24">
      <c r="B17" s="143" t="s">
        <v>106</v>
      </c>
      <c r="C17" s="103"/>
      <c r="G17" s="103"/>
      <c r="H17" s="103"/>
      <c r="I17" s="103"/>
      <c r="J17" s="103"/>
      <c r="S17" s="144" t="s">
        <v>107</v>
      </c>
      <c r="T17" s="145">
        <v>26.02</v>
      </c>
      <c r="U17" s="136"/>
      <c r="V17" s="146">
        <f>T17</f>
        <v>26.02</v>
      </c>
      <c r="X17" s="92"/>
    </row>
    <row r="18" spans="2:24">
      <c r="B18" s="83">
        <v>10</v>
      </c>
      <c r="D18" s="107">
        <v>200</v>
      </c>
      <c r="E18" s="107">
        <f>ROUND((B$18*D18),0)</f>
        <v>2000</v>
      </c>
      <c r="G18" s="147">
        <f>ROUND(((E18*$T$14/100))+(E18*$V$25/100),2)</f>
        <v>132.94</v>
      </c>
      <c r="H18" s="147"/>
      <c r="I18" s="147">
        <f>$B$18*$T$17+V27</f>
        <v>275.84999999999997</v>
      </c>
      <c r="J18" s="127"/>
      <c r="K18" s="147">
        <f>ROUND((($E18*$V$14/100))+(($E18*$V$26)/100),2)</f>
        <v>131.58000000000001</v>
      </c>
      <c r="L18" s="147"/>
      <c r="M18" s="147">
        <f>$B$18*$V$17+$V$27</f>
        <v>275.84999999999997</v>
      </c>
      <c r="O18" s="110">
        <f>ROUND((K18-G18)/G18,4)</f>
        <v>-1.0200000000000001E-2</v>
      </c>
      <c r="P18" s="110"/>
      <c r="Q18" s="110">
        <f>ROUND((M18-I18)/I18,4)</f>
        <v>0</v>
      </c>
      <c r="S18" s="144" t="s">
        <v>108</v>
      </c>
      <c r="T18" s="145">
        <v>18.100000000000001</v>
      </c>
      <c r="U18" s="136"/>
      <c r="V18" s="146">
        <f>T18</f>
        <v>18.100000000000001</v>
      </c>
      <c r="X18" s="92"/>
    </row>
    <row r="19" spans="2:24">
      <c r="D19" s="107">
        <v>300</v>
      </c>
      <c r="E19" s="107">
        <f>ROUND((B$18*D19),0)</f>
        <v>3000</v>
      </c>
      <c r="G19" s="147">
        <f t="shared" ref="G19:G20" si="0">ROUND(((E19*$T$14/100))+(E19*$V$25/100),2)</f>
        <v>199.41</v>
      </c>
      <c r="H19" s="147"/>
      <c r="I19" s="147">
        <f>$B$18*$T$17+V27</f>
        <v>275.84999999999997</v>
      </c>
      <c r="J19" s="127"/>
      <c r="K19" s="147">
        <f t="shared" ref="K19:K20" si="1">ROUND((($E19*$V$14/100))+(($E19*$V$26)/100),2)</f>
        <v>197.37</v>
      </c>
      <c r="L19" s="147"/>
      <c r="M19" s="147">
        <f>$B$18*$V$17+$V$27</f>
        <v>275.84999999999997</v>
      </c>
      <c r="O19" s="110">
        <f>ROUND((K19-G19)/G19,4)</f>
        <v>-1.0200000000000001E-2</v>
      </c>
      <c r="P19" s="110"/>
      <c r="Q19" s="110">
        <f>ROUND((M19-I19)/I19,4)</f>
        <v>0</v>
      </c>
      <c r="S19" s="144" t="s">
        <v>109</v>
      </c>
      <c r="T19" s="145">
        <v>14.16</v>
      </c>
      <c r="U19" s="136"/>
      <c r="V19" s="146">
        <f>T19</f>
        <v>14.16</v>
      </c>
      <c r="X19" s="92"/>
    </row>
    <row r="20" spans="2:24">
      <c r="D20" s="107">
        <v>500</v>
      </c>
      <c r="E20" s="107">
        <f>ROUND((B$18*D20),0)</f>
        <v>5000</v>
      </c>
      <c r="G20" s="147">
        <f t="shared" si="0"/>
        <v>332.35</v>
      </c>
      <c r="H20" s="147"/>
      <c r="I20" s="147">
        <f>$B$18*$T$17+V27</f>
        <v>275.84999999999997</v>
      </c>
      <c r="J20" s="127"/>
      <c r="K20" s="147">
        <f t="shared" si="1"/>
        <v>328.95</v>
      </c>
      <c r="L20" s="147"/>
      <c r="M20" s="147">
        <f>$B$18*$V$17+$V$27</f>
        <v>275.84999999999997</v>
      </c>
      <c r="O20" s="110">
        <f>ROUND((K20-G20)/G20,4)</f>
        <v>-1.0200000000000001E-2</v>
      </c>
      <c r="P20" s="110"/>
      <c r="Q20" s="110">
        <f>ROUND((M20-I20)/I20,4)</f>
        <v>0</v>
      </c>
      <c r="S20" s="144" t="s">
        <v>108</v>
      </c>
      <c r="T20" s="148">
        <v>362</v>
      </c>
      <c r="U20" s="136"/>
      <c r="V20" s="149">
        <f>T20</f>
        <v>362</v>
      </c>
      <c r="X20" s="92"/>
    </row>
    <row r="21" spans="2:24">
      <c r="G21" s="147"/>
      <c r="H21" s="147"/>
      <c r="I21" s="147"/>
      <c r="J21" s="127"/>
      <c r="K21" s="147"/>
      <c r="L21" s="147"/>
      <c r="M21" s="147"/>
      <c r="S21" s="150" t="s">
        <v>109</v>
      </c>
      <c r="T21" s="151">
        <v>1504</v>
      </c>
      <c r="U21" s="152"/>
      <c r="V21" s="153">
        <f>T21</f>
        <v>1504</v>
      </c>
      <c r="X21" s="92"/>
    </row>
    <row r="22" spans="2:24">
      <c r="B22" s="143" t="s">
        <v>110</v>
      </c>
      <c r="C22" s="103"/>
      <c r="G22" s="147"/>
      <c r="H22" s="147"/>
      <c r="I22" s="147"/>
      <c r="J22" s="127"/>
      <c r="K22" s="147"/>
      <c r="L22" s="147"/>
      <c r="M22" s="147"/>
      <c r="T22" s="113" t="s">
        <v>80</v>
      </c>
      <c r="U22" s="113"/>
      <c r="V22" s="114">
        <v>0.35499999999999998</v>
      </c>
      <c r="X22" s="92"/>
    </row>
    <row r="23" spans="2:24">
      <c r="B23" s="83">
        <v>20</v>
      </c>
      <c r="D23" s="107">
        <v>200</v>
      </c>
      <c r="E23" s="107">
        <f>ROUND((B$23*D23),0)</f>
        <v>4000</v>
      </c>
      <c r="G23" s="147">
        <f>ROUND(((E23*$T$14/100))+(E23*$V$25/100),2)</f>
        <v>265.88</v>
      </c>
      <c r="H23" s="147"/>
      <c r="I23" s="147">
        <f>IF($B$23&lt;51,$B$23*$T$17,IF($B$23&lt;301,$B$23*$T$18+$T$20,$T$21+$T$19*$B$23))+V27</f>
        <v>536.04999999999995</v>
      </c>
      <c r="J23" s="127"/>
      <c r="K23" s="147">
        <f>ROUND((($E23*$V$14/100))+(($E23*$V$26)/100),2)</f>
        <v>263.16000000000003</v>
      </c>
      <c r="L23" s="147"/>
      <c r="M23" s="147">
        <f>IF($B$23&lt;51,$B$23*$V$17,IF($B$23&lt;301,$B$23*$V$18+$V$20,$V$21+$V$19*$B$23))+$V$27</f>
        <v>536.04999999999995</v>
      </c>
      <c r="O23" s="110">
        <f>ROUND((K23-G23)/G23,4)</f>
        <v>-1.0200000000000001E-2</v>
      </c>
      <c r="P23" s="110"/>
      <c r="Q23" s="110">
        <f>ROUND((M23-I23)/I23,4)</f>
        <v>0</v>
      </c>
      <c r="T23" s="113"/>
      <c r="U23" s="113"/>
      <c r="V23" s="114">
        <v>0.35499999999999998</v>
      </c>
      <c r="X23" s="92"/>
    </row>
    <row r="24" spans="2:24">
      <c r="D24" s="107">
        <v>300</v>
      </c>
      <c r="E24" s="107">
        <f>ROUND((B$23*D24),0)</f>
        <v>6000</v>
      </c>
      <c r="G24" s="147">
        <f>ROUND(((E24*$T$14/100))+(E24*$V$25/100),2)</f>
        <v>398.82</v>
      </c>
      <c r="H24" s="147"/>
      <c r="I24" s="147">
        <f>IF($B$23&lt;51,$B$23*$T$17,IF($B$23&lt;301,$B$23*$T$18+$T$20,$T$21+$T$19*$B$23))+V27</f>
        <v>536.04999999999995</v>
      </c>
      <c r="J24" s="127"/>
      <c r="K24" s="147">
        <f>ROUND((($E24*$V$14/100))+(($E24*$V$26)/100),2)</f>
        <v>394.74</v>
      </c>
      <c r="L24" s="147"/>
      <c r="M24" s="147">
        <f t="shared" ref="M24:M25" si="2">IF($B$23&lt;51,$B$23*$V$17,IF($B$23&lt;301,$B$23*$V$18+$V$20,$V$21+$V$19*$B$23))+$V$27</f>
        <v>536.04999999999995</v>
      </c>
      <c r="O24" s="110">
        <f>ROUND((K24-G24)/G24,4)</f>
        <v>-1.0200000000000001E-2</v>
      </c>
      <c r="P24" s="110"/>
      <c r="Q24" s="110">
        <f>ROUND((M24-I24)/I24,4)</f>
        <v>0</v>
      </c>
      <c r="T24" s="113"/>
      <c r="U24" s="113"/>
      <c r="V24" s="117"/>
    </row>
    <row r="25" spans="2:24">
      <c r="D25" s="107">
        <v>500</v>
      </c>
      <c r="E25" s="107">
        <f>ROUND((B$23*D25),0)</f>
        <v>10000</v>
      </c>
      <c r="G25" s="147">
        <f>ROUND(((E25*$T$14/100))+(E25*$V$25/100),2)</f>
        <v>664.7</v>
      </c>
      <c r="H25" s="147"/>
      <c r="I25" s="147">
        <f>IF($B$23&lt;51,$B$23*$T$17,IF($B$23&lt;301,$B$23*$T$18+$T$20,$T$21+$T$19*$B$23))+V27</f>
        <v>536.04999999999995</v>
      </c>
      <c r="J25" s="127"/>
      <c r="K25" s="147">
        <f>ROUND((($E25*$V$14/100))+(($E25*$V$26)/100),2)</f>
        <v>657.9</v>
      </c>
      <c r="L25" s="147"/>
      <c r="M25" s="147">
        <f t="shared" si="2"/>
        <v>536.04999999999995</v>
      </c>
      <c r="O25" s="110">
        <f>ROUND((K25-G25)/G25,4)</f>
        <v>-1.0200000000000001E-2</v>
      </c>
      <c r="P25" s="110"/>
      <c r="Q25" s="110">
        <f>ROUND((M25-I25)/I25,4)</f>
        <v>0</v>
      </c>
      <c r="T25" s="113" t="s">
        <v>81</v>
      </c>
      <c r="U25" s="113"/>
      <c r="V25" s="114">
        <v>-0.747</v>
      </c>
    </row>
    <row r="26" spans="2:24">
      <c r="G26" s="147"/>
      <c r="H26" s="147"/>
      <c r="I26" s="147"/>
      <c r="J26" s="127"/>
      <c r="K26" s="147"/>
      <c r="L26" s="147"/>
      <c r="M26" s="147"/>
      <c r="T26" s="83" t="s">
        <v>0</v>
      </c>
      <c r="U26" s="83" t="s">
        <v>0</v>
      </c>
      <c r="V26" s="188">
        <f>'Attachment B'!B16</f>
        <v>-0.81499999999999995</v>
      </c>
    </row>
    <row r="27" spans="2:24">
      <c r="B27" s="83">
        <v>100</v>
      </c>
      <c r="D27" s="107">
        <v>200</v>
      </c>
      <c r="E27" s="107">
        <f>ROUND((B$27*D27),0)</f>
        <v>20000</v>
      </c>
      <c r="G27" s="147">
        <f>ROUND(((E27*$T$14/100))+(E27*$V$25/100),2)</f>
        <v>1329.4</v>
      </c>
      <c r="H27" s="147"/>
      <c r="I27" s="147">
        <f>IF($B$27&lt;51,$B$27*$T$17,IF($B$27&lt;301,$B$27*$T$18+$T$20,$T$21+$T$19*$B$27))+V27</f>
        <v>2187.65</v>
      </c>
      <c r="J27" s="127"/>
      <c r="K27" s="147">
        <f>ROUND((($E27*$V$14/100))+(($E27*$V$26)/100),2)</f>
        <v>1315.8</v>
      </c>
      <c r="L27" s="147"/>
      <c r="M27" s="147">
        <f>IF($B$27&lt;51,$B$27*$V$17,IF($B$27&lt;301,$B$27*$V$18+$V$20,$V$21+$V$19*$B$27))+$V$27</f>
        <v>2187.65</v>
      </c>
      <c r="O27" s="110">
        <f>ROUND((K27-G27)/G27,4)</f>
        <v>-1.0200000000000001E-2</v>
      </c>
      <c r="P27" s="110"/>
      <c r="Q27" s="110">
        <f>ROUND((M27-I27)/I27,4)</f>
        <v>0</v>
      </c>
      <c r="T27" s="83" t="s">
        <v>111</v>
      </c>
      <c r="V27" s="154">
        <v>15.65</v>
      </c>
      <c r="W27" s="83" t="s">
        <v>0</v>
      </c>
    </row>
    <row r="28" spans="2:24">
      <c r="D28" s="107">
        <v>300</v>
      </c>
      <c r="E28" s="107">
        <f>ROUND((B$27*D28),0)</f>
        <v>30000</v>
      </c>
      <c r="G28" s="147">
        <f>ROUND(((E28*$T$14/100))+(E28*$V$25/100),2)</f>
        <v>1994.1</v>
      </c>
      <c r="H28" s="147"/>
      <c r="I28" s="147">
        <f>IF($B$27&lt;51,$B$27*$T$17,IF($B$27&lt;301,$B$27*$T$18+$T$20,$T$21+$T$19*$B$27))+V27</f>
        <v>2187.65</v>
      </c>
      <c r="J28" s="127"/>
      <c r="K28" s="147">
        <f>ROUND((($E28*$V$14/100))+(($E28*$V$26)/100),2)</f>
        <v>1973.7</v>
      </c>
      <c r="L28" s="147"/>
      <c r="M28" s="147">
        <f t="shared" ref="M28:M29" si="3">IF($B$27&lt;51,$B$27*$V$17,IF($B$27&lt;301,$B$27*$V$18+$V$20,$V$21+$V$19*$B$27))+$V$27</f>
        <v>2187.65</v>
      </c>
      <c r="O28" s="110">
        <f>ROUND((K28-G28)/G28,4)</f>
        <v>-1.0200000000000001E-2</v>
      </c>
      <c r="P28" s="110"/>
      <c r="Q28" s="110">
        <f>ROUND((M28-I28)/I28,4)</f>
        <v>0</v>
      </c>
      <c r="V28" s="154">
        <v>15.65</v>
      </c>
    </row>
    <row r="29" spans="2:24">
      <c r="D29" s="107">
        <v>500</v>
      </c>
      <c r="E29" s="107">
        <f>ROUND((B$27*D29),0)</f>
        <v>50000</v>
      </c>
      <c r="G29" s="147">
        <f>ROUND(((E29*$T$14/100))+(E29*$V$25/100),2)</f>
        <v>3323.5</v>
      </c>
      <c r="H29" s="147"/>
      <c r="I29" s="147">
        <f>IF($B$27&lt;51,$B$27*$T$17,IF($B$27&lt;301,$B$27*$T$18+$T$20,$T$21+$T$19*$B$27))+V27</f>
        <v>2187.65</v>
      </c>
      <c r="J29" s="127"/>
      <c r="K29" s="147">
        <f>ROUND((($E29*$V$14/100))+(($E29*$V$26)/100),2)</f>
        <v>3289.5</v>
      </c>
      <c r="L29" s="147"/>
      <c r="M29" s="147">
        <f t="shared" si="3"/>
        <v>2187.65</v>
      </c>
      <c r="O29" s="110">
        <f>ROUND((K29-G29)/G29,4)</f>
        <v>-1.0200000000000001E-2</v>
      </c>
      <c r="P29" s="110"/>
      <c r="Q29" s="110">
        <f>ROUND((M29-I29)/I29,4)</f>
        <v>0</v>
      </c>
    </row>
    <row r="30" spans="2:24">
      <c r="G30" s="147"/>
      <c r="H30" s="147"/>
      <c r="I30" s="147"/>
      <c r="J30" s="127"/>
      <c r="K30" s="147"/>
      <c r="L30" s="147"/>
      <c r="M30" s="147"/>
      <c r="T30" s="83" t="s">
        <v>234</v>
      </c>
      <c r="V30" s="188">
        <v>4.0000000000000001E-3</v>
      </c>
    </row>
    <row r="31" spans="2:24">
      <c r="B31" s="83">
        <v>300</v>
      </c>
      <c r="D31" s="107">
        <v>200</v>
      </c>
      <c r="E31" s="107">
        <f>ROUND((B$31*D31),0)</f>
        <v>60000</v>
      </c>
      <c r="G31" s="147">
        <f>ROUND(((E31*$T$14/100))+(E31*$V$25/100),2)</f>
        <v>3988.2</v>
      </c>
      <c r="H31" s="147"/>
      <c r="I31" s="147">
        <f>IF($B$31&lt;51,$B$31*$T$17,IF($B$31&lt;301,$B$31*$T$18+$T$20,$T$21+$T$19*$B$31))+V27</f>
        <v>5807.65</v>
      </c>
      <c r="J31" s="127"/>
      <c r="K31" s="147">
        <f>ROUND((($E31*$V$14/100))+(($E31*$V$26)/100),2)</f>
        <v>3947.4</v>
      </c>
      <c r="L31" s="147"/>
      <c r="M31" s="147">
        <f>IF($B$31&lt;51,$B$31*$V$17,IF($B$31&lt;301,$B$31*$V$18+$V$20,$V$21+$V$19*$B$31))+$V$27</f>
        <v>5807.65</v>
      </c>
      <c r="O31" s="110">
        <f>ROUND((K31-G31)/G31,4)</f>
        <v>-1.0200000000000001E-2</v>
      </c>
      <c r="P31" s="110"/>
      <c r="Q31" s="110">
        <f>ROUND((M31-I31)/I31,4)</f>
        <v>0</v>
      </c>
      <c r="T31" s="83" t="s">
        <v>83</v>
      </c>
      <c r="V31" s="83">
        <v>0</v>
      </c>
    </row>
    <row r="32" spans="2:24">
      <c r="D32" s="107">
        <v>300</v>
      </c>
      <c r="E32" s="107">
        <f>ROUND((B$31*D32),0)</f>
        <v>90000</v>
      </c>
      <c r="G32" s="147">
        <f>ROUND(((E32*$T$14/100))+(E32*$V$25/100),2)</f>
        <v>5982.3</v>
      </c>
      <c r="H32" s="147"/>
      <c r="I32" s="147">
        <f>IF($B$31&lt;51,$B$31*$T$17,IF($B$31&lt;301,$B$31*$T$18+$T$20,$T$21+$T$19*$B$31))+V27</f>
        <v>5807.65</v>
      </c>
      <c r="J32" s="127"/>
      <c r="K32" s="147">
        <f>ROUND((($E32*$V$14/100))+(($E32*$V$26)/100),2)</f>
        <v>5921.1</v>
      </c>
      <c r="L32" s="147"/>
      <c r="M32" s="147">
        <f>IF($B$31&lt;51,$B$31*$V$17,IF($B$31&lt;301,$B$31*$V$18+$V$20,$V$21+$V$19*$B$31))+$V$27</f>
        <v>5807.65</v>
      </c>
      <c r="O32" s="110">
        <f>ROUND((K32-G32)/G32,4)</f>
        <v>-1.0200000000000001E-2</v>
      </c>
      <c r="P32" s="110"/>
      <c r="Q32" s="110">
        <f>ROUND((M32-I32)/I32,4)</f>
        <v>0</v>
      </c>
    </row>
    <row r="33" spans="2:20">
      <c r="D33" s="107">
        <v>500</v>
      </c>
      <c r="E33" s="107">
        <f>ROUND((B$31*D33),0)</f>
        <v>150000</v>
      </c>
      <c r="G33" s="147">
        <f>ROUND(((E33*$T$14/100))+(E33*$V$25/100),2)</f>
        <v>9970.5</v>
      </c>
      <c r="H33" s="147"/>
      <c r="I33" s="147">
        <f>IF($B$31&lt;51,$B$31*$T$17,IF($B$31&lt;301,$B$31*$T$18+$T$20,$T$21+$T$19*$B$31))+V27</f>
        <v>5807.65</v>
      </c>
      <c r="J33" s="127"/>
      <c r="K33" s="147">
        <f>ROUND((($E33*$V$14/100))+(($E33*$V$26)/100),2)</f>
        <v>9868.5</v>
      </c>
      <c r="L33" s="147"/>
      <c r="M33" s="147">
        <f>IF($B$31&lt;51,$B$31*$V$17,IF($B$31&lt;301,$B$31*$V$18+$V$20,$V$21+$V$19*$B$31))+$V$27</f>
        <v>5807.65</v>
      </c>
      <c r="O33" s="110">
        <f>ROUND((K33-G33)/G33,4)</f>
        <v>-1.0200000000000001E-2</v>
      </c>
      <c r="P33" s="110"/>
      <c r="Q33" s="110">
        <f>ROUND((M33-I33)/I33,4)</f>
        <v>0</v>
      </c>
      <c r="S33" s="118" t="s">
        <v>84</v>
      </c>
      <c r="T33" s="155">
        <f>'Attachment D'!W25</f>
        <v>-5.5777669027813441E-3</v>
      </c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</row>
    <row r="36" spans="2:20">
      <c r="C36" s="125"/>
    </row>
    <row r="37" spans="2:20">
      <c r="B37" s="83" t="s">
        <v>86</v>
      </c>
      <c r="C37" s="125"/>
    </row>
    <row r="38" spans="2:20">
      <c r="B38" s="156" t="s">
        <v>112</v>
      </c>
      <c r="C38" s="125"/>
    </row>
    <row r="39" spans="2:20">
      <c r="B39" s="125" t="s">
        <v>113</v>
      </c>
      <c r="C39" s="125"/>
    </row>
    <row r="40" spans="2:20">
      <c r="B40" s="125"/>
      <c r="C40" s="125"/>
    </row>
    <row r="41" spans="2:20">
      <c r="B41" s="125"/>
      <c r="C41" s="125"/>
    </row>
    <row r="42" spans="2:20">
      <c r="B42" s="125"/>
      <c r="C42" s="125"/>
    </row>
    <row r="43" spans="2:20">
      <c r="B43" s="125"/>
      <c r="C43" s="125"/>
    </row>
    <row r="44" spans="2:20">
      <c r="B44" s="125"/>
      <c r="C44" s="125"/>
    </row>
    <row r="45" spans="2:20">
      <c r="B45" s="125"/>
      <c r="C45" s="125"/>
    </row>
    <row r="46" spans="2:20">
      <c r="B46" s="125"/>
      <c r="C46" s="125"/>
    </row>
    <row r="47" spans="2:20">
      <c r="B47" s="125"/>
      <c r="C47" s="125"/>
    </row>
    <row r="48" spans="2:20">
      <c r="B48" s="125"/>
      <c r="C48" s="125"/>
      <c r="P48" s="127"/>
    </row>
    <row r="49" spans="2:3">
      <c r="B49" s="125"/>
      <c r="C49" s="125"/>
    </row>
    <row r="50" spans="2:3">
      <c r="B50" s="125"/>
      <c r="C50" s="125"/>
    </row>
    <row r="51" spans="2:3">
      <c r="B51" s="125"/>
      <c r="C51" s="125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B1:AE59"/>
  <sheetViews>
    <sheetView view="pageBreakPreview" topLeftCell="B1" zoomScale="70" zoomScaleNormal="55" zoomScaleSheetLayoutView="70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8.875" style="1" bestFit="1" customWidth="1"/>
    <col min="9" max="9" width="2" style="1" customWidth="1"/>
    <col min="10" max="10" width="10.5" style="1" bestFit="1" customWidth="1"/>
    <col min="11" max="11" width="2.875" style="1" customWidth="1"/>
    <col min="12" max="12" width="10" style="1" bestFit="1" customWidth="1"/>
    <col min="13" max="13" width="2.75" style="1" customWidth="1"/>
    <col min="14" max="14" width="10" style="1" bestFit="1" customWidth="1"/>
    <col min="15" max="15" width="2.625" style="1" customWidth="1"/>
    <col min="16" max="16" width="8" style="1" bestFit="1" customWidth="1"/>
    <col min="17" max="17" width="8.75" style="1" bestFit="1" customWidth="1"/>
    <col min="18" max="18" width="1.875" style="1" customWidth="1"/>
    <col min="19" max="19" width="10" style="1" bestFit="1" customWidth="1"/>
    <col min="20" max="20" width="2.625" style="1" customWidth="1"/>
    <col min="21" max="21" width="8" style="1" bestFit="1" customWidth="1"/>
    <col min="22" max="22" width="8.75" style="1" bestFit="1" customWidth="1"/>
    <col min="23" max="24" width="11.75" style="1" bestFit="1" customWidth="1"/>
    <col min="25" max="25" width="2.125" style="1" customWidth="1"/>
    <col min="26" max="26" width="3.125" style="1" customWidth="1"/>
    <col min="27" max="27" width="7.25" style="1" customWidth="1"/>
    <col min="28" max="28" width="0.125" style="1" customWidth="1"/>
    <col min="29" max="29" width="10.25" style="1" customWidth="1"/>
    <col min="30" max="30" width="13.5" style="1" bestFit="1" customWidth="1"/>
    <col min="31" max="16384" width="10.25" style="1"/>
  </cols>
  <sheetData>
    <row r="1" spans="2:31" ht="18.75">
      <c r="C1" s="203"/>
      <c r="D1" s="204"/>
      <c r="N1" s="3" t="s">
        <v>0</v>
      </c>
      <c r="S1" s="3" t="s">
        <v>0</v>
      </c>
    </row>
    <row r="2" spans="2:31">
      <c r="B2" s="417" t="s">
        <v>1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5"/>
      <c r="X2" s="5"/>
      <c r="Y2" s="5"/>
    </row>
    <row r="3" spans="2:31">
      <c r="B3" s="418" t="s">
        <v>2</v>
      </c>
      <c r="C3" s="418"/>
      <c r="D3" s="418"/>
      <c r="E3" s="418"/>
      <c r="F3" s="418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418"/>
      <c r="R3" s="418"/>
      <c r="S3" s="418"/>
      <c r="T3" s="418"/>
      <c r="U3" s="418"/>
      <c r="V3" s="418"/>
      <c r="W3" s="4"/>
      <c r="X3" s="4"/>
      <c r="Y3" s="4"/>
      <c r="Z3" s="4"/>
      <c r="AA3" s="4"/>
      <c r="AB3" s="4"/>
    </row>
    <row r="4" spans="2:31">
      <c r="B4" s="418" t="s">
        <v>226</v>
      </c>
      <c r="C4" s="418"/>
      <c r="D4" s="418"/>
      <c r="E4" s="418"/>
      <c r="F4" s="418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"/>
      <c r="X4" s="4"/>
      <c r="Y4" s="4"/>
      <c r="Z4" s="4"/>
      <c r="AA4" s="4"/>
      <c r="AB4" s="4"/>
    </row>
    <row r="5" spans="2:31">
      <c r="B5" s="418" t="s">
        <v>3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"/>
      <c r="X5" s="4"/>
      <c r="Y5" s="4"/>
      <c r="Z5" s="4"/>
      <c r="AA5" s="4"/>
      <c r="AB5" s="4"/>
    </row>
    <row r="6" spans="2:31">
      <c r="B6" s="418" t="s">
        <v>4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418"/>
      <c r="N6" s="418"/>
      <c r="O6" s="418"/>
      <c r="P6" s="418"/>
      <c r="Q6" s="418"/>
      <c r="R6" s="418"/>
      <c r="S6" s="418"/>
      <c r="T6" s="418"/>
      <c r="U6" s="418"/>
      <c r="V6" s="418"/>
      <c r="W6" s="4"/>
      <c r="X6" s="4"/>
      <c r="Y6" s="4"/>
      <c r="Z6" s="4"/>
      <c r="AA6" s="4"/>
      <c r="AB6" s="4"/>
    </row>
    <row r="7" spans="2:31">
      <c r="B7" s="417" t="s">
        <v>289</v>
      </c>
      <c r="C7" s="417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5"/>
      <c r="X7" s="5"/>
      <c r="Y7" s="5"/>
      <c r="Z7" s="5"/>
      <c r="AA7" s="5"/>
      <c r="AB7" s="5"/>
    </row>
    <row r="8" spans="2:31">
      <c r="K8" s="6"/>
      <c r="L8" s="7"/>
      <c r="M8" s="8"/>
      <c r="N8" s="419" t="s">
        <v>290</v>
      </c>
      <c r="O8" s="420"/>
      <c r="P8" s="420"/>
      <c r="Q8" s="421"/>
      <c r="R8" s="8"/>
      <c r="S8" s="419" t="s">
        <v>291</v>
      </c>
      <c r="T8" s="420"/>
      <c r="U8" s="420"/>
      <c r="V8" s="421"/>
      <c r="W8" s="345" t="s">
        <v>292</v>
      </c>
      <c r="X8" s="345" t="s">
        <v>293</v>
      </c>
      <c r="Y8" s="8"/>
      <c r="Z8" s="8"/>
      <c r="AA8" s="8"/>
      <c r="AB8" s="8"/>
      <c r="AC8" s="6"/>
      <c r="AD8" s="6"/>
      <c r="AE8" s="6"/>
    </row>
    <row r="9" spans="2:31">
      <c r="L9" s="9" t="s">
        <v>6</v>
      </c>
      <c r="M9" s="10"/>
      <c r="N9" s="422" t="s">
        <v>7</v>
      </c>
      <c r="O9" s="423"/>
      <c r="P9" s="423"/>
      <c r="Q9" s="424"/>
      <c r="R9" s="10"/>
      <c r="S9" s="422" t="s">
        <v>7</v>
      </c>
      <c r="T9" s="423"/>
      <c r="U9" s="423"/>
      <c r="V9" s="424"/>
      <c r="W9" s="200" t="s">
        <v>7</v>
      </c>
      <c r="X9" s="200" t="s">
        <v>7</v>
      </c>
      <c r="Y9" s="10"/>
      <c r="Z9" s="10"/>
      <c r="AA9" s="10"/>
      <c r="AB9" s="10"/>
    </row>
    <row r="10" spans="2:31">
      <c r="F10" s="12" t="s">
        <v>10</v>
      </c>
      <c r="G10" s="12"/>
      <c r="L10" s="200" t="s">
        <v>12</v>
      </c>
      <c r="M10" s="13"/>
      <c r="N10" s="200" t="s">
        <v>12</v>
      </c>
      <c r="O10" s="200"/>
      <c r="P10" s="11" t="s">
        <v>0</v>
      </c>
      <c r="Q10" s="11"/>
      <c r="R10" s="11"/>
      <c r="S10" s="200" t="s">
        <v>12</v>
      </c>
      <c r="T10" s="200"/>
      <c r="U10" s="11" t="s">
        <v>0</v>
      </c>
      <c r="V10" s="11"/>
      <c r="W10" s="200" t="s">
        <v>8</v>
      </c>
      <c r="X10" s="200" t="s">
        <v>8</v>
      </c>
      <c r="Y10" s="11"/>
      <c r="Z10" s="14"/>
      <c r="AA10" s="11"/>
      <c r="AB10" s="14"/>
    </row>
    <row r="11" spans="2:31">
      <c r="B11" s="14" t="s">
        <v>14</v>
      </c>
      <c r="F11" s="12" t="s">
        <v>15</v>
      </c>
      <c r="G11" s="12"/>
      <c r="H11" s="9" t="s">
        <v>11</v>
      </c>
      <c r="L11" s="9" t="s">
        <v>18</v>
      </c>
      <c r="M11" s="14"/>
      <c r="N11" s="190" t="s">
        <v>18</v>
      </c>
      <c r="O11" s="9"/>
      <c r="P11" s="15" t="s">
        <v>19</v>
      </c>
      <c r="Q11" s="9" t="s">
        <v>12</v>
      </c>
      <c r="R11" s="14"/>
      <c r="S11" s="190" t="s">
        <v>18</v>
      </c>
      <c r="T11" s="9"/>
      <c r="U11" s="15" t="s">
        <v>19</v>
      </c>
      <c r="V11" s="9" t="s">
        <v>12</v>
      </c>
      <c r="W11" s="9" t="s">
        <v>20</v>
      </c>
      <c r="X11" s="9" t="s">
        <v>20</v>
      </c>
      <c r="Y11" s="14"/>
      <c r="Z11" s="14"/>
      <c r="AA11" s="200"/>
      <c r="AB11" s="16"/>
      <c r="AC11" s="6"/>
    </row>
    <row r="12" spans="2:31">
      <c r="B12" s="17" t="s">
        <v>21</v>
      </c>
      <c r="D12" s="18" t="s">
        <v>22</v>
      </c>
      <c r="F12" s="18" t="s">
        <v>21</v>
      </c>
      <c r="G12" s="19"/>
      <c r="H12" s="211" t="s">
        <v>16</v>
      </c>
      <c r="J12" s="211" t="s">
        <v>17</v>
      </c>
      <c r="L12" s="21" t="s">
        <v>23</v>
      </c>
      <c r="M12" s="200"/>
      <c r="N12" s="191" t="s">
        <v>23</v>
      </c>
      <c r="O12" s="22"/>
      <c r="P12" s="23" t="s">
        <v>23</v>
      </c>
      <c r="Q12" s="211" t="s">
        <v>24</v>
      </c>
      <c r="R12" s="16"/>
      <c r="S12" s="191" t="s">
        <v>23</v>
      </c>
      <c r="T12" s="22"/>
      <c r="U12" s="23" t="s">
        <v>23</v>
      </c>
      <c r="V12" s="211" t="s">
        <v>24</v>
      </c>
      <c r="W12" s="21" t="s">
        <v>25</v>
      </c>
      <c r="X12" s="21" t="s">
        <v>25</v>
      </c>
      <c r="Y12" s="16"/>
      <c r="Z12" s="16"/>
      <c r="AA12" s="200"/>
      <c r="AB12" s="16"/>
      <c r="AC12" s="6"/>
    </row>
    <row r="13" spans="2:31">
      <c r="B13" s="25"/>
      <c r="D13" s="15" t="s">
        <v>27</v>
      </c>
      <c r="F13" s="15" t="s">
        <v>28</v>
      </c>
      <c r="G13" s="12"/>
      <c r="H13" s="15" t="s">
        <v>29</v>
      </c>
      <c r="J13" s="15" t="s">
        <v>30</v>
      </c>
      <c r="L13" s="15" t="s">
        <v>31</v>
      </c>
      <c r="M13" s="15"/>
      <c r="N13" s="15" t="s">
        <v>32</v>
      </c>
      <c r="O13" s="15"/>
      <c r="P13" s="15" t="s">
        <v>33</v>
      </c>
      <c r="Q13" s="15" t="s">
        <v>34</v>
      </c>
      <c r="R13" s="15"/>
      <c r="S13" s="15" t="s">
        <v>35</v>
      </c>
      <c r="T13" s="15"/>
      <c r="U13" s="15" t="s">
        <v>36</v>
      </c>
      <c r="V13" s="15" t="s">
        <v>143</v>
      </c>
      <c r="W13" s="15" t="s">
        <v>144</v>
      </c>
      <c r="X13" s="15" t="s">
        <v>294</v>
      </c>
      <c r="Y13" s="15"/>
      <c r="Z13" s="15"/>
      <c r="AA13" s="13"/>
      <c r="AB13" s="13"/>
      <c r="AC13" s="6"/>
    </row>
    <row r="14" spans="2:31">
      <c r="M14" s="15"/>
      <c r="N14" s="15" t="s">
        <v>0</v>
      </c>
      <c r="Q14" s="15" t="s">
        <v>37</v>
      </c>
      <c r="S14" s="15" t="s">
        <v>0</v>
      </c>
      <c r="V14" s="15" t="s">
        <v>295</v>
      </c>
      <c r="W14" s="15" t="s">
        <v>38</v>
      </c>
      <c r="X14" s="15" t="s">
        <v>38</v>
      </c>
      <c r="AA14" s="6"/>
      <c r="AB14" s="6"/>
      <c r="AC14" s="6"/>
    </row>
    <row r="15" spans="2:31">
      <c r="D15" s="26" t="s">
        <v>39</v>
      </c>
      <c r="AA15" s="6"/>
      <c r="AB15" s="6"/>
      <c r="AC15" s="6"/>
    </row>
    <row r="16" spans="2:31">
      <c r="B16" s="14">
        <v>1</v>
      </c>
      <c r="D16" s="2" t="s">
        <v>40</v>
      </c>
      <c r="F16" s="27" t="s">
        <v>145</v>
      </c>
      <c r="G16" s="27"/>
      <c r="H16" s="28">
        <f>'[60]Exhibit No.__(JRS-11) p1-8'!C89/12</f>
        <v>105258.64978493931</v>
      </c>
      <c r="I16" s="3"/>
      <c r="J16" s="28">
        <f>'[60]Exhibit No.__(JRS-11) p1-8'!C101/1000</f>
        <v>1569786.6374891768</v>
      </c>
      <c r="L16" s="29">
        <f>'[60]Exhibit No.__(JRS-11) p1-8'!F101/1000</f>
        <v>142933.87703273332</v>
      </c>
      <c r="M16" s="30"/>
      <c r="N16" s="29">
        <f>'[60]Exhibit No.__(JRS-11) p1-8'!I101/1000</f>
        <v>145355.24003273333</v>
      </c>
      <c r="O16" s="29"/>
      <c r="P16" s="29">
        <f>('[60]Rate Design Work eff 10-14-16'!I100-'[60]Rate Design Work eff 10-14-16'!F100)/1000</f>
        <v>2421.3629999999998</v>
      </c>
      <c r="Q16" s="30">
        <f>P16/L16</f>
        <v>1.6940441624244774E-2</v>
      </c>
      <c r="R16" s="30"/>
      <c r="S16" s="29">
        <f>'[60]Exhibit No.__(JRS-12) p1-8'!I101/1000</f>
        <v>148768.01803273332</v>
      </c>
      <c r="T16" s="29"/>
      <c r="U16" s="29">
        <f>('[60]Rate Design Work eff 9-15-17'!I100-'[60]Rate Design Work eff 9-15-17'!F100)/1000</f>
        <v>3412.7779999999998</v>
      </c>
      <c r="V16" s="30">
        <f>U16/N16</f>
        <v>2.3478878361945933E-2</v>
      </c>
      <c r="W16" s="34">
        <f>N16/J16*100</f>
        <v>9.2595539139780403</v>
      </c>
      <c r="X16" s="34">
        <f>S16/J16*100</f>
        <v>9.4769578540102088</v>
      </c>
      <c r="Y16" s="30"/>
      <c r="Z16" s="30"/>
      <c r="AA16" s="35" t="s">
        <v>0</v>
      </c>
      <c r="AB16" s="36"/>
      <c r="AC16" s="37" t="s">
        <v>0</v>
      </c>
      <c r="AD16" s="3" t="s">
        <v>0</v>
      </c>
    </row>
    <row r="17" spans="2:31">
      <c r="H17" s="38"/>
      <c r="J17" s="38"/>
      <c r="L17" s="38"/>
      <c r="M17" s="6"/>
      <c r="N17" s="38"/>
      <c r="O17" s="6"/>
      <c r="P17" s="38"/>
      <c r="Q17" s="346"/>
      <c r="R17" s="6"/>
      <c r="S17" s="38"/>
      <c r="T17" s="6"/>
      <c r="U17" s="38"/>
      <c r="V17" s="346"/>
      <c r="W17" s="39"/>
      <c r="X17" s="39"/>
      <c r="Y17" s="6"/>
      <c r="Z17" s="6"/>
      <c r="AA17" s="347"/>
      <c r="AB17" s="6"/>
      <c r="AC17" s="6"/>
    </row>
    <row r="18" spans="2:31">
      <c r="Q18" s="348"/>
      <c r="V18" s="348"/>
      <c r="AA18" s="347"/>
      <c r="AB18" s="6"/>
      <c r="AC18" s="6"/>
    </row>
    <row r="19" spans="2:31">
      <c r="B19" s="44">
        <f>MAX(B$13:B18)+1</f>
        <v>2</v>
      </c>
      <c r="D19" s="26" t="s">
        <v>41</v>
      </c>
      <c r="H19" s="45">
        <f>SUM(H16:H16)</f>
        <v>105258.64978493931</v>
      </c>
      <c r="J19" s="45">
        <f>SUM(J16:J16)</f>
        <v>1569786.6374891768</v>
      </c>
      <c r="K19" s="45"/>
      <c r="L19" s="46">
        <f>SUM(L16:L16)</f>
        <v>142933.87703273332</v>
      </c>
      <c r="M19" s="30"/>
      <c r="N19" s="46">
        <f>SUM(N16:N16)</f>
        <v>145355.24003273333</v>
      </c>
      <c r="O19" s="46"/>
      <c r="P19" s="29">
        <f>SUM(P16)</f>
        <v>2421.3629999999998</v>
      </c>
      <c r="Q19" s="30">
        <f>P19/L19</f>
        <v>1.6940441624244774E-2</v>
      </c>
      <c r="R19" s="30"/>
      <c r="S19" s="46">
        <f>SUM(S16:S16)</f>
        <v>148768.01803273332</v>
      </c>
      <c r="T19" s="46"/>
      <c r="U19" s="29">
        <f>SUM(U16)</f>
        <v>3412.7779999999998</v>
      </c>
      <c r="V19" s="30">
        <f>U19/N19</f>
        <v>2.3478878361945933E-2</v>
      </c>
      <c r="W19" s="34">
        <f>N19/J19*100</f>
        <v>9.2595539139780403</v>
      </c>
      <c r="X19" s="34">
        <f>S19/J19*100</f>
        <v>9.4769578540102088</v>
      </c>
      <c r="Y19" s="30"/>
      <c r="Z19" s="30"/>
      <c r="AA19" s="349"/>
      <c r="AB19" s="36"/>
      <c r="AC19" s="6"/>
    </row>
    <row r="20" spans="2:31">
      <c r="J20" s="3" t="s">
        <v>0</v>
      </c>
      <c r="Q20" s="348"/>
      <c r="V20" s="348"/>
      <c r="AA20" s="347"/>
      <c r="AB20" s="6"/>
      <c r="AC20" s="6"/>
    </row>
    <row r="21" spans="2:31">
      <c r="D21" s="26" t="s">
        <v>42</v>
      </c>
      <c r="H21" s="48"/>
      <c r="Q21" s="348"/>
      <c r="V21" s="348"/>
      <c r="AA21" s="347"/>
      <c r="AB21" s="6"/>
      <c r="AC21" s="6"/>
    </row>
    <row r="22" spans="2:31">
      <c r="B22" s="44">
        <f>MAX(B$13:B21)+1</f>
        <v>3</v>
      </c>
      <c r="D22" s="2" t="s">
        <v>43</v>
      </c>
      <c r="F22" s="12">
        <v>24</v>
      </c>
      <c r="G22" s="12"/>
      <c r="H22" s="28">
        <f>'[60]Exhibit No.__(JRS-11) p1-8'!C177/12</f>
        <v>19046.041792326934</v>
      </c>
      <c r="J22" s="28">
        <f>'[60]Exhibit No.__(JRS-11) p1-8'!C205/1000</f>
        <v>536266.600352215</v>
      </c>
      <c r="L22" s="29">
        <f>'[60]Exhibit No.__(JRS-11) p1-8'!F205/1000</f>
        <v>48607.124891159161</v>
      </c>
      <c r="M22" s="30"/>
      <c r="N22" s="29">
        <f>'[60]Exhibit No.__(JRS-11) p1-8'!I205/1000</f>
        <v>49430.454891159163</v>
      </c>
      <c r="O22" s="29"/>
      <c r="P22" s="29">
        <f>('[60]Rate Design Work eff 10-14-16'!I204-'[60]Rate Design Work eff 10-14-16'!F204)/1000</f>
        <v>823.33</v>
      </c>
      <c r="Q22" s="30">
        <f>P22/L22</f>
        <v>1.6938463277628466E-2</v>
      </c>
      <c r="R22" s="30"/>
      <c r="S22" s="29">
        <f>'[60]Exhibit No.__(JRS-12) p1-8'!I205/1000</f>
        <v>50590.494891159164</v>
      </c>
      <c r="T22" s="29"/>
      <c r="U22" s="29">
        <f>('[60]Rate Design Work eff 9-15-17'!I204-'[60]Rate Design Work eff 9-15-17'!F204)/1000</f>
        <v>1160.04</v>
      </c>
      <c r="V22" s="30">
        <f>U22/N22</f>
        <v>2.3468123094442284E-2</v>
      </c>
      <c r="W22" s="34">
        <f>N22/J22*100</f>
        <v>9.2175151051163162</v>
      </c>
      <c r="X22" s="34">
        <f t="shared" ref="X22:X29" si="0">S22/J22*100</f>
        <v>9.4338328842280657</v>
      </c>
      <c r="Y22" s="30"/>
      <c r="Z22" s="30"/>
      <c r="AA22" s="349"/>
      <c r="AB22" s="36"/>
      <c r="AC22" s="6"/>
      <c r="AD22" s="49"/>
      <c r="AE22" s="50"/>
    </row>
    <row r="23" spans="2:31">
      <c r="B23" s="44">
        <f>MAX(B$13:B22)+1</f>
        <v>4</v>
      </c>
      <c r="D23" s="2" t="s">
        <v>44</v>
      </c>
      <c r="E23" s="51"/>
      <c r="F23" s="12">
        <v>33</v>
      </c>
      <c r="G23" s="12"/>
      <c r="H23" s="28">
        <v>0</v>
      </c>
      <c r="J23" s="28">
        <v>0</v>
      </c>
      <c r="L23" s="29">
        <v>0</v>
      </c>
      <c r="M23" s="30"/>
      <c r="N23" s="29">
        <f>'[60]Exhibit No.__(JRS-11) p1-8'!I597/100</f>
        <v>0</v>
      </c>
      <c r="O23" s="29"/>
      <c r="P23" s="29">
        <f>('[60]Rate Design Work eff 10-14-16'!I596-'[60]Rate Design Work eff 10-14-16'!F596)/1000</f>
        <v>0</v>
      </c>
      <c r="Q23" s="30">
        <f>Q24</f>
        <v>1.6941109731765304E-2</v>
      </c>
      <c r="R23" s="30"/>
      <c r="S23" s="29">
        <f>'[60]Exhibit No.__(JRS-12) p1-8'!I597/1000</f>
        <v>0</v>
      </c>
      <c r="T23" s="29"/>
      <c r="U23" s="29">
        <f>('[60]Rate Design Work eff 9-15-17'!I596-'[60]Rate Design Work eff 9-15-17'!F596)/1000</f>
        <v>0</v>
      </c>
      <c r="V23" s="30">
        <f>V24</f>
        <v>2.3473379082064615E-2</v>
      </c>
      <c r="W23" s="34">
        <v>0</v>
      </c>
      <c r="X23" s="34">
        <v>0</v>
      </c>
      <c r="Y23" s="30"/>
      <c r="Z23" s="30"/>
      <c r="AA23" s="349"/>
      <c r="AB23" s="36"/>
      <c r="AC23" s="6"/>
      <c r="AD23" s="49"/>
      <c r="AE23" s="50"/>
    </row>
    <row r="24" spans="2:31">
      <c r="B24" s="44">
        <f>MAX(B$13:B23)+1</f>
        <v>5</v>
      </c>
      <c r="D24" s="2" t="s">
        <v>45</v>
      </c>
      <c r="F24" s="12">
        <v>36</v>
      </c>
      <c r="G24" s="12"/>
      <c r="H24" s="28">
        <f>'[60]Exhibit No.__(JRS-11) p1-8'!C606/12</f>
        <v>1085.852777777774</v>
      </c>
      <c r="J24" s="28">
        <f>'[60]Exhibit No.__(JRS-11) p1-8'!C637/1000</f>
        <v>928614.07790582778</v>
      </c>
      <c r="L24" s="29">
        <f>'[60]Exhibit No.__(JRS-11) p1-8'!F637/1000</f>
        <v>72091.735390272821</v>
      </c>
      <c r="M24" s="30"/>
      <c r="N24" s="29">
        <f>'[60]Exhibit No.__(JRS-11) p1-8'!I637/1000</f>
        <v>73313.049390272819</v>
      </c>
      <c r="O24" s="29"/>
      <c r="P24" s="29">
        <f>('[60]Rate Design Work eff 10-14-16'!I636-'[60]Rate Design Work eff 10-14-16'!F636)/1000</f>
        <v>1221.3140000000001</v>
      </c>
      <c r="Q24" s="30">
        <f t="shared" ref="Q24:Q29" si="1">P24/L24</f>
        <v>1.6941109731765304E-2</v>
      </c>
      <c r="R24" s="30"/>
      <c r="S24" s="29">
        <f>'[60]Exhibit No.__(JRS-12) p1-8'!I637/1000</f>
        <v>75033.954390272833</v>
      </c>
      <c r="T24" s="29"/>
      <c r="U24" s="29">
        <f>('[60]Rate Design Work eff 9-15-17'!I636-'[60]Rate Design Work eff 9-15-17'!F636)/1000</f>
        <v>1720.905</v>
      </c>
      <c r="V24" s="30">
        <f t="shared" ref="V24:V29" si="2">U24/N24</f>
        <v>2.3473379082064615E-2</v>
      </c>
      <c r="W24" s="34">
        <f t="shared" ref="W24:W29" si="3">N24/J24*100</f>
        <v>7.8948888601393357</v>
      </c>
      <c r="X24" s="34">
        <f t="shared" si="0"/>
        <v>8.0802085791641574</v>
      </c>
      <c r="Y24" s="30"/>
      <c r="Z24" s="30"/>
      <c r="AA24" s="349"/>
      <c r="AB24" s="36"/>
      <c r="AC24" s="6"/>
      <c r="AD24" s="49"/>
      <c r="AE24" s="50"/>
    </row>
    <row r="25" spans="2:31">
      <c r="B25" s="44">
        <f>MAX(B$13:B24)+1</f>
        <v>6</v>
      </c>
      <c r="D25" s="2" t="s">
        <v>46</v>
      </c>
      <c r="F25" s="12" t="s">
        <v>47</v>
      </c>
      <c r="G25" s="12"/>
      <c r="H25" s="28">
        <f>'[60]Exhibit No.__(JRS-11) p1-8'!C726</f>
        <v>5224.9278642093977</v>
      </c>
      <c r="J25" s="28">
        <f>'[60]Exhibit No.__(JRS-11) p1-8'!C769/1000</f>
        <v>160874.871894949</v>
      </c>
      <c r="L25" s="29">
        <f>'[60]Exhibit No.__(JRS-11) p1-8'!F769/1000</f>
        <v>13779.761</v>
      </c>
      <c r="M25" s="30"/>
      <c r="N25" s="29">
        <f>'[60]Exhibit No.__(JRS-11) p1-8'!I769/1000</f>
        <v>14013.388999999999</v>
      </c>
      <c r="O25" s="29"/>
      <c r="P25" s="29">
        <f>('[60]Rate Design Work eff 10-14-16'!I768-'[60]Rate Design Work eff 10-14-16'!F768)/1000</f>
        <v>233.62799999999999</v>
      </c>
      <c r="Q25" s="30">
        <f t="shared" si="1"/>
        <v>1.6954430486856773E-2</v>
      </c>
      <c r="R25" s="30"/>
      <c r="S25" s="29">
        <f>'[60]Exhibit No.__(JRS-12) p1-8'!I769/1000</f>
        <v>14342.200999999999</v>
      </c>
      <c r="T25" s="29"/>
      <c r="U25" s="29">
        <f>('[60]Rate Design Work eff 9-15-17'!I768-'[60]Rate Design Work eff 9-15-17'!F768)/1000</f>
        <v>328.81200000000001</v>
      </c>
      <c r="V25" s="30">
        <f t="shared" si="2"/>
        <v>2.3464131338964474E-2</v>
      </c>
      <c r="W25" s="34">
        <f t="shared" si="3"/>
        <v>8.7107382495078021</v>
      </c>
      <c r="X25" s="34">
        <f t="shared" si="0"/>
        <v>8.9151281558535942</v>
      </c>
      <c r="Y25" s="30"/>
      <c r="Z25" s="30"/>
      <c r="AA25" s="349"/>
      <c r="AB25" s="36"/>
      <c r="AC25" s="6"/>
    </row>
    <row r="26" spans="2:31">
      <c r="B26" s="44">
        <f>MAX(B$13:B25)+1</f>
        <v>7</v>
      </c>
      <c r="D26" s="2" t="s">
        <v>48</v>
      </c>
      <c r="F26" s="12">
        <v>47</v>
      </c>
      <c r="G26" s="12"/>
      <c r="H26" s="28">
        <f>'[60]Exhibit No.__(JRS-11) p1-8'!C883/12</f>
        <v>1</v>
      </c>
      <c r="J26" s="28">
        <f>'[60]Exhibit No.__(JRS-11) p1-8'!C897/1000</f>
        <v>2252.8077291342674</v>
      </c>
      <c r="L26" s="29">
        <f>'[60]Exhibit No.__(JRS-11) p1-8'!F897/1000</f>
        <v>320.24390541901147</v>
      </c>
      <c r="M26" s="30"/>
      <c r="N26" s="29">
        <f>'[60]Exhibit No.__(JRS-11) p1-8'!I897/1000</f>
        <v>325.8169054190115</v>
      </c>
      <c r="O26" s="29"/>
      <c r="P26" s="29">
        <f>('[60]Rate Design Work eff 10-14-16'!I898-'[60]Rate Design Work eff 10-14-16'!F898)/1000</f>
        <v>5.5730000000000004</v>
      </c>
      <c r="Q26" s="30">
        <f t="shared" si="1"/>
        <v>1.7402360843395949E-2</v>
      </c>
      <c r="R26" s="30"/>
      <c r="S26" s="29">
        <f>'[60]Exhibit No.__(JRS-12) p1-8'!I897/1000</f>
        <v>333.5599054190115</v>
      </c>
      <c r="T26" s="29"/>
      <c r="U26" s="29">
        <f>('[60]Rate Design Work eff 9-15-17'!I898-'[60]Rate Design Work eff 9-15-17'!F898)/1000</f>
        <v>7.7430000000000003</v>
      </c>
      <c r="V26" s="30">
        <f t="shared" si="2"/>
        <v>2.376488104582002E-2</v>
      </c>
      <c r="W26" s="34">
        <f t="shared" si="3"/>
        <v>14.462703638903967</v>
      </c>
      <c r="X26" s="34">
        <f t="shared" si="0"/>
        <v>14.806408070483467</v>
      </c>
      <c r="Y26" s="30"/>
      <c r="Z26" s="30"/>
      <c r="AA26" s="349"/>
      <c r="AB26" s="36"/>
      <c r="AC26" s="6"/>
    </row>
    <row r="27" spans="2:31">
      <c r="B27" s="44">
        <f>MAX(B$13:B26)+1</f>
        <v>8</v>
      </c>
      <c r="D27" s="2" t="s">
        <v>49</v>
      </c>
      <c r="F27" s="12">
        <v>48</v>
      </c>
      <c r="G27" s="12"/>
      <c r="H27" s="28">
        <f>('[60]Exhibit No.__(JRS-11) p1-8'!C924)/12</f>
        <v>65.154040404040458</v>
      </c>
      <c r="J27" s="28">
        <f>('[60]Exhibit No.__(JRS-11) p1-8'!C934)/1000</f>
        <v>413290.81798306474</v>
      </c>
      <c r="L27" s="29">
        <f>('[60]Exhibit No.__(JRS-11) p1-8'!F934)/1000</f>
        <v>28946.199579258908</v>
      </c>
      <c r="M27" s="30"/>
      <c r="N27" s="29">
        <f>'[60]Exhibit No.__(JRS-11) p1-8'!I934/1000</f>
        <v>29436.674579258906</v>
      </c>
      <c r="O27" s="29"/>
      <c r="P27" s="29">
        <f>('[60]Rate Design Work eff 10-14-16'!I935-'[60]Rate Design Work eff 10-14-16'!F935)/1000</f>
        <v>490.47500000000002</v>
      </c>
      <c r="Q27" s="30">
        <f t="shared" si="1"/>
        <v>1.694436600069063E-2</v>
      </c>
      <c r="R27" s="30"/>
      <c r="S27" s="29">
        <f>'[60]Exhibit No.__(JRS-12) p1-8'!I934/1000</f>
        <v>30127.245579258906</v>
      </c>
      <c r="T27" s="29"/>
      <c r="U27" s="29">
        <f>('[60]Rate Design Work eff 9-15-17'!I935-'[60]Rate Design Work eff 9-15-17'!F935)/1000</f>
        <v>690.57100000000003</v>
      </c>
      <c r="V27" s="30">
        <f t="shared" si="2"/>
        <v>2.3459545273723841E-2</v>
      </c>
      <c r="W27" s="34">
        <f t="shared" si="3"/>
        <v>7.1225087271271343</v>
      </c>
      <c r="X27" s="34">
        <f t="shared" si="0"/>
        <v>7.289599543073666</v>
      </c>
      <c r="Y27" s="30"/>
      <c r="Z27" s="30"/>
      <c r="AA27" s="349"/>
      <c r="AB27" s="36"/>
      <c r="AC27" s="6"/>
      <c r="AD27" s="3" t="s">
        <v>0</v>
      </c>
    </row>
    <row r="28" spans="2:31">
      <c r="B28" s="44">
        <f>MAX(B$13:B26)+1</f>
        <v>8</v>
      </c>
      <c r="D28" s="2" t="s">
        <v>50</v>
      </c>
      <c r="F28" s="27" t="s">
        <v>51</v>
      </c>
      <c r="G28" s="12"/>
      <c r="H28" s="28">
        <f>('[60]Exhibit No.__(JRS-11) p1-8'!C1093)/12</f>
        <v>1.0027777777777749</v>
      </c>
      <c r="J28" s="28">
        <f>('[60]Exhibit No.__(JRS-11) p1-8'!C1104)/1000</f>
        <v>459903.50184810511</v>
      </c>
      <c r="L28" s="29">
        <f>('[60]Exhibit No.__(JRS-11) p1-8'!F1104)/1000</f>
        <v>26554.390864840949</v>
      </c>
      <c r="M28" s="30"/>
      <c r="N28" s="29">
        <f>'[60]Exhibit No.__(JRS-11) p1-8'!I1104/1000</f>
        <v>27004.252864840946</v>
      </c>
      <c r="O28" s="29"/>
      <c r="P28" s="29">
        <f>('[60]Rate Design Work eff 10-14-16'!I1104-'[60]Rate Design Work eff 10-14-16'!F1104)/1000</f>
        <v>449.86200000000002</v>
      </c>
      <c r="Q28" s="30">
        <f t="shared" si="1"/>
        <v>1.6941153057878459E-2</v>
      </c>
      <c r="R28" s="30"/>
      <c r="S28" s="29">
        <f>'[60]Exhibit No.__(JRS-12) p1-8'!I1104/1000</f>
        <v>27638.135864840948</v>
      </c>
      <c r="T28" s="29"/>
      <c r="U28" s="29">
        <f>('[60]Rate Design Work eff 9-15-17'!I1104-'[60]Rate Design Work eff 9-15-17'!F1104)/1000</f>
        <v>633.88300000000004</v>
      </c>
      <c r="V28" s="30">
        <f t="shared" si="2"/>
        <v>2.3473450762465063E-2</v>
      </c>
      <c r="W28" s="34">
        <f t="shared" si="3"/>
        <v>5.871721514692835</v>
      </c>
      <c r="X28" s="34">
        <f t="shared" si="0"/>
        <v>6.0095510805588841</v>
      </c>
      <c r="Y28" s="30"/>
      <c r="Z28" s="30"/>
      <c r="AA28" s="349"/>
      <c r="AB28" s="36"/>
      <c r="AC28" s="6"/>
    </row>
    <row r="29" spans="2:31">
      <c r="B29" s="44">
        <f>MAX(B$13:B28)+1</f>
        <v>9</v>
      </c>
      <c r="D29" s="2" t="s">
        <v>52</v>
      </c>
      <c r="F29" s="12" t="s">
        <v>53</v>
      </c>
      <c r="G29" s="12"/>
      <c r="H29" s="28">
        <f>'[60]Exhibit No.__(JRS-11) p1-8'!C1224/12</f>
        <v>29.122222222222252</v>
      </c>
      <c r="J29" s="28">
        <f>'[60]Exhibit No.__(JRS-11) p1-8'!C1230/1000</f>
        <v>269.62791580171842</v>
      </c>
      <c r="L29" s="29">
        <f>'[60]Exhibit No.__(JRS-11) p1-8'!F1230/1000</f>
        <v>24.108272947769361</v>
      </c>
      <c r="M29" s="30"/>
      <c r="N29" s="29">
        <f>'[60]Exhibit No.__(JRS-11) p1-8'!I1230/1000</f>
        <v>24.51727294776936</v>
      </c>
      <c r="O29" s="29"/>
      <c r="P29" s="29">
        <f>('[60]Rate Design Work eff 10-14-16'!I1226-'[60]Rate Design Work eff 10-14-16'!F1226)/1000</f>
        <v>0.40899999999999997</v>
      </c>
      <c r="Q29" s="30">
        <f t="shared" si="1"/>
        <v>1.6965130637358369E-2</v>
      </c>
      <c r="R29" s="30"/>
      <c r="S29" s="29">
        <f>'[60]Exhibit No.__(JRS-12) p1-8'!I1230/1000</f>
        <v>25.091272947769362</v>
      </c>
      <c r="T29" s="29"/>
      <c r="U29" s="29">
        <f>('[60]Rate Design Work eff 9-15-17'!I1226-'[60]Rate Design Work eff 9-15-17'!F1226)/1000</f>
        <v>0.57399999999999995</v>
      </c>
      <c r="V29" s="30">
        <f t="shared" si="2"/>
        <v>2.3412065494511854E-2</v>
      </c>
      <c r="W29" s="34">
        <f t="shared" si="3"/>
        <v>9.0930024344360199</v>
      </c>
      <c r="X29" s="34">
        <f t="shared" si="0"/>
        <v>9.3058884029727942</v>
      </c>
      <c r="Y29" s="30"/>
      <c r="Z29" s="30"/>
      <c r="AA29" s="349"/>
      <c r="AB29" s="36"/>
      <c r="AC29" s="6"/>
      <c r="AD29" s="3" t="s">
        <v>0</v>
      </c>
    </row>
    <row r="30" spans="2:31">
      <c r="B30" s="14"/>
      <c r="F30" s="12"/>
      <c r="G30" s="12"/>
      <c r="H30" s="38"/>
      <c r="J30" s="38"/>
      <c r="L30" s="38"/>
      <c r="M30" s="6"/>
      <c r="N30" s="38"/>
      <c r="O30" s="6"/>
      <c r="P30" s="38"/>
      <c r="Q30" s="350"/>
      <c r="R30" s="6"/>
      <c r="S30" s="38"/>
      <c r="T30" s="6"/>
      <c r="U30" s="38"/>
      <c r="V30" s="350"/>
      <c r="W30" s="39"/>
      <c r="X30" s="39"/>
      <c r="Y30" s="6"/>
      <c r="Z30" s="6"/>
      <c r="AA30" s="347"/>
      <c r="AB30" s="6"/>
      <c r="AC30" s="35" t="s">
        <v>0</v>
      </c>
    </row>
    <row r="31" spans="2:31">
      <c r="B31" s="14"/>
      <c r="Q31" s="348"/>
      <c r="V31" s="348"/>
      <c r="AA31" s="347"/>
      <c r="AB31" s="6"/>
      <c r="AC31" s="6"/>
    </row>
    <row r="32" spans="2:31">
      <c r="B32" s="44">
        <f>MAX(B$13:B31)+1</f>
        <v>10</v>
      </c>
      <c r="D32" s="26" t="s">
        <v>54</v>
      </c>
      <c r="H32" s="45">
        <f>SUM(H22:H29)</f>
        <v>25453.101474718143</v>
      </c>
      <c r="J32" s="45">
        <f>SUM(J22:J29)</f>
        <v>2501472.3056290983</v>
      </c>
      <c r="K32" s="45"/>
      <c r="L32" s="29">
        <f>SUM(L22:L29)</f>
        <v>190323.56390389864</v>
      </c>
      <c r="M32" s="30"/>
      <c r="N32" s="29">
        <f>SUM(N22:N29)</f>
        <v>193548.15490389863</v>
      </c>
      <c r="O32" s="46"/>
      <c r="P32" s="29">
        <f>SUM(P22:P29)</f>
        <v>3224.5910000000003</v>
      </c>
      <c r="Q32" s="30">
        <f>P32/L32</f>
        <v>1.6942678740653548E-2</v>
      </c>
      <c r="R32" s="30"/>
      <c r="S32" s="29">
        <f>SUM(S22:S29)</f>
        <v>198090.68290389862</v>
      </c>
      <c r="T32" s="46"/>
      <c r="U32" s="29">
        <f>SUM(U22:U29)</f>
        <v>4542.5279999999993</v>
      </c>
      <c r="V32" s="30">
        <f>U32/N32</f>
        <v>2.3469756155802546E-2</v>
      </c>
      <c r="W32" s="34">
        <f>N32/J32*100</f>
        <v>7.7373694870958394</v>
      </c>
      <c r="X32" s="34">
        <f>S32/J32*100</f>
        <v>7.918963662245325</v>
      </c>
      <c r="Y32" s="30"/>
      <c r="Z32" s="30"/>
      <c r="AA32" s="349"/>
      <c r="AB32" s="36"/>
      <c r="AC32" s="35" t="s">
        <v>0</v>
      </c>
    </row>
    <row r="33" spans="2:30">
      <c r="B33" s="14"/>
      <c r="Q33" s="348"/>
      <c r="V33" s="348"/>
      <c r="AA33" s="347"/>
      <c r="AB33" s="6"/>
      <c r="AC33" s="6"/>
    </row>
    <row r="34" spans="2:30">
      <c r="B34" s="14"/>
      <c r="D34" s="26" t="s">
        <v>55</v>
      </c>
      <c r="Q34" s="348"/>
      <c r="V34" s="348"/>
      <c r="AA34" s="347"/>
      <c r="AB34" s="6"/>
      <c r="AC34" s="6"/>
    </row>
    <row r="35" spans="2:30">
      <c r="B35" s="44">
        <f>MAX(B$13:B34)+1</f>
        <v>11</v>
      </c>
      <c r="D35" s="2" t="s">
        <v>56</v>
      </c>
      <c r="F35" s="12" t="s">
        <v>57</v>
      </c>
      <c r="G35" s="12"/>
      <c r="H35" s="28">
        <f>'[60]Exhibit No.__(JRS-11) p1-8'!C24/12-0.3</f>
        <v>2460.6166666666663</v>
      </c>
      <c r="J35" s="28">
        <f>'[60]Exhibit No.__(JRS-11) p1-8'!C27/1000</f>
        <v>3285.7464134232382</v>
      </c>
      <c r="L35" s="29">
        <f>'[60]Exhibit No.__(JRS-11) p1-8'!F27/1000</f>
        <v>469.31262621896536</v>
      </c>
      <c r="M35" s="30"/>
      <c r="N35" s="29">
        <f>'[60]Exhibit No.__(JRS-11) p1-8'!I27/1000</f>
        <v>477.39711350964478</v>
      </c>
      <c r="O35" s="29"/>
      <c r="P35" s="29">
        <f>('[60]Rate Design Work eff 10-14-16'!I27-'[60]Rate Design Work eff 10-14-16'!F27)/1000</f>
        <v>8.0844872906794194</v>
      </c>
      <c r="Q35" s="30">
        <f>P35/L35</f>
        <v>1.7226230105531981E-2</v>
      </c>
      <c r="R35" s="30"/>
      <c r="S35" s="29">
        <f>'[60]Exhibit No.__(JRS-12) p1-8'!I27/1000</f>
        <v>488.55641257909394</v>
      </c>
      <c r="T35" s="29"/>
      <c r="U35" s="29">
        <f>('[60]Rate Design Work eff 9-15-17'!I27-'[60]Rate Design Work eff 9-15-17'!F27)/1000</f>
        <v>11.159299069449188</v>
      </c>
      <c r="V35" s="30">
        <f>U35/N35</f>
        <v>2.3375296485163476E-2</v>
      </c>
      <c r="W35" s="34">
        <f>N35/J35*100</f>
        <v>14.529335299867864</v>
      </c>
      <c r="X35" s="34">
        <f t="shared" ref="X35:X39" si="4">S35/J35*100</f>
        <v>14.868962820234625</v>
      </c>
      <c r="Y35" s="30"/>
      <c r="Z35" s="30"/>
      <c r="AA35" s="349"/>
      <c r="AB35" s="36"/>
      <c r="AC35" s="6"/>
    </row>
    <row r="36" spans="2:30">
      <c r="B36" s="44">
        <f>MAX(B$13:B35)+1</f>
        <v>12</v>
      </c>
      <c r="D36" s="2" t="s">
        <v>58</v>
      </c>
      <c r="F36" s="12" t="s">
        <v>59</v>
      </c>
      <c r="G36" s="12"/>
      <c r="H36" s="28">
        <f>'[60]Exhibit No.__(JRS-11) p1-8'!C1135/12</f>
        <v>177</v>
      </c>
      <c r="J36" s="28">
        <f>'[60]Exhibit No.__(JRS-11) p1-8'!C1139/1000</f>
        <v>3932.5577854698172</v>
      </c>
      <c r="L36" s="29">
        <f>'[60]Exhibit No.__(JRS-11) p1-8'!F1139/1000</f>
        <v>768.97320538016254</v>
      </c>
      <c r="M36" s="30"/>
      <c r="N36" s="29">
        <f>'[60]Exhibit No.__(JRS-11) p1-8'!I1139/1000</f>
        <v>782.10020538016261</v>
      </c>
      <c r="O36" s="29"/>
      <c r="P36" s="29">
        <f>('[60]Rate Design Work eff 10-14-16'!I1139-'[60]Rate Design Work eff 10-14-16'!F1139)/1000</f>
        <v>13.127000000000001</v>
      </c>
      <c r="Q36" s="30">
        <f>P36/L36</f>
        <v>1.7070815872589885E-2</v>
      </c>
      <c r="R36" s="30"/>
      <c r="S36" s="29">
        <f>'[60]Exhibit No.__(JRS-12) p1-8'!I1139/1000</f>
        <v>800.33920538016253</v>
      </c>
      <c r="T36" s="29"/>
      <c r="U36" s="29">
        <f>('[60]Rate Design Work eff 9-15-17'!I1139-'[60]Rate Design Work eff 9-15-17'!F1139)/1000</f>
        <v>18.239000000000001</v>
      </c>
      <c r="V36" s="30">
        <f>U36/N36</f>
        <v>2.332054112060283E-2</v>
      </c>
      <c r="W36" s="34">
        <f>N36/J36*100</f>
        <v>19.88782487239984</v>
      </c>
      <c r="X36" s="34">
        <f t="shared" si="4"/>
        <v>20.351619710135985</v>
      </c>
      <c r="Y36" s="30"/>
      <c r="Z36" s="30"/>
      <c r="AA36" s="349"/>
      <c r="AB36" s="36"/>
      <c r="AC36" s="35" t="s">
        <v>0</v>
      </c>
    </row>
    <row r="37" spans="2:30">
      <c r="B37" s="44">
        <f>MAX(B$13:B36)+1</f>
        <v>13</v>
      </c>
      <c r="D37" s="2" t="s">
        <v>58</v>
      </c>
      <c r="F37" s="12">
        <v>52</v>
      </c>
      <c r="G37" s="12"/>
      <c r="H37" s="28">
        <f>'[60]Exhibit No.__(JRS-11) p1-8'!C1151/12</f>
        <v>1.1666666666666667</v>
      </c>
      <c r="J37" s="28">
        <f>'[60]Exhibit No.__(JRS-11) p1-8'!C1156/1000</f>
        <v>212.19525038227087</v>
      </c>
      <c r="L37" s="29">
        <f>'[60]Exhibit No.__(JRS-11) p1-8'!F1156/1000</f>
        <v>36.502141953691478</v>
      </c>
      <c r="M37" s="30"/>
      <c r="N37" s="29">
        <f>'[60]Exhibit No.__(JRS-11) p1-8'!I1156/1000</f>
        <v>37.12014195369148</v>
      </c>
      <c r="O37" s="29"/>
      <c r="P37" s="29">
        <f>('[60]Rate Design Work eff 10-14-16'!I1155-'[60]Rate Design Work eff 10-14-16'!F1155)/1000</f>
        <v>0.61799999999999999</v>
      </c>
      <c r="Q37" s="30">
        <f>P37/L37</f>
        <v>1.6930513304781594E-2</v>
      </c>
      <c r="R37" s="30"/>
      <c r="S37" s="29">
        <f>'[60]Exhibit No.__(JRS-12) p1-8'!I1156/1000</f>
        <v>37.99214195369148</v>
      </c>
      <c r="T37" s="29"/>
      <c r="U37" s="29">
        <f>('[60]Rate Design Work eff 9-15-17'!I1155-'[60]Rate Design Work eff 9-15-17'!F1155)/1000</f>
        <v>0.872</v>
      </c>
      <c r="V37" s="30">
        <f>U37/N37</f>
        <v>2.3491289475343246E-2</v>
      </c>
      <c r="W37" s="34">
        <f>N37/J37*100</f>
        <v>17.493389643179736</v>
      </c>
      <c r="X37" s="34">
        <f t="shared" si="4"/>
        <v>17.904331923192643</v>
      </c>
      <c r="Y37" s="30"/>
      <c r="Z37" s="30"/>
      <c r="AA37" s="349"/>
      <c r="AB37" s="36"/>
      <c r="AC37" s="6"/>
    </row>
    <row r="38" spans="2:30">
      <c r="B38" s="44">
        <f>MAX(B$13:B37)+1</f>
        <v>14</v>
      </c>
      <c r="D38" s="2" t="s">
        <v>58</v>
      </c>
      <c r="F38" s="12">
        <v>53</v>
      </c>
      <c r="G38" s="12"/>
      <c r="H38" s="28">
        <f>'[60]Exhibit No.__(JRS-11) p1-8'!C1166/12</f>
        <v>6.7847222222222223</v>
      </c>
      <c r="J38" s="28">
        <f>'[60]Exhibit No.__(JRS-11) p1-8'!C1170/1000</f>
        <v>4656.9131691638522</v>
      </c>
      <c r="L38" s="29">
        <f>'[60]Exhibit No.__(JRS-11) p1-8'!F1170/1000</f>
        <v>325.79118695836257</v>
      </c>
      <c r="M38" s="30"/>
      <c r="N38" s="29">
        <f>'[60]Exhibit No.__(JRS-11) p1-8'!I1170/1000</f>
        <v>331.29827748414397</v>
      </c>
      <c r="O38" s="29"/>
      <c r="P38" s="29">
        <f>('[60]Rate Design Work eff 10-14-16'!I1169-'[60]Rate Design Work eff 10-14-16'!F1169)/1000</f>
        <v>5.5070182750000383</v>
      </c>
      <c r="Q38" s="30">
        <f>P38/L38</f>
        <v>1.6903521321170231E-2</v>
      </c>
      <c r="R38" s="30"/>
      <c r="S38" s="29">
        <f>'[60]Exhibit No.__(JRS-12) p1-8'!I1170/1000</f>
        <v>339.07660882721854</v>
      </c>
      <c r="T38" s="29"/>
      <c r="U38" s="29">
        <f>('[60]Rate Design Work eff 9-15-17'!I1169-'[60]Rate Design Work eff 9-15-17'!F1169)/1000</f>
        <v>7.7782813384425831</v>
      </c>
      <c r="V38" s="30">
        <f>U38/N38</f>
        <v>2.3478182251686637E-2</v>
      </c>
      <c r="W38" s="34">
        <f>N38/J38*100</f>
        <v>7.1141175591991663</v>
      </c>
      <c r="X38" s="34">
        <f t="shared" si="4"/>
        <v>7.2811451815860169</v>
      </c>
      <c r="Y38" s="30"/>
      <c r="Z38" s="30"/>
      <c r="AA38" s="349"/>
      <c r="AB38" s="36"/>
      <c r="AC38" s="6"/>
      <c r="AD38" s="3" t="s">
        <v>0</v>
      </c>
    </row>
    <row r="39" spans="2:30">
      <c r="B39" s="44">
        <f>MAX(B$13:B38)+1</f>
        <v>15</v>
      </c>
      <c r="D39" s="2" t="s">
        <v>58</v>
      </c>
      <c r="F39" s="12">
        <v>57</v>
      </c>
      <c r="G39" s="12"/>
      <c r="H39" s="28">
        <f>'[60]Exhibit No.__(JRS-11) p1-8'!C1266/12</f>
        <v>34.833333333333336</v>
      </c>
      <c r="J39" s="28">
        <f>'[60]Exhibit No.__(JRS-11) p1-8'!C1270/1000</f>
        <v>1753.793178375513</v>
      </c>
      <c r="L39" s="29">
        <f>'[60]Exhibit No.__(JRS-11) p1-8'!F1270/1000</f>
        <v>219.70146192102368</v>
      </c>
      <c r="M39" s="30"/>
      <c r="N39" s="29">
        <f>'[60]Exhibit No.__(JRS-11) p1-8'!I1270/1000</f>
        <v>223.41646192102368</v>
      </c>
      <c r="O39" s="29"/>
      <c r="P39" s="29">
        <f>('[60]Rate Design Work eff 10-14-16'!I1266-'[60]Rate Design Work eff 10-14-16'!F1266)/1000</f>
        <v>3.7149999999999999</v>
      </c>
      <c r="Q39" s="30">
        <f>P39/L39</f>
        <v>1.690930942159791E-2</v>
      </c>
      <c r="R39" s="30"/>
      <c r="S39" s="29">
        <f>'[60]Exhibit No.__(JRS-12) p1-8'!I1270/1000</f>
        <v>228.62746192102367</v>
      </c>
      <c r="T39" s="29"/>
      <c r="U39" s="29">
        <f>('[60]Rate Design Work eff 9-15-17'!I1266-'[60]Rate Design Work eff 9-15-17'!F1266)/1000</f>
        <v>5.2110000000000003</v>
      </c>
      <c r="V39" s="30">
        <f>U39/N39</f>
        <v>2.3324154161218684E-2</v>
      </c>
      <c r="W39" s="34">
        <f>N39/J39*100</f>
        <v>12.739042703311673</v>
      </c>
      <c r="X39" s="34">
        <f t="shared" si="4"/>
        <v>13.036170099190064</v>
      </c>
      <c r="Y39" s="30"/>
      <c r="Z39" s="30"/>
      <c r="AA39" s="349"/>
      <c r="AB39" s="36"/>
      <c r="AC39" s="6"/>
    </row>
    <row r="40" spans="2:30">
      <c r="B40" s="14"/>
      <c r="H40" s="38"/>
      <c r="J40" s="38"/>
      <c r="L40" s="38"/>
      <c r="M40" s="6"/>
      <c r="N40" s="39"/>
      <c r="O40" s="6"/>
      <c r="P40" s="38"/>
      <c r="Q40" s="350"/>
      <c r="R40" s="6"/>
      <c r="S40" s="39"/>
      <c r="T40" s="6"/>
      <c r="U40" s="38"/>
      <c r="V40" s="350"/>
      <c r="W40" s="39"/>
      <c r="X40" s="39"/>
      <c r="Y40" s="6"/>
      <c r="Z40" s="6"/>
      <c r="AA40" s="347"/>
      <c r="AB40" s="6"/>
      <c r="AC40" s="6"/>
    </row>
    <row r="41" spans="2:30">
      <c r="B41" s="14"/>
      <c r="Q41" s="348"/>
      <c r="V41" s="348"/>
      <c r="AA41" s="347"/>
      <c r="AB41" s="6"/>
      <c r="AC41" s="6"/>
    </row>
    <row r="42" spans="2:30">
      <c r="B42" s="44">
        <f>MAX(B$13:B41)+1</f>
        <v>16</v>
      </c>
      <c r="D42" s="26" t="s">
        <v>60</v>
      </c>
      <c r="H42" s="52">
        <f>SUM(H35:H39)</f>
        <v>2680.4013888888885</v>
      </c>
      <c r="J42" s="52">
        <f>SUM(J35:J39)</f>
        <v>13841.205796814691</v>
      </c>
      <c r="K42" s="45"/>
      <c r="L42" s="53">
        <f>SUM(L35:L39)</f>
        <v>1820.2806224322057</v>
      </c>
      <c r="M42" s="36"/>
      <c r="N42" s="53">
        <f>SUM(N35:N39)</f>
        <v>1851.3322002486666</v>
      </c>
      <c r="O42" s="54"/>
      <c r="P42" s="53">
        <f>SUM(P35:P39)</f>
        <v>31.051505565679459</v>
      </c>
      <c r="Q42" s="351">
        <f>P42/L42</f>
        <v>1.7058636554724921E-2</v>
      </c>
      <c r="R42" s="36"/>
      <c r="S42" s="53">
        <f>SUM(S35:S39)</f>
        <v>1894.5918306611902</v>
      </c>
      <c r="T42" s="54"/>
      <c r="U42" s="53">
        <f>SUM(U35:U39)</f>
        <v>43.259580407891768</v>
      </c>
      <c r="V42" s="351">
        <f>U42/N42</f>
        <v>2.3366730402075458E-2</v>
      </c>
      <c r="W42" s="56">
        <f>N42/J42*100</f>
        <v>13.37551241868478</v>
      </c>
      <c r="X42" s="56">
        <f>S42/J42*100</f>
        <v>13.688054772635466</v>
      </c>
      <c r="Y42" s="36"/>
      <c r="Z42" s="36"/>
      <c r="AA42" s="352"/>
      <c r="AB42" s="36"/>
      <c r="AC42" s="6"/>
    </row>
    <row r="43" spans="2:30">
      <c r="B43" s="14"/>
      <c r="D43" s="26"/>
      <c r="H43" s="57"/>
      <c r="J43" s="57"/>
      <c r="K43" s="45"/>
      <c r="L43" s="54"/>
      <c r="M43" s="54"/>
      <c r="N43" s="54"/>
      <c r="O43" s="54"/>
      <c r="P43" s="54"/>
      <c r="Q43" s="59"/>
      <c r="R43" s="54"/>
      <c r="S43" s="54"/>
      <c r="T43" s="54"/>
      <c r="U43" s="54"/>
      <c r="V43" s="59"/>
      <c r="W43" s="54"/>
      <c r="X43" s="54"/>
      <c r="Y43" s="54"/>
      <c r="Z43" s="54"/>
      <c r="AA43" s="347"/>
      <c r="AB43" s="54"/>
      <c r="AC43" s="6"/>
    </row>
    <row r="44" spans="2:30" ht="16.5" thickBot="1">
      <c r="B44" s="44">
        <f>MAX(B$13:B43)+1</f>
        <v>17</v>
      </c>
      <c r="D44" s="187" t="s">
        <v>142</v>
      </c>
      <c r="H44" s="61">
        <f>H42+H32+H19</f>
        <v>133392.15264854633</v>
      </c>
      <c r="J44" s="61">
        <f>J42+J32+J19</f>
        <v>4085100.1489150897</v>
      </c>
      <c r="L44" s="62">
        <f>L42+L32+L19</f>
        <v>335077.72155906417</v>
      </c>
      <c r="M44" s="36"/>
      <c r="N44" s="62">
        <f>N42+N32+N19</f>
        <v>340754.72713688063</v>
      </c>
      <c r="O44" s="63"/>
      <c r="P44" s="62">
        <f>P42+P32+P19</f>
        <v>5677.0055055656794</v>
      </c>
      <c r="Q44" s="353">
        <f>P44/L44</f>
        <v>1.6942354386174831E-2</v>
      </c>
      <c r="R44" s="36"/>
      <c r="S44" s="62">
        <f>S42+S32+S19</f>
        <v>348753.29276729317</v>
      </c>
      <c r="T44" s="63"/>
      <c r="U44" s="62">
        <f>U42+U32+U19</f>
        <v>7998.5655804078906</v>
      </c>
      <c r="V44" s="353">
        <f>U44/N44</f>
        <v>2.347308765930892E-2</v>
      </c>
      <c r="W44" s="354">
        <f>N44/J44*100</f>
        <v>8.3414044874120741</v>
      </c>
      <c r="X44" s="354">
        <f>S44/J44*100</f>
        <v>8.5372030073709251</v>
      </c>
      <c r="Y44" s="36"/>
      <c r="Z44" s="36"/>
      <c r="AA44" s="35" t="s">
        <v>0</v>
      </c>
      <c r="AB44" s="36"/>
      <c r="AC44" s="37" t="s">
        <v>0</v>
      </c>
    </row>
    <row r="45" spans="2:30" ht="16.5" thickTop="1">
      <c r="B45" s="414" t="s">
        <v>0</v>
      </c>
      <c r="C45" s="415"/>
      <c r="D45" s="415"/>
      <c r="H45" s="65"/>
      <c r="J45" s="65"/>
      <c r="L45" s="63"/>
      <c r="M45" s="36"/>
      <c r="N45" s="63"/>
      <c r="O45" s="63"/>
      <c r="P45" s="63"/>
      <c r="Q45" s="348"/>
      <c r="R45" s="36"/>
      <c r="S45" s="63"/>
      <c r="T45" s="63"/>
      <c r="U45" s="63"/>
      <c r="V45" s="348"/>
      <c r="W45" s="36"/>
      <c r="X45" s="36"/>
      <c r="Y45" s="36"/>
      <c r="Z45" s="36"/>
      <c r="AA45" s="349"/>
      <c r="AB45" s="36"/>
      <c r="AC45" s="6"/>
    </row>
    <row r="46" spans="2:30">
      <c r="B46" s="44">
        <v>18</v>
      </c>
      <c r="D46" s="2" t="s">
        <v>61</v>
      </c>
      <c r="H46" s="65"/>
      <c r="J46" s="65"/>
      <c r="L46" s="31">
        <f>'[60]Exhibit No.__(JRS-11) p1-8'!F1277/1000</f>
        <v>594.93922999999995</v>
      </c>
      <c r="M46" s="66"/>
      <c r="N46" s="31">
        <f>L46</f>
        <v>594.93922999999995</v>
      </c>
      <c r="O46" s="63"/>
      <c r="P46" s="49"/>
      <c r="Q46" s="30"/>
      <c r="R46" s="36"/>
      <c r="S46" s="31">
        <f>N46</f>
        <v>594.93922999999995</v>
      </c>
      <c r="T46" s="63"/>
      <c r="U46" s="49"/>
      <c r="V46" s="30"/>
      <c r="W46" s="34"/>
      <c r="X46" s="34"/>
      <c r="Y46" s="30"/>
      <c r="Z46" s="36"/>
      <c r="AA46" s="349"/>
      <c r="AB46" s="36"/>
      <c r="AC46" s="6"/>
    </row>
    <row r="47" spans="2:30">
      <c r="B47" s="44"/>
      <c r="H47" s="65"/>
      <c r="J47" s="65"/>
      <c r="L47" s="63"/>
      <c r="M47" s="66"/>
      <c r="N47" s="31"/>
      <c r="O47" s="63"/>
      <c r="P47" s="49"/>
      <c r="Q47" s="30"/>
      <c r="R47" s="36"/>
      <c r="S47" s="31"/>
      <c r="T47" s="63"/>
      <c r="U47" s="49"/>
      <c r="V47" s="30"/>
      <c r="W47" s="34"/>
      <c r="X47" s="34"/>
      <c r="Y47" s="30"/>
      <c r="Z47" s="36"/>
      <c r="AA47" s="349"/>
      <c r="AB47" s="36"/>
      <c r="AC47" s="6"/>
    </row>
    <row r="48" spans="2:30" ht="16.5" thickBot="1">
      <c r="B48" s="44">
        <v>19</v>
      </c>
      <c r="D48" s="67" t="s">
        <v>62</v>
      </c>
      <c r="H48" s="68">
        <f>SUM(H44:H46)</f>
        <v>133392.15264854633</v>
      </c>
      <c r="J48" s="68">
        <f>SUM(J44:J46)</f>
        <v>4085100.1489150897</v>
      </c>
      <c r="L48" s="62">
        <f>SUM(L44:L46)</f>
        <v>335672.66078906419</v>
      </c>
      <c r="N48" s="69">
        <f>SUM(N44:N46)</f>
        <v>341349.66636688064</v>
      </c>
      <c r="O48" s="63"/>
      <c r="P48" s="62">
        <f>SUM(P44:P46)</f>
        <v>5677.0055055656794</v>
      </c>
      <c r="Q48" s="353">
        <f>P48/L48</f>
        <v>1.6912326110266974E-2</v>
      </c>
      <c r="S48" s="69">
        <f>SUM(S44:S46)</f>
        <v>349348.23199729319</v>
      </c>
      <c r="T48" s="63"/>
      <c r="U48" s="62">
        <f>SUM(U44:U46)</f>
        <v>7998.5655804078906</v>
      </c>
      <c r="V48" s="353">
        <f>U48/N48</f>
        <v>2.3432176353179963E-2</v>
      </c>
      <c r="W48" s="354">
        <f>N48/J48*100</f>
        <v>8.3559681262045782</v>
      </c>
      <c r="X48" s="354">
        <f>S48/J48*100</f>
        <v>8.5517666461634274</v>
      </c>
      <c r="Y48" s="30"/>
      <c r="AA48" s="6"/>
      <c r="AB48" s="6"/>
      <c r="AC48" s="6"/>
    </row>
    <row r="49" spans="9:28" ht="18.75" customHeight="1" thickTop="1">
      <c r="I49" s="3"/>
      <c r="P49" s="29" t="s">
        <v>0</v>
      </c>
      <c r="Q49" s="355" t="s">
        <v>0</v>
      </c>
      <c r="U49" s="29" t="s">
        <v>0</v>
      </c>
      <c r="V49" s="355" t="s">
        <v>0</v>
      </c>
    </row>
    <row r="50" spans="9:28" ht="18.75" customHeight="1">
      <c r="P50" s="209" t="s">
        <v>0</v>
      </c>
      <c r="Q50" s="171" t="s">
        <v>0</v>
      </c>
      <c r="U50" s="209" t="s">
        <v>0</v>
      </c>
      <c r="V50" s="171" t="s">
        <v>0</v>
      </c>
    </row>
    <row r="51" spans="9:28">
      <c r="L51" s="72"/>
      <c r="M51" s="6"/>
      <c r="P51" s="49"/>
      <c r="Q51" s="73"/>
      <c r="R51" s="6"/>
      <c r="U51" s="49"/>
      <c r="V51" s="73"/>
      <c r="W51" s="6"/>
      <c r="X51" s="6"/>
      <c r="Y51" s="6"/>
      <c r="Z51" s="6"/>
      <c r="AA51" s="6"/>
      <c r="AB51" s="6"/>
    </row>
    <row r="52" spans="9:28">
      <c r="M52" s="6"/>
      <c r="P52" s="74"/>
      <c r="R52" s="6"/>
      <c r="U52" s="74"/>
      <c r="W52" s="63"/>
      <c r="X52" s="63"/>
      <c r="Y52" s="6"/>
      <c r="Z52" s="6"/>
      <c r="AA52" s="6"/>
      <c r="AB52" s="6"/>
    </row>
    <row r="53" spans="9:28">
      <c r="N53" s="35"/>
      <c r="P53" s="75"/>
      <c r="Q53" s="76"/>
      <c r="S53" s="35"/>
      <c r="U53" s="75"/>
      <c r="V53" s="76"/>
    </row>
    <row r="54" spans="9:28">
      <c r="N54" s="6"/>
      <c r="P54" s="77"/>
      <c r="Q54" s="78"/>
      <c r="S54" s="6"/>
      <c r="U54" s="77"/>
      <c r="V54" s="78"/>
    </row>
    <row r="55" spans="9:28">
      <c r="N55" s="25"/>
      <c r="P55" s="79"/>
      <c r="Q55" s="80"/>
      <c r="S55" s="25"/>
      <c r="U55" s="79"/>
      <c r="V55" s="80"/>
    </row>
    <row r="56" spans="9:28">
      <c r="N56" s="81"/>
      <c r="Q56" s="42"/>
      <c r="S56" s="81"/>
      <c r="V56" s="42"/>
    </row>
    <row r="57" spans="9:28">
      <c r="N57" s="3"/>
      <c r="Q57" s="82"/>
      <c r="S57" s="3"/>
      <c r="V57" s="82"/>
    </row>
    <row r="59" spans="9:28">
      <c r="N59" s="25"/>
      <c r="S59" s="25"/>
    </row>
  </sheetData>
  <mergeCells count="11">
    <mergeCell ref="B7:V7"/>
    <mergeCell ref="B2:V2"/>
    <mergeCell ref="B3:V3"/>
    <mergeCell ref="B4:V4"/>
    <mergeCell ref="B5:V5"/>
    <mergeCell ref="B6:V6"/>
    <mergeCell ref="N8:Q8"/>
    <mergeCell ref="S8:V8"/>
    <mergeCell ref="N9:Q9"/>
    <mergeCell ref="S9:V9"/>
    <mergeCell ref="B45:D45"/>
  </mergeCells>
  <printOptions horizontalCentered="1"/>
  <pageMargins left="0.25" right="0.25" top="0.5" bottom="0.5" header="0.5" footer="0.25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2017-08-28T07:00:00+00:00</OpenedDate>
    <Date1 xmlns="dc463f71-b30c-4ab2-9473-d307f9d35888">2017-08-28T07:00:00+00:00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170914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6FBD955C6061142BC0F3B4D87C08662" ma:contentTypeVersion="104" ma:contentTypeDescription="" ma:contentTypeScope="" ma:versionID="481a7008a7ed4b1d259001ef950d5b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C77327A8-F031-4B5B-ABAF-2DEE080EA55B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17B589-BA7F-4132-8B70-8D2E84D151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802408-95A9-4D77-873D-EDACBEF663C2}"/>
</file>

<file path=customXml/itemProps4.xml><?xml version="1.0" encoding="utf-8"?>
<ds:datastoreItem xmlns:ds="http://schemas.openxmlformats.org/officeDocument/2006/customXml" ds:itemID="{5B5736B8-7A49-4B34-921C-1C10ADFEA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Attachment A</vt:lpstr>
      <vt:lpstr>Attachment B</vt:lpstr>
      <vt:lpstr>Attachment C</vt:lpstr>
      <vt:lpstr>Attachment D</vt:lpstr>
      <vt:lpstr>305 Inputs</vt:lpstr>
      <vt:lpstr>Billing Comp Schedule 40</vt:lpstr>
      <vt:lpstr>Table A rate case</vt:lpstr>
      <vt:lpstr>'Attachment A'!Print_Area</vt:lpstr>
      <vt:lpstr>'Attachment B'!Print_Area</vt:lpstr>
      <vt:lpstr>'Attachment C'!Print_Area</vt:lpstr>
      <vt:lpstr>'Attachment D'!Print_Area</vt:lpstr>
      <vt:lpstr>'Billing Comp Schedule 40'!Print_Area</vt:lpstr>
      <vt:lpstr>'Table A rate case'!Print_Area</vt:lpstr>
      <vt:lpstr>'Attachment A'!Print_Titles</vt:lpstr>
      <vt:lpstr>'Attachment D'!TABLEA</vt:lpstr>
      <vt:lpstr>'Table A rate case'!TABLEA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2017-08-28T18:49:08Z</dcterms:created>
  <dcterms:modified xsi:type="dcterms:W3CDTF">2017-08-28T21:06:36Z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0x0101006E56B4D1795A2E4DB2F0B01679ED314A0006FBD955C6061142BC0F3B4D87C08662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