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ly 2017\July 31\St. John Telephone\"/>
    </mc:Choice>
  </mc:AlternateContent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E12" i="3" l="1"/>
  <c r="E15" i="3" l="1"/>
  <c r="E9" i="3"/>
  <c r="D21" i="13" l="1"/>
  <c r="D20" i="13"/>
  <c r="D18" i="13"/>
  <c r="D17" i="13"/>
  <c r="D16" i="13"/>
  <c r="C46" i="12"/>
  <c r="C42" i="12"/>
  <c r="D14" i="2" l="1"/>
  <c r="A3" i="5" l="1"/>
  <c r="I35" i="12" l="1"/>
  <c r="G35" i="5" s="1"/>
  <c r="E14" i="18" s="1"/>
  <c r="D10" i="2"/>
  <c r="I35" i="2"/>
  <c r="F35" i="5" s="1"/>
  <c r="D14" i="18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<sst xmlns="http://schemas.openxmlformats.org/spreadsheetml/2006/main" count="630" uniqueCount="269">
  <si>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</si>
  <si>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</si>
  <si>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</si>
  <si>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</si>
  <si>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</si>
  <si>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</si>
  <si>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</si>
  <si>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</si>
  <si>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</si>
  <si>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</si>
  <si>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</si>
  <si>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</si>
  <si>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</si>
  <si>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</si>
  <si>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</si>
  <si>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</si>
  <si>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</si>
  <si>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</si>
  <si>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</si>
  <si>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</si>
  <si>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</si>
  <si>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</si>
  <si>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</si>
  <si>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</si>
  <si>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</si>
  <si>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</si>
  <si>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</si>
  <si>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</si>
  <si>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</si>
  <si>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</si>
  <si>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</si>
  <si>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</si>
  <si>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</si>
  <si>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</si>
  <si>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</si>
  <si>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</si>
  <si>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</si>
  <si>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</si>
  <si>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</si>
  <si>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</si>
  <si>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</si>
  <si>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</si>
  <si>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</si>
  <si>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</si>
  <si>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</si>
  <si>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</si>
  <si>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</si>
  <si>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</si>
  <si>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</si>
  <si>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</si>
  <si>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</si>
  <si>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</si>
  <si>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</si>
  <si>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</si>
  <si>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</si>
  <si>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</si>
  <si>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</si>
  <si>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</si>
  <si>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</si>
  <si>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</si>
  <si>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</si>
  <si>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</si>
  <si>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</si>
  <si>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</si>
  <si>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</si>
  <si>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</si>
  <si>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</si>
  <si>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</si>
  <si>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</si>
  <si>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</si>
  <si>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</si>
  <si>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</si>
  <si>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</si>
  <si>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</si>
  <si>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</si>
  <si>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</si>
  <si>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</si>
  <si>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</si>
  <si>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</si>
  <si>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</si>
  <si>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</si>
  <si>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</si>
  <si>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</si>
  <si>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</si>
  <si>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</si>
  <si>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</si>
  <si>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</si>
  <si>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</si>
  <si>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</si>
  <si>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</si>
  <si>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</si>
  <si>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</si>
  <si>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</si>
  <si>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</si>
  <si>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</si>
  <si>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</si>
  <si>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</si>
  <si>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</si>
  <si>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</si>
  <si>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</si>
  <si>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</si>
  <si>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</si>
  <si>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</si>
  <si>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</si>
  <si>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</si>
  <si>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</si>
  <si>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</si>
  <si>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</si>
  <si>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</si>
  <si>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</si>
  <si>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</si>
  <si>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</si>
  <si>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</si>
  <si>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</si>
  <si>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</si>
  <si>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</si>
  <si>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</si>
  <si>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</si>
  <si>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</si>
  <si>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</si>
  <si>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</si>
  <si>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</si>
  <si>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</si>
  <si>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</si>
  <si>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</si>
  <si>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</si>
  <si>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</si>
  <si>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</si>
  <si>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</si>
  <si>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</si>
  <si>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</si>
  <si>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</si>
  <si>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</si>
  <si>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</si>
  <si>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</si>
  <si>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</si>
  <si>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</si>
  <si>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</si>
  <si>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</si>
  <si>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</si>
  <si>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</si>
  <si>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</si>
  <si>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</si>
  <si>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</si>
  <si>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</si>
  <si>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</si>
  <si>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</si>
  <si>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</si>
  <si>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</si>
  <si>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</si>
  <si>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</si>
  <si>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</si>
  <si>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</si>
  <si>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</si>
  <si>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</si>
  <si>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</si>
  <si>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</si>
  <si>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</si>
  <si>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</si>
  <si>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</si>
  <si>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</si>
  <si>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</si>
  <si>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</si>
  <si>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</si>
  <si>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</si>
  <si>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</si>
  <si>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</si>
  <si>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</si>
  <si>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</si>
  <si>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</si>
  <si>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</si>
  <si>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</si>
  <si>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</si>
  <si>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</si>
  <si>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</si>
  <si>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</si>
  <si>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</si>
  <si>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</si>
  <si>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</si>
  <si>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</si>
  <si>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</si>
  <si>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</si>
  <si>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</si>
  <si>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</si>
  <si>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</si>
  <si>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</si>
  <si>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</si>
  <si>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</si>
  <si>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</si>
  <si>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</si>
  <si>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</si>
  <si>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</si>
  <si>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</si>
  <si>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</si>
  <si>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</si>
  <si>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</si>
  <si>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</si>
  <si>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</si>
  <si>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</si>
  <si>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</si>
  <si>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</si>
  <si>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</si>
  <si>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</si>
  <si>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</si>
  <si>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</si>
  <si>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</si>
  <si>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</si>
  <si>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</si>
  <si>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</si>
  <si>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</si>
  <si>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</si>
  <si>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</si>
  <si>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</si>
  <si>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</si>
  <si>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</si>
  <si>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</si>
  <si>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</si>
  <si>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</si>
  <si>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</si>
  <si>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</si>
  <si>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</si>
  <si>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</si>
  <si>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</si>
  <si>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</si>
  <si>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</si>
  <si>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</si>
  <si>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</si>
  <si>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</si>
  <si>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</si>
  <si>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</si>
  <si>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</si>
  <si>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</si>
  <si>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</si>
  <si>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</si>
  <si>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</si>
  <si>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</si>
  <si>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</si>
  <si>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</si>
  <si>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</si>
  <si>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</si>
  <si>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</si>
  <si>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</si>
  <si>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</si>
  <si>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</si>
  <si>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</si>
  <si>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</si>
  <si>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</si>
  <si>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</si>
  <si>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</si>
  <si>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</si>
  <si>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</si>
  <si>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</si>
  <si>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</si>
  <si>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</si>
  <si>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</si>
  <si>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</si>
  <si>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</si>
  <si>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</si>
  <si>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</si>
  <si>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</si>
  <si>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</si>
  <si>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</si>
  <si>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</si>
  <si>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</si>
  <si>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</si>
  <si>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</si>
  <si>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</si>
  <si>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</si>
  <si>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St. John Telephone,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</si>
</sst>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A13" sqref="A13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A13" sqref="A1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St. John Telephone, Inc.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v>73313</v>
      </c>
      <c r="E9" s="55">
        <f>13345+43559+14503</f>
        <v>71407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v>64302</v>
      </c>
      <c r="E11" s="52">
        <v>46766</v>
      </c>
    </row>
    <row r="12" spans="1:5" x14ac:dyDescent="0.25">
      <c r="A12" s="10" t="s">
        <v>183</v>
      </c>
      <c r="B12" s="17" t="s">
        <v>210</v>
      </c>
      <c r="C12" s="10"/>
      <c r="D12" s="52">
        <v>317459</v>
      </c>
      <c r="E12" s="52">
        <f>136740+25359+238561</f>
        <v>400660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>
        <v>1445</v>
      </c>
      <c r="E14" s="52">
        <v>722</v>
      </c>
    </row>
    <row r="15" spans="1:5" x14ac:dyDescent="0.25">
      <c r="A15" s="10" t="s">
        <v>185</v>
      </c>
      <c r="B15" s="17" t="s">
        <v>148</v>
      </c>
      <c r="C15" s="10"/>
      <c r="D15" s="52">
        <v>169028</v>
      </c>
      <c r="E15" s="52">
        <f>30082+197477</f>
        <v>227559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v>1512033</v>
      </c>
      <c r="E16" s="52">
        <v>1301638</v>
      </c>
    </row>
    <row r="17" spans="1:5" x14ac:dyDescent="0.25">
      <c r="A17" s="10">
        <v>5</v>
      </c>
      <c r="B17" s="17" t="s">
        <v>199</v>
      </c>
      <c r="C17" s="10"/>
      <c r="D17" s="52">
        <v>46792</v>
      </c>
      <c r="E17" s="52">
        <v>57547</v>
      </c>
    </row>
    <row r="18" spans="1:5" x14ac:dyDescent="0.25">
      <c r="A18" s="10">
        <v>6</v>
      </c>
      <c r="B18" s="17" t="s">
        <v>170</v>
      </c>
      <c r="C18" s="11"/>
      <c r="D18" s="53"/>
      <c r="E18" s="53"/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2184372</v>
      </c>
      <c r="E19" s="35">
        <f>E9+E11+E12+E14+E15+E16+E17+E18</f>
        <v>2106299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2184372</v>
      </c>
      <c r="E20" s="37">
        <f>IncomeStmtSummary!D10</f>
        <v>2106299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</v>
      </c>
      <c r="E21" s="34">
        <f>E19-E20</f>
        <v>0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13" sqref="A1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St. John Telephone, Inc.</v>
      </c>
      <c r="B3" s="66"/>
    </row>
    <row r="6" spans="1:5" x14ac:dyDescent="0.25">
      <c r="A6" s="9" t="s">
        <v>257</v>
      </c>
      <c r="B6" s="9" t="s">
        <v>230</v>
      </c>
      <c r="C6" s="6"/>
      <c r="D6" s="123" t="s">
        <v>195</v>
      </c>
      <c r="E6" s="124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196</v>
      </c>
      <c r="B9" s="17"/>
      <c r="C9" s="17"/>
      <c r="D9" s="116"/>
      <c r="E9" s="116"/>
    </row>
    <row r="10" spans="1:5" x14ac:dyDescent="0.25">
      <c r="A10" s="17"/>
      <c r="B10" s="17"/>
      <c r="C10" s="17"/>
      <c r="D10" s="116"/>
      <c r="E10" s="116"/>
    </row>
    <row r="11" spans="1:5" x14ac:dyDescent="0.25">
      <c r="A11" s="17"/>
      <c r="B11" s="17"/>
      <c r="C11" s="17"/>
      <c r="D11" s="116"/>
      <c r="E11" s="116"/>
    </row>
    <row r="12" spans="1:5" x14ac:dyDescent="0.25">
      <c r="A12" s="17"/>
      <c r="B12" s="17"/>
      <c r="C12" s="17"/>
      <c r="D12" s="116"/>
      <c r="E12" s="116"/>
    </row>
    <row r="13" spans="1:5" x14ac:dyDescent="0.25">
      <c r="A13" s="19"/>
      <c r="B13" s="19"/>
      <c r="C13" s="19"/>
      <c r="D13" s="117"/>
      <c r="E13" s="117"/>
    </row>
    <row r="14" spans="1:5" x14ac:dyDescent="0.25">
      <c r="A14" s="17" t="s">
        <v>197</v>
      </c>
      <c r="B14" s="17"/>
      <c r="C14" s="17"/>
      <c r="D14" s="116"/>
      <c r="E14" s="116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/>
      <c r="B16" s="17"/>
      <c r="C16" s="17"/>
      <c r="D16" s="116"/>
      <c r="E16" s="116"/>
    </row>
    <row r="17" spans="1:5" x14ac:dyDescent="0.25">
      <c r="A17" s="17"/>
      <c r="B17" s="17"/>
      <c r="C17" s="17"/>
      <c r="D17" s="116"/>
      <c r="E17" s="116"/>
    </row>
    <row r="18" spans="1:5" x14ac:dyDescent="0.25">
      <c r="A18" s="19"/>
      <c r="B18" s="19"/>
      <c r="C18" s="19"/>
      <c r="D18" s="117"/>
      <c r="E18" s="117"/>
    </row>
    <row r="19" spans="1:5" x14ac:dyDescent="0.25">
      <c r="A19" s="17" t="s">
        <v>198</v>
      </c>
      <c r="B19" s="17"/>
      <c r="C19" s="17"/>
      <c r="D19" s="116"/>
      <c r="E19" s="116"/>
    </row>
    <row r="20" spans="1:5" x14ac:dyDescent="0.25">
      <c r="A20" s="17"/>
      <c r="B20" s="17"/>
      <c r="C20" s="17"/>
      <c r="D20" s="116"/>
      <c r="E20" s="116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/>
      <c r="B22" s="17"/>
      <c r="C22" s="17"/>
      <c r="D22" s="116"/>
      <c r="E22" s="116"/>
    </row>
    <row r="23" spans="1:5" x14ac:dyDescent="0.25">
      <c r="A23" s="19"/>
      <c r="B23" s="19"/>
      <c r="C23" s="19"/>
      <c r="D23" s="117"/>
      <c r="E23" s="117"/>
    </row>
    <row r="24" spans="1:5" x14ac:dyDescent="0.25">
      <c r="A24" s="17" t="s">
        <v>203</v>
      </c>
      <c r="B24" s="17"/>
      <c r="C24" s="17"/>
      <c r="D24" s="116"/>
      <c r="E24" s="116"/>
    </row>
    <row r="25" spans="1:5" x14ac:dyDescent="0.25">
      <c r="A25" s="17"/>
      <c r="B25" s="17"/>
      <c r="C25" s="17"/>
      <c r="D25" s="116"/>
      <c r="E25" s="116"/>
    </row>
    <row r="26" spans="1:5" x14ac:dyDescent="0.25">
      <c r="A26" s="17"/>
      <c r="B26" s="17"/>
      <c r="C26" s="17"/>
      <c r="D26" s="116"/>
      <c r="E26" s="116"/>
    </row>
    <row r="27" spans="1:5" x14ac:dyDescent="0.25">
      <c r="A27" s="17"/>
      <c r="B27" s="17"/>
      <c r="C27" s="17"/>
      <c r="D27" s="116"/>
      <c r="E27" s="116"/>
    </row>
    <row r="28" spans="1:5" x14ac:dyDescent="0.25">
      <c r="A28" s="19"/>
      <c r="B28" s="19"/>
      <c r="C28" s="19"/>
      <c r="D28" s="117"/>
      <c r="E28" s="117"/>
    </row>
    <row r="29" spans="1:5" x14ac:dyDescent="0.25">
      <c r="A29" s="17" t="s">
        <v>231</v>
      </c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7"/>
      <c r="B31" s="17"/>
      <c r="C31" s="17"/>
      <c r="D31" s="116"/>
      <c r="E31" s="116"/>
    </row>
    <row r="32" spans="1:5" x14ac:dyDescent="0.25">
      <c r="A32" s="17"/>
      <c r="B32" s="17"/>
      <c r="C32" s="17"/>
      <c r="D32" s="116"/>
      <c r="E32" s="116"/>
    </row>
    <row r="33" spans="1:5" x14ac:dyDescent="0.25">
      <c r="A33" s="19"/>
      <c r="B33" s="19"/>
      <c r="C33" s="19"/>
      <c r="D33" s="117"/>
      <c r="E33" s="117"/>
    </row>
    <row r="34" spans="1:5" x14ac:dyDescent="0.25">
      <c r="D34" s="110"/>
      <c r="E34" s="110"/>
    </row>
    <row r="35" spans="1:5" x14ac:dyDescent="0.25">
      <c r="D35" s="110"/>
      <c r="E35" s="110"/>
    </row>
    <row r="36" spans="1:5" x14ac:dyDescent="0.25">
      <c r="D36" s="110"/>
      <c r="E36" s="110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zoomScaleNormal="100" workbookViewId="0">
      <selection activeCell="A13" sqref="A13"/>
    </sheetView>
  </sheetViews>
  <sheetFormatPr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St. John Telephone, Inc.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6440186</v>
      </c>
      <c r="D10" s="82">
        <f>C10</f>
        <v>6440186</v>
      </c>
    </row>
    <row r="11" spans="1:4" x14ac:dyDescent="0.25">
      <c r="A11" s="75">
        <v>2</v>
      </c>
      <c r="B11" s="79" t="s">
        <v>177</v>
      </c>
      <c r="C11" s="94">
        <f>'RateBase '!E15</f>
        <v>5878572</v>
      </c>
      <c r="D11" s="94">
        <f>C11</f>
        <v>5878572</v>
      </c>
    </row>
    <row r="12" spans="1:4" x14ac:dyDescent="0.25">
      <c r="A12" s="75">
        <v>3</v>
      </c>
      <c r="B12" s="90" t="s">
        <v>178</v>
      </c>
      <c r="C12" s="80">
        <f>(C10+C11)/2</f>
        <v>6159379</v>
      </c>
      <c r="D12" s="80">
        <f>(D10+D11)/2</f>
        <v>6159379</v>
      </c>
    </row>
    <row r="13" spans="1:4" x14ac:dyDescent="0.25">
      <c r="A13" s="75">
        <v>4</v>
      </c>
      <c r="B13" s="79" t="s">
        <v>179</v>
      </c>
      <c r="C13" s="58">
        <f>IncomeStmtSummary!D29</f>
        <v>563642</v>
      </c>
      <c r="D13" s="58">
        <f>C13</f>
        <v>563642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563642</v>
      </c>
      <c r="D15" s="80">
        <f>D13+D14</f>
        <v>563642</v>
      </c>
    </row>
    <row r="16" spans="1:4" x14ac:dyDescent="0.25">
      <c r="A16" s="75">
        <v>7</v>
      </c>
      <c r="B16" s="90" t="s">
        <v>180</v>
      </c>
      <c r="C16" s="81">
        <f>C15/C12</f>
        <v>9.1509549907547491E-2</v>
      </c>
      <c r="D16" s="81">
        <f>D15/D12</f>
        <v>9.1509549907547491E-2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6" zoomScaleNormal="100" workbookViewId="0">
      <selection activeCell="A13" sqref="A1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3322415</v>
      </c>
      <c r="C10" s="54"/>
      <c r="D10" s="58">
        <f>SUM(B10:C10)</f>
        <v>3322415</v>
      </c>
      <c r="E10" s="17"/>
      <c r="F10" s="17" t="s">
        <v>78</v>
      </c>
      <c r="G10" s="52">
        <v>100604</v>
      </c>
      <c r="H10" s="54"/>
      <c r="I10" s="58">
        <f>SUM(G10:H10)</f>
        <v>100604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>
        <v>150</v>
      </c>
      <c r="H13" s="54"/>
      <c r="I13" s="58">
        <f t="shared" si="0"/>
        <v>150</v>
      </c>
    </row>
    <row r="14" spans="1:9" x14ac:dyDescent="0.25">
      <c r="A14" s="17" t="s">
        <v>47</v>
      </c>
      <c r="B14" s="52"/>
      <c r="C14" s="54"/>
      <c r="D14" s="58">
        <f>SUM(B14:C14)</f>
        <v>0</v>
      </c>
      <c r="E14" s="17"/>
      <c r="F14" s="17" t="s">
        <v>84</v>
      </c>
      <c r="G14" s="52">
        <v>323219</v>
      </c>
      <c r="H14" s="54"/>
      <c r="I14" s="58">
        <f t="shared" si="0"/>
        <v>323219</v>
      </c>
    </row>
    <row r="15" spans="1:9" x14ac:dyDescent="0.25">
      <c r="A15" s="17" t="s">
        <v>45</v>
      </c>
      <c r="B15" s="52"/>
      <c r="C15" s="54"/>
      <c r="D15" s="58">
        <f t="shared" ref="D15" si="1">SUM(B15:C15)</f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8024</v>
      </c>
      <c r="C17" s="54"/>
      <c r="D17" s="58">
        <f>SUM(B17:C17)</f>
        <v>8024</v>
      </c>
      <c r="E17" s="18"/>
      <c r="F17" s="17" t="s">
        <v>87</v>
      </c>
      <c r="G17" s="52">
        <v>31868</v>
      </c>
      <c r="H17" s="54"/>
      <c r="I17" s="58">
        <f t="shared" si="0"/>
        <v>31868</v>
      </c>
    </row>
    <row r="18" spans="1:9" x14ac:dyDescent="0.25">
      <c r="A18" s="17" t="s">
        <v>47</v>
      </c>
      <c r="B18" s="52">
        <v>188531</v>
      </c>
      <c r="C18" s="54"/>
      <c r="D18" s="58">
        <f t="shared" ref="D18:D24" si="2">SUM(B18:C18)</f>
        <v>188531</v>
      </c>
      <c r="E18" s="17"/>
      <c r="F18" s="17" t="s">
        <v>88</v>
      </c>
      <c r="G18" s="52">
        <v>12055</v>
      </c>
      <c r="H18" s="54"/>
      <c r="I18" s="58">
        <f t="shared" si="0"/>
        <v>12055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46128</v>
      </c>
      <c r="H19" s="113"/>
      <c r="I19" s="59">
        <f t="shared" si="0"/>
        <v>46128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514024</v>
      </c>
      <c r="H20" s="58">
        <f>SUM(H10:H19)</f>
        <v>0</v>
      </c>
      <c r="I20" s="58">
        <f t="shared" ref="I20" si="3">SUM(I10:I19)</f>
        <v>514024</v>
      </c>
    </row>
    <row r="21" spans="1:9" x14ac:dyDescent="0.25">
      <c r="A21" s="17" t="s">
        <v>49</v>
      </c>
      <c r="B21" s="52">
        <v>24533</v>
      </c>
      <c r="C21" s="54"/>
      <c r="D21" s="58">
        <f t="shared" si="2"/>
        <v>24533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1119</v>
      </c>
      <c r="C22" s="54"/>
      <c r="D22" s="58">
        <f t="shared" si="2"/>
        <v>1119</v>
      </c>
      <c r="E22" s="17"/>
      <c r="F22" s="17" t="s">
        <v>92</v>
      </c>
      <c r="G22" s="52">
        <v>5254376</v>
      </c>
      <c r="H22" s="54"/>
      <c r="I22" s="58">
        <f>SUM(G22:H22)</f>
        <v>5254376</v>
      </c>
    </row>
    <row r="23" spans="1:9" x14ac:dyDescent="0.25">
      <c r="A23" s="17" t="s">
        <v>51</v>
      </c>
      <c r="B23" s="52">
        <v>47673</v>
      </c>
      <c r="C23" s="54"/>
      <c r="D23" s="58">
        <f t="shared" si="2"/>
        <v>47673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/>
      <c r="C24" s="113"/>
      <c r="D24" s="59">
        <f t="shared" si="2"/>
        <v>0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3592295</v>
      </c>
      <c r="C25" s="58">
        <f>C10+C11+C13+C14+C15+C17+C18+C19+C20+C21+C22+C23+C24</f>
        <v>0</v>
      </c>
      <c r="D25" s="58">
        <f t="shared" ref="D25" si="5">D10+D11+D13+D14+D15+D17+D18+D19+D20+D21+D22+D23+D24</f>
        <v>3592295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>
        <v>1632094</v>
      </c>
      <c r="C31" s="54"/>
      <c r="D31" s="58">
        <f>SUM(B31:C31)</f>
        <v>1632094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5254376</v>
      </c>
      <c r="H32" s="121">
        <f>SUM(H22:H31)</f>
        <v>0</v>
      </c>
      <c r="I32" s="121">
        <f>SUM(I22:I31)</f>
        <v>5254376</v>
      </c>
    </row>
    <row r="33" spans="1:9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>
        <v>423034</v>
      </c>
      <c r="C34" s="54"/>
      <c r="D34" s="58">
        <f t="shared" ref="D34:D38" si="7">SUM(B34:C34)</f>
        <v>423034</v>
      </c>
      <c r="E34" s="17"/>
      <c r="F34" s="17" t="s">
        <v>103</v>
      </c>
      <c r="G34" s="52"/>
      <c r="H34" s="54"/>
      <c r="I34" s="58">
        <f>SUM(G34:H34)</f>
        <v>0</v>
      </c>
    </row>
    <row r="35" spans="1:9" x14ac:dyDescent="0.25">
      <c r="A35" s="17" t="s">
        <v>158</v>
      </c>
      <c r="B35" s="52">
        <v>57654</v>
      </c>
      <c r="C35" s="69">
        <f>-1*(C25+C30+C31+C33+C34+C36+C37+C38+C47)</f>
        <v>72497</v>
      </c>
      <c r="D35" s="58">
        <f t="shared" si="7"/>
        <v>130151</v>
      </c>
      <c r="E35" s="17"/>
      <c r="F35" s="18" t="s">
        <v>236</v>
      </c>
      <c r="G35" s="52">
        <v>1281785</v>
      </c>
      <c r="H35" s="52">
        <v>-54189</v>
      </c>
      <c r="I35" s="58">
        <f>SUM(G35:H35)</f>
        <v>1227596</v>
      </c>
    </row>
    <row r="36" spans="1:9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4"/>
      <c r="I36" s="58">
        <f t="shared" ref="I36:I37" si="8">SUM(G36:H36)</f>
        <v>0</v>
      </c>
    </row>
    <row r="37" spans="1:9" x14ac:dyDescent="0.25">
      <c r="A37" s="17" t="s">
        <v>63</v>
      </c>
      <c r="B37" s="52"/>
      <c r="C37" s="54"/>
      <c r="D37" s="58">
        <f t="shared" si="7"/>
        <v>0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1281785</v>
      </c>
      <c r="H38" s="58">
        <f>SUM(H34:H37)</f>
        <v>-54189</v>
      </c>
      <c r="I38" s="58">
        <f>SUM(I34:I37)</f>
        <v>1227596</v>
      </c>
    </row>
    <row r="39" spans="1:9" x14ac:dyDescent="0.25">
      <c r="A39" s="17" t="s">
        <v>65</v>
      </c>
      <c r="B39" s="58">
        <f>B30+B31+B33+B34+B35+B36+B37+B38</f>
        <v>2112782</v>
      </c>
      <c r="C39" s="58">
        <f>C30+C31+C33+C34+C35+C36+C37+C38</f>
        <v>72497</v>
      </c>
      <c r="D39" s="58">
        <f>D30+D31+D33+D34+D35+D36+D37+D38</f>
        <v>2185279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36800</v>
      </c>
      <c r="H40" s="22"/>
      <c r="I40" s="58">
        <f>SUM(G40:H40)</f>
        <v>36800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166</v>
      </c>
      <c r="B42" s="52">
        <v>13170702</v>
      </c>
      <c r="C42" s="52">
        <v>-120061</v>
      </c>
      <c r="D42" s="58">
        <f>SUM(B42:C42)</f>
        <v>13050641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/>
      <c r="C43" s="52"/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>
        <v>76529</v>
      </c>
      <c r="C44" s="52">
        <v>-76529</v>
      </c>
      <c r="D44" s="58">
        <f t="shared" si="10"/>
        <v>0</v>
      </c>
      <c r="E44" s="17"/>
      <c r="F44" s="17" t="s">
        <v>241</v>
      </c>
      <c r="G44" s="52"/>
      <c r="H44" s="22"/>
      <c r="I44" s="58">
        <f t="shared" si="9"/>
        <v>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-5531485</v>
      </c>
      <c r="C46" s="53">
        <v>124093</v>
      </c>
      <c r="D46" s="59">
        <f t="shared" si="10"/>
        <v>-5407392</v>
      </c>
      <c r="E46" s="17"/>
      <c r="F46" s="17" t="s">
        <v>243</v>
      </c>
      <c r="G46" s="53">
        <v>6333838</v>
      </c>
      <c r="H46" s="95">
        <f>-1*(H20+H32+H38)</f>
        <v>54189</v>
      </c>
      <c r="I46" s="59">
        <f t="shared" si="9"/>
        <v>6388027</v>
      </c>
    </row>
    <row r="47" spans="1:9" x14ac:dyDescent="0.25">
      <c r="A47" s="17" t="s">
        <v>71</v>
      </c>
      <c r="B47" s="58">
        <f>B42+B43+B44+B45+B46</f>
        <v>7715746</v>
      </c>
      <c r="C47" s="58">
        <f t="shared" ref="C47:D47" si="11">C42+C43+C44+C45+C46</f>
        <v>-72497</v>
      </c>
      <c r="D47" s="58">
        <f t="shared" si="11"/>
        <v>7643249</v>
      </c>
      <c r="E47" s="17"/>
      <c r="F47" s="17" t="s">
        <v>244</v>
      </c>
      <c r="G47" s="58">
        <f>SUM(G40:G46)</f>
        <v>6370638</v>
      </c>
      <c r="H47" s="61">
        <f t="shared" ref="H47:I47" si="12">SUM(H40:H46)</f>
        <v>54189</v>
      </c>
      <c r="I47" s="58">
        <f t="shared" si="12"/>
        <v>6424827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13420823</v>
      </c>
      <c r="C49" s="60">
        <f>C25+C39+C47</f>
        <v>0</v>
      </c>
      <c r="D49" s="60">
        <f>D25+D39+D47</f>
        <v>13420823</v>
      </c>
      <c r="E49" s="19"/>
      <c r="F49" s="83" t="s">
        <v>248</v>
      </c>
      <c r="G49" s="60">
        <f>G20+G32+G38+G47</f>
        <v>13420823</v>
      </c>
      <c r="H49" s="60">
        <f>H20+H32+H38+H47</f>
        <v>0</v>
      </c>
      <c r="I49" s="60">
        <f>I20+I32+I38+I47</f>
        <v>13420823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3" zoomScaleNormal="100" workbookViewId="0">
      <selection activeCell="A13" sqref="A1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tr">
        <f>PriorYearBalanceSheet!A3</f>
        <v>St. John Telephone, Inc.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v>3403151</v>
      </c>
      <c r="C10" s="54"/>
      <c r="D10" s="58">
        <f>SUM(B10:C10)</f>
        <v>3403151</v>
      </c>
      <c r="E10" s="17"/>
      <c r="F10" s="17" t="s">
        <v>78</v>
      </c>
      <c r="G10" s="52">
        <v>32298</v>
      </c>
      <c r="H10" s="54"/>
      <c r="I10" s="58">
        <f>SUM(G10:H10)</f>
        <v>32298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>
        <v>150</v>
      </c>
      <c r="H13" s="54"/>
      <c r="I13" s="58">
        <f t="shared" si="0"/>
        <v>150</v>
      </c>
    </row>
    <row r="14" spans="1:9" x14ac:dyDescent="0.25">
      <c r="A14" s="17" t="s">
        <v>47</v>
      </c>
      <c r="B14" s="52"/>
      <c r="C14" s="54"/>
      <c r="D14" s="58">
        <f t="shared" ref="D14:D15" si="1">SUM(B14:C14)</f>
        <v>0</v>
      </c>
      <c r="E14" s="17"/>
      <c r="F14" s="17" t="s">
        <v>84</v>
      </c>
      <c r="G14" s="52">
        <v>339772</v>
      </c>
      <c r="H14" s="54"/>
      <c r="I14" s="58">
        <f t="shared" si="0"/>
        <v>339772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2579</v>
      </c>
      <c r="C17" s="54"/>
      <c r="D17" s="58">
        <f>SUM(B17:C17)</f>
        <v>2579</v>
      </c>
      <c r="E17" s="18"/>
      <c r="F17" s="17" t="s">
        <v>87</v>
      </c>
      <c r="G17" s="52">
        <v>9160</v>
      </c>
      <c r="H17" s="54"/>
      <c r="I17" s="58">
        <f t="shared" si="0"/>
        <v>9160</v>
      </c>
    </row>
    <row r="18" spans="1:9" x14ac:dyDescent="0.25">
      <c r="A18" s="17" t="s">
        <v>47</v>
      </c>
      <c r="B18" s="52">
        <v>199615</v>
      </c>
      <c r="C18" s="54"/>
      <c r="D18" s="58">
        <f t="shared" ref="D18:D24" si="2">SUM(B18:C18)</f>
        <v>199615</v>
      </c>
      <c r="E18" s="17"/>
      <c r="F18" s="17" t="s">
        <v>88</v>
      </c>
      <c r="G18" s="52">
        <v>10866</v>
      </c>
      <c r="H18" s="54"/>
      <c r="I18" s="58">
        <f t="shared" si="0"/>
        <v>10866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46491</v>
      </c>
      <c r="H19" s="113"/>
      <c r="I19" s="59">
        <f t="shared" si="0"/>
        <v>46491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438737</v>
      </c>
      <c r="H20" s="58">
        <f>SUM(H10:H19)</f>
        <v>0</v>
      </c>
      <c r="I20" s="58">
        <f t="shared" ref="I20" si="3">SUM(I10:I19)</f>
        <v>438737</v>
      </c>
    </row>
    <row r="21" spans="1:9" x14ac:dyDescent="0.25">
      <c r="A21" s="17" t="s">
        <v>49</v>
      </c>
      <c r="B21" s="52">
        <v>22615</v>
      </c>
      <c r="C21" s="54"/>
      <c r="D21" s="58">
        <f t="shared" si="2"/>
        <v>22615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1119</v>
      </c>
      <c r="C22" s="54"/>
      <c r="D22" s="58">
        <f t="shared" si="2"/>
        <v>1119</v>
      </c>
      <c r="E22" s="17"/>
      <c r="F22" s="17" t="s">
        <v>92</v>
      </c>
      <c r="G22" s="52">
        <v>4792537</v>
      </c>
      <c r="H22" s="54"/>
      <c r="I22" s="58">
        <f>SUM(G22:H22)</f>
        <v>4792537</v>
      </c>
    </row>
    <row r="23" spans="1:9" x14ac:dyDescent="0.25">
      <c r="A23" s="17" t="s">
        <v>51</v>
      </c>
      <c r="B23" s="52">
        <v>51666</v>
      </c>
      <c r="C23" s="54"/>
      <c r="D23" s="58">
        <f t="shared" si="2"/>
        <v>51666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/>
      <c r="C24" s="113"/>
      <c r="D24" s="59">
        <f t="shared" si="2"/>
        <v>0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3680745</v>
      </c>
      <c r="C25" s="58">
        <f>C10+C11+C13+C14+C15+C17+C18+C19+C20+C21+C22+C23+C24</f>
        <v>0</v>
      </c>
      <c r="D25" s="58">
        <f t="shared" ref="D25" si="5">D10+D11+D13+D14+D15+D17+D18+D19+D20+D21+D22+D23+D24</f>
        <v>3680745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>
        <v>1791618</v>
      </c>
      <c r="C31" s="54"/>
      <c r="D31" s="58">
        <f>SUM(B31:C31)</f>
        <v>1791618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4792537</v>
      </c>
      <c r="H32" s="82">
        <f>SUM(H22:H31)</f>
        <v>0</v>
      </c>
      <c r="I32" s="58">
        <f>SUM(I22:I31)</f>
        <v>4792537</v>
      </c>
    </row>
    <row r="33" spans="1:11" x14ac:dyDescent="0.25">
      <c r="A33" s="17" t="s">
        <v>57</v>
      </c>
      <c r="B33" s="52"/>
      <c r="C33" s="54"/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>
        <v>290076</v>
      </c>
      <c r="C34" s="54"/>
      <c r="D34" s="58">
        <f t="shared" ref="D34:D38" si="7">SUM(B34:C34)</f>
        <v>290076</v>
      </c>
      <c r="E34" s="17"/>
      <c r="F34" s="17" t="s">
        <v>103</v>
      </c>
      <c r="G34" s="52"/>
      <c r="H34" s="118"/>
      <c r="I34" s="58">
        <f>SUM(G34:H34)</f>
        <v>0</v>
      </c>
    </row>
    <row r="35" spans="1:11" x14ac:dyDescent="0.25">
      <c r="A35" s="17" t="s">
        <v>158</v>
      </c>
      <c r="B35" s="52">
        <v>57654</v>
      </c>
      <c r="C35" s="69">
        <f>-1*(C25+C30+C31+C33+C34+C36+C37+C38+C47)</f>
        <v>187028</v>
      </c>
      <c r="D35" s="58">
        <f t="shared" si="7"/>
        <v>244682</v>
      </c>
      <c r="E35" s="17"/>
      <c r="F35" s="18" t="s">
        <v>236</v>
      </c>
      <c r="G35" s="52">
        <v>1290829</v>
      </c>
      <c r="H35" s="52">
        <v>-21693</v>
      </c>
      <c r="I35" s="58">
        <f>SUM(G35:H35)</f>
        <v>1269136</v>
      </c>
    </row>
    <row r="36" spans="1:11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9"/>
      <c r="I36" s="58">
        <f t="shared" ref="I36:I37" si="8">SUM(G36:H36)</f>
        <v>0</v>
      </c>
    </row>
    <row r="37" spans="1:11" x14ac:dyDescent="0.25">
      <c r="A37" s="17" t="s">
        <v>63</v>
      </c>
      <c r="B37" s="52"/>
      <c r="C37" s="54"/>
      <c r="D37" s="58">
        <f t="shared" si="7"/>
        <v>0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1290829</v>
      </c>
      <c r="H38" s="58">
        <f>SUM(H34:H37)</f>
        <v>-21693</v>
      </c>
      <c r="I38" s="58">
        <f>SUM(I34:I37)</f>
        <v>1269136</v>
      </c>
    </row>
    <row r="39" spans="1:11" x14ac:dyDescent="0.25">
      <c r="A39" s="17" t="s">
        <v>65</v>
      </c>
      <c r="B39" s="58">
        <f>B30+B31+B33+B34+B35+B36+B37+B38</f>
        <v>2139348</v>
      </c>
      <c r="C39" s="58">
        <f>C30+C31+C33+C34+C35+C36+C37+C38</f>
        <v>187028</v>
      </c>
      <c r="D39" s="58">
        <f t="shared" ref="D39" si="9">D30+D31+D33+D34+D35+D36+D37+D38</f>
        <v>2326376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37000</v>
      </c>
      <c r="H40" s="22"/>
      <c r="I40" s="58">
        <f>SUM(G40:H40)</f>
        <v>37000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166</v>
      </c>
      <c r="B42" s="52">
        <v>13311458</v>
      </c>
      <c r="C42" s="52">
        <f>11035-59098-202620</f>
        <v>-250683</v>
      </c>
      <c r="D42" s="58">
        <f>SUM(B42:C42)</f>
        <v>13060775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/>
      <c r="C43" s="52"/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>
        <v>76529</v>
      </c>
      <c r="C44" s="52">
        <v>-76529</v>
      </c>
      <c r="D44" s="58">
        <f t="shared" si="11"/>
        <v>0</v>
      </c>
      <c r="E44" s="17"/>
      <c r="F44" s="17" t="s">
        <v>241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-6075866</v>
      </c>
      <c r="C46" s="53">
        <f>2809-1772+139147</f>
        <v>140184</v>
      </c>
      <c r="D46" s="59">
        <f t="shared" si="11"/>
        <v>-5935682</v>
      </c>
      <c r="E46" s="17"/>
      <c r="F46" s="17" t="s">
        <v>243</v>
      </c>
      <c r="G46" s="53">
        <v>6573111</v>
      </c>
      <c r="H46" s="95">
        <f>-1*(H20+H32+H38)</f>
        <v>21693</v>
      </c>
      <c r="I46" s="59">
        <f t="shared" si="10"/>
        <v>6594804</v>
      </c>
    </row>
    <row r="47" spans="1:11" x14ac:dyDescent="0.25">
      <c r="A47" s="17" t="s">
        <v>71</v>
      </c>
      <c r="B47" s="58">
        <f>B42+B43+B44+B45+B46</f>
        <v>7312121</v>
      </c>
      <c r="C47" s="58">
        <f t="shared" ref="C47:D47" si="12">C42+C43+C44+C45+C46</f>
        <v>-187028</v>
      </c>
      <c r="D47" s="58">
        <f t="shared" si="12"/>
        <v>7125093</v>
      </c>
      <c r="E47" s="17"/>
      <c r="F47" s="17" t="s">
        <v>244</v>
      </c>
      <c r="G47" s="58">
        <f>SUM(G40:G46)</f>
        <v>6610111</v>
      </c>
      <c r="H47" s="61">
        <f t="shared" ref="H47:I47" si="13">SUM(H40:H46)</f>
        <v>21693</v>
      </c>
      <c r="I47" s="58">
        <f t="shared" si="13"/>
        <v>6631804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13132214</v>
      </c>
      <c r="C49" s="60">
        <f t="shared" ref="C49:D49" si="14">C25+C39+C47</f>
        <v>0</v>
      </c>
      <c r="D49" s="60">
        <f t="shared" si="14"/>
        <v>13132214</v>
      </c>
      <c r="E49" s="19"/>
      <c r="F49" s="83" t="s">
        <v>247</v>
      </c>
      <c r="G49" s="60">
        <f>G20+G32+G38+G47</f>
        <v>13132214</v>
      </c>
      <c r="H49" s="60">
        <f>H20+H32+H38+H47</f>
        <v>0</v>
      </c>
      <c r="I49" s="60">
        <f>I20+I32+I38+I47</f>
        <v>13132214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22" zoomScaleNormal="100" workbookViewId="0">
      <selection activeCell="A13" sqref="A1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St. John Telephone, Inc.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3322415</v>
      </c>
      <c r="C10" s="32">
        <f>'CurrentYearBalanceSheet '!D10</f>
        <v>3403151</v>
      </c>
      <c r="D10" s="17"/>
      <c r="E10" s="17" t="s">
        <v>78</v>
      </c>
      <c r="F10" s="32">
        <f>PriorYearBalanceSheet!I10</f>
        <v>100604</v>
      </c>
      <c r="G10" s="32">
        <f>'CurrentYearBalanceSheet '!I10</f>
        <v>32298</v>
      </c>
    </row>
    <row r="11" spans="1:7" x14ac:dyDescent="0.25">
      <c r="A11" s="17" t="s">
        <v>134</v>
      </c>
      <c r="B11" s="32">
        <f>PriorYearBalanceSheet!D11</f>
        <v>0</v>
      </c>
      <c r="C11" s="32">
        <f>'CurrentYearBalanceSheet '!D11</f>
        <v>0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44</v>
      </c>
      <c r="B13" s="32">
        <f>PriorYearBalanceSheet!D13</f>
        <v>0</v>
      </c>
      <c r="C13" s="32">
        <f>'CurrentYearBalanceSheet '!D13</f>
        <v>0</v>
      </c>
      <c r="D13" s="17"/>
      <c r="E13" s="17" t="s">
        <v>83</v>
      </c>
      <c r="F13" s="32">
        <f>PriorYearBalanceSheet!I13</f>
        <v>150</v>
      </c>
      <c r="G13" s="32">
        <f>'CurrentYearBalanceSheet '!I13</f>
        <v>150</v>
      </c>
    </row>
    <row r="14" spans="1:7" x14ac:dyDescent="0.25">
      <c r="A14" s="17" t="s">
        <v>47</v>
      </c>
      <c r="B14" s="32">
        <f>PriorYearBalanceSheet!D14</f>
        <v>0</v>
      </c>
      <c r="C14" s="32">
        <f>'CurrentYearBalanceSheet '!D14</f>
        <v>0</v>
      </c>
      <c r="D14" s="17"/>
      <c r="E14" s="17" t="s">
        <v>84</v>
      </c>
      <c r="F14" s="32">
        <f>PriorYearBalanceSheet!I14</f>
        <v>323219</v>
      </c>
      <c r="G14" s="32">
        <f>'CurrentYearBalanceSheet '!I14</f>
        <v>339772</v>
      </c>
    </row>
    <row r="15" spans="1:7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44</v>
      </c>
      <c r="B17" s="32">
        <f>PriorYearBalanceSheet!D17</f>
        <v>8024</v>
      </c>
      <c r="C17" s="32">
        <f>'CurrentYearBalanceSheet '!D17</f>
        <v>2579</v>
      </c>
      <c r="D17" s="17"/>
      <c r="E17" s="17" t="s">
        <v>87</v>
      </c>
      <c r="F17" s="32">
        <f>PriorYearBalanceSheet!I17</f>
        <v>31868</v>
      </c>
      <c r="G17" s="32">
        <f>'CurrentYearBalanceSheet '!I17</f>
        <v>9160</v>
      </c>
    </row>
    <row r="18" spans="1:7" x14ac:dyDescent="0.25">
      <c r="A18" s="17" t="s">
        <v>47</v>
      </c>
      <c r="B18" s="32">
        <f>PriorYearBalanceSheet!D18</f>
        <v>188531</v>
      </c>
      <c r="C18" s="32">
        <f>'CurrentYearBalanceSheet '!D18</f>
        <v>199615</v>
      </c>
      <c r="D18" s="17"/>
      <c r="E18" s="17" t="s">
        <v>88</v>
      </c>
      <c r="F18" s="32">
        <f>PriorYearBalanceSheet!I18</f>
        <v>12055</v>
      </c>
      <c r="G18" s="32">
        <f>'CurrentYearBalanceSheet '!I18</f>
        <v>10866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46128</v>
      </c>
      <c r="G19" s="32">
        <f>'CurrentYearBalanceSheet '!I19</f>
        <v>46491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514024</v>
      </c>
      <c r="G20" s="35">
        <f>SUM(G10:G19)</f>
        <v>438737</v>
      </c>
    </row>
    <row r="21" spans="1:7" x14ac:dyDescent="0.25">
      <c r="A21" s="17" t="s">
        <v>49</v>
      </c>
      <c r="B21" s="32">
        <f>PriorYearBalanceSheet!D21</f>
        <v>24533</v>
      </c>
      <c r="C21" s="32">
        <f>'CurrentYearBalanceSheet '!D21</f>
        <v>22615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1119</v>
      </c>
      <c r="C22" s="32">
        <f>'CurrentYearBalanceSheet '!D22</f>
        <v>1119</v>
      </c>
      <c r="D22" s="17"/>
      <c r="E22" s="17" t="s">
        <v>92</v>
      </c>
      <c r="F22" s="32">
        <f>PriorYearBalanceSheet!I22</f>
        <v>5254376</v>
      </c>
      <c r="G22" s="32">
        <f>'CurrentYearBalanceSheet '!I22</f>
        <v>4792537</v>
      </c>
    </row>
    <row r="23" spans="1:7" x14ac:dyDescent="0.25">
      <c r="A23" s="17" t="s">
        <v>51</v>
      </c>
      <c r="B23" s="32">
        <f>PriorYearBalanceSheet!D23</f>
        <v>47673</v>
      </c>
      <c r="C23" s="32">
        <f>'CurrentYearBalanceSheet '!D23</f>
        <v>51666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52</v>
      </c>
      <c r="B24" s="33">
        <f>PriorYearBalanceSheet!D24</f>
        <v>0</v>
      </c>
      <c r="C24" s="33">
        <f>'CurrentYearBalanceSheet '!D24</f>
        <v>0</v>
      </c>
      <c r="D24" s="17"/>
      <c r="E24" s="17" t="s">
        <v>94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41</v>
      </c>
      <c r="B25" s="32">
        <f>B10+B11+B13+B14+B15+B17+B18+B19+B20+B21+B22+B23+B24</f>
        <v>3592295</v>
      </c>
      <c r="C25" s="32">
        <f>C10+C11+C13+C14+C15+C17+C18+C19+C20+C21+C22+C23+C24</f>
        <v>3680745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56</v>
      </c>
      <c r="B31" s="32">
        <f>PriorYearBalanceSheet!D31</f>
        <v>1632094</v>
      </c>
      <c r="C31" s="32">
        <f>'CurrentYearBalanceSheet '!D31</f>
        <v>1791618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5254376</v>
      </c>
      <c r="G32" s="32">
        <f>SUM(G22:G31)</f>
        <v>4792537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423034</v>
      </c>
      <c r="C34" s="32">
        <f>'CurrentYearBalanceSheet '!D34</f>
        <v>290076</v>
      </c>
      <c r="D34" s="17"/>
      <c r="E34" s="17" t="s">
        <v>103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61</v>
      </c>
      <c r="B35" s="32">
        <f>PriorYearBalanceSheet!D35</f>
        <v>130151</v>
      </c>
      <c r="C35" s="32">
        <f>'CurrentYearBalanceSheet '!D35</f>
        <v>244682</v>
      </c>
      <c r="D35" s="17"/>
      <c r="E35" s="18" t="s">
        <v>236</v>
      </c>
      <c r="F35" s="32">
        <f>PriorYearBalanceSheet!I35</f>
        <v>1227596</v>
      </c>
      <c r="G35" s="32">
        <f>'CurrentYearBalanceSheet '!I35</f>
        <v>1269136</v>
      </c>
    </row>
    <row r="36" spans="1:7" x14ac:dyDescent="0.25">
      <c r="A36" s="17" t="s">
        <v>62</v>
      </c>
      <c r="B36" s="32">
        <f>PriorYearBalanceSheet!D36</f>
        <v>0</v>
      </c>
      <c r="C36" s="32">
        <f>'CurrentYearBalanceSheet '!D36</f>
        <v>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63</v>
      </c>
      <c r="B37" s="32">
        <f>PriorYearBalanceSheet!D37</f>
        <v>0</v>
      </c>
      <c r="C37" s="32">
        <f>'CurrentYearBalanceSheet '!D37</f>
        <v>0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1227596</v>
      </c>
      <c r="G38" s="32">
        <f>SUM(G34:G37)</f>
        <v>1269136</v>
      </c>
    </row>
    <row r="39" spans="1:7" x14ac:dyDescent="0.25">
      <c r="A39" s="17" t="s">
        <v>65</v>
      </c>
      <c r="B39" s="32">
        <f>B30+B31+B33+B34+B35+B36+B37+B38</f>
        <v>2185279</v>
      </c>
      <c r="C39" s="32">
        <f>C30+C31+C33+C34+C35+C36+C37+C38</f>
        <v>2326376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36800</v>
      </c>
      <c r="G40" s="32">
        <f>'CurrentYearBalanceSheet '!I40</f>
        <v>37000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67</v>
      </c>
      <c r="B42" s="32">
        <f>PriorYearBalanceSheet!D42</f>
        <v>13050641</v>
      </c>
      <c r="C42" s="32">
        <f>'CurrentYearBalanceSheet '!D42</f>
        <v>13060775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0</v>
      </c>
      <c r="C44" s="32">
        <f>'CurrentYearBalanceSheet '!D44</f>
        <v>0</v>
      </c>
      <c r="D44" s="17"/>
      <c r="E44" s="17" t="s">
        <v>241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-5407392</v>
      </c>
      <c r="C46" s="33">
        <f>'CurrentYearBalanceSheet '!D46</f>
        <v>-5935682</v>
      </c>
      <c r="D46" s="17"/>
      <c r="E46" s="17" t="s">
        <v>252</v>
      </c>
      <c r="F46" s="33">
        <f>PriorYearBalanceSheet!I46</f>
        <v>6388027</v>
      </c>
      <c r="G46" s="33">
        <f>'CurrentYearBalanceSheet '!I46</f>
        <v>6594804</v>
      </c>
    </row>
    <row r="47" spans="1:7" x14ac:dyDescent="0.25">
      <c r="A47" s="17" t="s">
        <v>71</v>
      </c>
      <c r="B47" s="32">
        <f>SUM(B42:B46)</f>
        <v>7643249</v>
      </c>
      <c r="C47" s="32">
        <f>SUM(C42:C46)</f>
        <v>7125093</v>
      </c>
      <c r="D47" s="17"/>
      <c r="E47" s="17" t="s">
        <v>244</v>
      </c>
      <c r="F47" s="32">
        <f>SUM(F40:F46)</f>
        <v>6424827</v>
      </c>
      <c r="G47" s="32">
        <f>SUM(G40:G46)</f>
        <v>6631804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13420823</v>
      </c>
      <c r="C49" s="34">
        <f>C25+C39+C47</f>
        <v>13132214</v>
      </c>
      <c r="D49" s="17"/>
      <c r="E49" s="21" t="s">
        <v>245</v>
      </c>
      <c r="F49" s="34">
        <f>F20+F32+F38+F47</f>
        <v>13420823</v>
      </c>
      <c r="G49" s="34">
        <f>G20+G32+G38+G47</f>
        <v>13132214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A13" sqref="A1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13050641</v>
      </c>
      <c r="E10" s="58">
        <f>'BalanceSheet(Summary)'!C42</f>
        <v>13060775</v>
      </c>
      <c r="F10" s="58">
        <f>(D10+E10)/2</f>
        <v>13055708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-5407392</v>
      </c>
      <c r="E12" s="58">
        <f>'BalanceSheet(Summary)'!C46</f>
        <v>-5935682</v>
      </c>
      <c r="F12" s="58">
        <f t="shared" ref="F12:F15" si="0">(D12+E12)/2</f>
        <v>-5671537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24533</v>
      </c>
      <c r="E13" s="58">
        <f>'BalanceSheet(Summary)'!C21</f>
        <v>22615</v>
      </c>
      <c r="F13" s="58">
        <f t="shared" si="0"/>
        <v>23574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-1227596</v>
      </c>
      <c r="E14" s="52">
        <f>'BalanceSheet(Summary)'!G35*-1</f>
        <v>-1269136</v>
      </c>
      <c r="F14" s="58">
        <f t="shared" si="0"/>
        <v>-1248366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6440186</v>
      </c>
      <c r="E15" s="62">
        <f>SUM(E10:E14)</f>
        <v>5878572</v>
      </c>
      <c r="F15" s="63">
        <f t="shared" si="0"/>
        <v>6159379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A13" sqref="A1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391</v>
      </c>
      <c r="D10" s="52">
        <v>375</v>
      </c>
      <c r="E10" s="32">
        <f>D10-C10</f>
        <v>-16</v>
      </c>
      <c r="F10" s="38">
        <f>E10/C10</f>
        <v>-4.0920716112531973E-2</v>
      </c>
    </row>
    <row r="11" spans="1:6" x14ac:dyDescent="0.25">
      <c r="A11" s="10">
        <v>2</v>
      </c>
      <c r="B11" s="19" t="s">
        <v>127</v>
      </c>
      <c r="C11" s="52">
        <v>136</v>
      </c>
      <c r="D11" s="52">
        <v>142</v>
      </c>
      <c r="E11" s="32">
        <f>D11-C11</f>
        <v>6</v>
      </c>
      <c r="F11" s="38">
        <f t="shared" ref="F11:F12" si="0">E11/C11</f>
        <v>4.4117647058823532E-2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527</v>
      </c>
      <c r="D12" s="34">
        <f t="shared" ref="D12:E12" si="1">SUM(D10:D11)</f>
        <v>517</v>
      </c>
      <c r="E12" s="34">
        <f t="shared" si="1"/>
        <v>-10</v>
      </c>
      <c r="F12" s="39">
        <f t="shared" si="0"/>
        <v>-1.8975332068311195E-2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13" zoomScaleNormal="100" workbookViewId="0">
      <selection activeCell="A13" sqref="A1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123258</v>
      </c>
      <c r="D9" s="52"/>
      <c r="E9" s="58">
        <f>SUM(C9:D9)</f>
        <v>123258</v>
      </c>
    </row>
    <row r="10" spans="1:6" x14ac:dyDescent="0.25">
      <c r="A10" s="10">
        <v>2</v>
      </c>
      <c r="B10" s="14" t="s">
        <v>2</v>
      </c>
      <c r="C10" s="52">
        <v>2184372</v>
      </c>
      <c r="D10" s="52"/>
      <c r="E10" s="58">
        <f t="shared" ref="E10:E14" si="0">SUM(C10:D10)</f>
        <v>2184372</v>
      </c>
    </row>
    <row r="11" spans="1:6" x14ac:dyDescent="0.25">
      <c r="A11" s="10">
        <v>3</v>
      </c>
      <c r="B11" s="14" t="s">
        <v>3</v>
      </c>
      <c r="C11" s="52">
        <v>54613</v>
      </c>
      <c r="D11" s="52"/>
      <c r="E11" s="58">
        <f t="shared" si="0"/>
        <v>54613</v>
      </c>
    </row>
    <row r="12" spans="1:6" x14ac:dyDescent="0.25">
      <c r="A12" s="10">
        <v>4</v>
      </c>
      <c r="B12" s="14" t="s">
        <v>4</v>
      </c>
      <c r="C12" s="52"/>
      <c r="D12" s="52"/>
      <c r="E12" s="58">
        <f t="shared" si="0"/>
        <v>0</v>
      </c>
    </row>
    <row r="13" spans="1:6" x14ac:dyDescent="0.25">
      <c r="A13" s="10">
        <v>5</v>
      </c>
      <c r="B13" s="14" t="s">
        <v>5</v>
      </c>
      <c r="C13" s="52">
        <v>27966</v>
      </c>
      <c r="D13" s="52"/>
      <c r="E13" s="58">
        <f t="shared" si="0"/>
        <v>27966</v>
      </c>
    </row>
    <row r="14" spans="1:6" x14ac:dyDescent="0.25">
      <c r="A14" s="10">
        <v>6</v>
      </c>
      <c r="B14" s="14" t="s">
        <v>139</v>
      </c>
      <c r="C14" s="52">
        <v>721</v>
      </c>
      <c r="D14" s="52"/>
      <c r="E14" s="58">
        <f t="shared" si="0"/>
        <v>721</v>
      </c>
    </row>
    <row r="15" spans="1:6" x14ac:dyDescent="0.25">
      <c r="A15" s="10">
        <v>7</v>
      </c>
      <c r="B15" s="89" t="s">
        <v>138</v>
      </c>
      <c r="C15" s="97">
        <f>SUM(C9:C14)</f>
        <v>2390930</v>
      </c>
      <c r="D15" s="97">
        <f t="shared" ref="D15:E15" si="1">SUM(D9:D14)</f>
        <v>0</v>
      </c>
      <c r="E15" s="97">
        <f t="shared" si="1"/>
        <v>2390930</v>
      </c>
      <c r="F15" s="1"/>
    </row>
    <row r="16" spans="1:6" x14ac:dyDescent="0.25">
      <c r="A16" s="10">
        <v>8</v>
      </c>
      <c r="B16" s="14" t="s">
        <v>6</v>
      </c>
      <c r="C16" s="52">
        <v>544880</v>
      </c>
      <c r="D16" s="52">
        <v>-159136</v>
      </c>
      <c r="E16" s="41">
        <f>SUM(C16:D16)</f>
        <v>385744</v>
      </c>
    </row>
    <row r="17" spans="1:6" x14ac:dyDescent="0.25">
      <c r="A17" s="10">
        <v>9</v>
      </c>
      <c r="B17" s="14" t="s">
        <v>40</v>
      </c>
      <c r="C17" s="52">
        <v>110786</v>
      </c>
      <c r="D17" s="52">
        <v>-19558</v>
      </c>
      <c r="E17" s="41">
        <f t="shared" ref="E17:E21" si="2">SUM(C17:D17)</f>
        <v>91228</v>
      </c>
    </row>
    <row r="18" spans="1:6" x14ac:dyDescent="0.25">
      <c r="A18" s="10">
        <v>10</v>
      </c>
      <c r="B18" s="14" t="s">
        <v>7</v>
      </c>
      <c r="C18" s="52">
        <v>526903</v>
      </c>
      <c r="D18" s="52">
        <v>-16155</v>
      </c>
      <c r="E18" s="41">
        <f t="shared" si="2"/>
        <v>510748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158270</v>
      </c>
      <c r="D20" s="52">
        <v>-38123</v>
      </c>
      <c r="E20" s="41">
        <f t="shared" si="2"/>
        <v>120147</v>
      </c>
    </row>
    <row r="21" spans="1:6" x14ac:dyDescent="0.25">
      <c r="A21" s="10">
        <v>13</v>
      </c>
      <c r="B21" s="14" t="s">
        <v>10</v>
      </c>
      <c r="C21" s="52">
        <v>455144</v>
      </c>
      <c r="D21" s="52">
        <v>-66365</v>
      </c>
      <c r="E21" s="41">
        <f t="shared" si="2"/>
        <v>388779</v>
      </c>
    </row>
    <row r="22" spans="1:6" x14ac:dyDescent="0.25">
      <c r="A22" s="10">
        <v>14</v>
      </c>
      <c r="B22" s="84" t="s">
        <v>260</v>
      </c>
      <c r="C22" s="97">
        <f>C16+C17+C18+C19+C20+C21</f>
        <v>1795983</v>
      </c>
      <c r="D22" s="97">
        <f>D16+D17+D18+D19+D20+D21</f>
        <v>-299337</v>
      </c>
      <c r="E22" s="98">
        <f>E16+E17+E18+E19+E20+E21</f>
        <v>1496646</v>
      </c>
      <c r="F22" s="1"/>
    </row>
    <row r="23" spans="1:6" x14ac:dyDescent="0.25">
      <c r="A23" s="10">
        <v>15</v>
      </c>
      <c r="B23" s="14" t="s">
        <v>14</v>
      </c>
      <c r="C23" s="58">
        <f>C15-C22</f>
        <v>594947</v>
      </c>
      <c r="D23" s="58">
        <f>D15-D22</f>
        <v>299337</v>
      </c>
      <c r="E23" s="58">
        <f>E15-E22</f>
        <v>894284</v>
      </c>
    </row>
    <row r="24" spans="1:6" x14ac:dyDescent="0.25">
      <c r="A24" s="10">
        <v>16</v>
      </c>
      <c r="B24" s="14" t="s">
        <v>140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/>
      <c r="D25" s="114">
        <v>92053</v>
      </c>
      <c r="E25" s="58">
        <f t="shared" ref="E25:E27" si="3">SUM(C25:D25)</f>
        <v>92053</v>
      </c>
    </row>
    <row r="26" spans="1:6" x14ac:dyDescent="0.25">
      <c r="A26" s="10">
        <v>18</v>
      </c>
      <c r="B26" s="14" t="s">
        <v>200</v>
      </c>
      <c r="C26" s="52">
        <v>59977</v>
      </c>
      <c r="D26" s="54">
        <v>101232</v>
      </c>
      <c r="E26" s="58">
        <f t="shared" si="3"/>
        <v>161209</v>
      </c>
    </row>
    <row r="27" spans="1:6" x14ac:dyDescent="0.25">
      <c r="A27" s="10">
        <v>19</v>
      </c>
      <c r="B27" s="14" t="s">
        <v>13</v>
      </c>
      <c r="C27" s="52">
        <v>95546</v>
      </c>
      <c r="D27" s="114">
        <v>-58065</v>
      </c>
      <c r="E27" s="58">
        <f t="shared" si="3"/>
        <v>37481</v>
      </c>
    </row>
    <row r="28" spans="1:6" x14ac:dyDescent="0.25">
      <c r="A28" s="10">
        <v>20</v>
      </c>
      <c r="B28" s="89" t="s">
        <v>12</v>
      </c>
      <c r="C28" s="80">
        <f>SUM(C25:C27)</f>
        <v>155523</v>
      </c>
      <c r="D28" s="80">
        <f t="shared" ref="D28:E28" si="4">SUM(D25:D27)</f>
        <v>135220</v>
      </c>
      <c r="E28" s="99">
        <f t="shared" si="4"/>
        <v>290743</v>
      </c>
    </row>
    <row r="29" spans="1:6" x14ac:dyDescent="0.25">
      <c r="A29" s="10">
        <v>21</v>
      </c>
      <c r="B29" s="89" t="s">
        <v>23</v>
      </c>
      <c r="C29" s="80">
        <f>C23+C24-C28</f>
        <v>439424</v>
      </c>
      <c r="D29" s="80">
        <f>D23+D24-D28</f>
        <v>164117</v>
      </c>
      <c r="E29" s="99">
        <f>E23+E24-E28</f>
        <v>603541</v>
      </c>
    </row>
    <row r="30" spans="1:6" x14ac:dyDescent="0.25">
      <c r="A30" s="10">
        <v>22</v>
      </c>
      <c r="B30" s="14" t="s">
        <v>15</v>
      </c>
      <c r="C30" s="52">
        <v>352364</v>
      </c>
      <c r="D30" s="54">
        <v>-159112</v>
      </c>
      <c r="E30" s="58">
        <f>SUM(C30:D30)</f>
        <v>193252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154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9" t="s">
        <v>18</v>
      </c>
      <c r="C34" s="80">
        <f>SUM(C30:C33)</f>
        <v>352364</v>
      </c>
      <c r="D34" s="100">
        <f t="shared" ref="D34" si="6">SUM(D30:D33)</f>
        <v>-159112</v>
      </c>
      <c r="E34" s="80">
        <f>SUM(E30:E33)</f>
        <v>193252</v>
      </c>
    </row>
    <row r="35" spans="1:10" x14ac:dyDescent="0.25">
      <c r="A35" s="10">
        <v>27</v>
      </c>
      <c r="B35" s="14" t="s">
        <v>19</v>
      </c>
      <c r="C35" s="52">
        <v>63096</v>
      </c>
      <c r="D35" s="54"/>
      <c r="E35" s="32">
        <f>SUM(C35:D35)</f>
        <v>63096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v>110959</v>
      </c>
      <c r="D38" s="69">
        <f>-1*(D29-D34)</f>
        <v>-323229</v>
      </c>
      <c r="E38" s="32">
        <f t="shared" si="7"/>
        <v>-212270</v>
      </c>
    </row>
    <row r="39" spans="1:10" x14ac:dyDescent="0.25">
      <c r="A39" s="10">
        <v>31</v>
      </c>
      <c r="B39" s="89" t="s">
        <v>22</v>
      </c>
      <c r="C39" s="80">
        <f>C29-C34+C35+C36+C37+C38</f>
        <v>261115</v>
      </c>
      <c r="D39" s="80">
        <f t="shared" ref="D39:E39" si="8">D29-D34+D35+D36+D37+D38</f>
        <v>0</v>
      </c>
      <c r="E39" s="80">
        <f t="shared" si="8"/>
        <v>261115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6112373</v>
      </c>
      <c r="D41" s="54"/>
      <c r="E41" s="58">
        <f t="shared" ref="E41:E46" si="9">SUM(C41:D41)</f>
        <v>6112373</v>
      </c>
    </row>
    <row r="42" spans="1:10" x14ac:dyDescent="0.25">
      <c r="A42" s="10">
        <v>34</v>
      </c>
      <c r="B42" s="14" t="s">
        <v>26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27</v>
      </c>
      <c r="C43" s="52">
        <v>36920</v>
      </c>
      <c r="D43" s="54"/>
      <c r="E43" s="58">
        <f t="shared" si="9"/>
        <v>36920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>
        <v>2730</v>
      </c>
      <c r="D45" s="54"/>
      <c r="E45" s="58">
        <f t="shared" si="9"/>
        <v>2730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6333838</v>
      </c>
      <c r="D47" s="100">
        <f t="shared" ref="D47:E47" si="10">(D39+D41+D42)-(D43+D44+D45+D46)</f>
        <v>0</v>
      </c>
      <c r="E47" s="99">
        <f t="shared" si="10"/>
        <v>6333838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713419</v>
      </c>
      <c r="D52" s="102"/>
      <c r="E52" s="32">
        <f>C52</f>
        <v>713419</v>
      </c>
    </row>
    <row r="53" spans="1:7" x14ac:dyDescent="0.25">
      <c r="A53" s="10">
        <v>45</v>
      </c>
      <c r="B53" s="14" t="s">
        <v>36</v>
      </c>
      <c r="C53" s="103">
        <f>((C22+C28-C18-C19)/C15)</f>
        <v>0.59583634819923625</v>
      </c>
      <c r="D53" s="103" t="e">
        <f>((D22+D28-D18-D19)/D15)</f>
        <v>#DIV/0!</v>
      </c>
      <c r="E53" s="103">
        <f>((E22+E28-E18-E19)/E15)</f>
        <v>0.53395164224799552</v>
      </c>
    </row>
    <row r="54" spans="1:7" x14ac:dyDescent="0.25">
      <c r="A54" s="10">
        <v>46</v>
      </c>
      <c r="B54" s="14" t="s">
        <v>37</v>
      </c>
      <c r="C54" s="103">
        <f>((C22+C28+C34)/C15)</f>
        <v>0.96358739068061383</v>
      </c>
      <c r="D54" s="103" t="e">
        <f>((D22+D28+D34)/D15)</f>
        <v>#DIV/0!</v>
      </c>
      <c r="E54" s="103">
        <f>((E22+E28+E34)/E15)</f>
        <v>0.82839773644565085</v>
      </c>
    </row>
    <row r="55" spans="1:7" x14ac:dyDescent="0.25">
      <c r="A55" s="10">
        <v>47</v>
      </c>
      <c r="B55" s="14" t="s">
        <v>38</v>
      </c>
      <c r="C55" s="103">
        <f>((C39+C34)/C34)</f>
        <v>1.7410376769477018</v>
      </c>
      <c r="D55" s="103">
        <f t="shared" ref="D55:E55" si="13">((D39+D34)/D34)</f>
        <v>1</v>
      </c>
      <c r="E55" s="103">
        <f t="shared" si="13"/>
        <v>2.3511632479870843</v>
      </c>
    </row>
    <row r="56" spans="1:7" x14ac:dyDescent="0.25">
      <c r="A56" s="10">
        <v>48</v>
      </c>
      <c r="B56" s="14" t="s">
        <v>39</v>
      </c>
      <c r="C56" s="103">
        <f>(C39+C34+C18+C19)/C52</f>
        <v>1.5984743888233983</v>
      </c>
      <c r="D56" s="103" t="e">
        <f>(D39+D34+D18+D19)/D52</f>
        <v>#DIV/0!</v>
      </c>
      <c r="E56" s="103">
        <f>(E39+E34+E18+E19)/E52</f>
        <v>1.3528024905420237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43" zoomScaleNormal="100" workbookViewId="0">
      <selection activeCell="A13" sqref="A1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137663</v>
      </c>
      <c r="D9" s="52"/>
      <c r="E9" s="32">
        <f>SUM(C9:D9)</f>
        <v>137663</v>
      </c>
    </row>
    <row r="10" spans="1:6" x14ac:dyDescent="0.25">
      <c r="A10" s="10">
        <v>2</v>
      </c>
      <c r="B10" s="17" t="s">
        <v>2</v>
      </c>
      <c r="C10" s="52">
        <v>2106299</v>
      </c>
      <c r="D10" s="52"/>
      <c r="E10" s="32">
        <f t="shared" ref="E10:E14" si="0">SUM(C10:D10)</f>
        <v>2106299</v>
      </c>
    </row>
    <row r="11" spans="1:6" x14ac:dyDescent="0.25">
      <c r="A11" s="10">
        <v>3</v>
      </c>
      <c r="B11" s="17" t="s">
        <v>3</v>
      </c>
      <c r="C11" s="52">
        <v>52258</v>
      </c>
      <c r="D11" s="52"/>
      <c r="E11" s="32">
        <f t="shared" si="0"/>
        <v>52258</v>
      </c>
    </row>
    <row r="12" spans="1:6" x14ac:dyDescent="0.25">
      <c r="A12" s="10">
        <v>4</v>
      </c>
      <c r="B12" s="17" t="s">
        <v>4</v>
      </c>
      <c r="C12" s="52"/>
      <c r="D12" s="52"/>
      <c r="E12" s="32">
        <f t="shared" si="0"/>
        <v>0</v>
      </c>
    </row>
    <row r="13" spans="1:6" x14ac:dyDescent="0.25">
      <c r="A13" s="10">
        <v>5</v>
      </c>
      <c r="B13" s="17" t="s">
        <v>5</v>
      </c>
      <c r="C13" s="52">
        <v>30141</v>
      </c>
      <c r="D13" s="52"/>
      <c r="E13" s="32">
        <f t="shared" si="0"/>
        <v>30141</v>
      </c>
    </row>
    <row r="14" spans="1:6" x14ac:dyDescent="0.25">
      <c r="A14" s="10">
        <v>6</v>
      </c>
      <c r="B14" s="17" t="s">
        <v>139</v>
      </c>
      <c r="C14" s="52">
        <v>1072</v>
      </c>
      <c r="D14" s="52"/>
      <c r="E14" s="32">
        <f t="shared" si="0"/>
        <v>1072</v>
      </c>
    </row>
    <row r="15" spans="1:6" x14ac:dyDescent="0.25">
      <c r="A15" s="10">
        <v>7</v>
      </c>
      <c r="B15" s="84" t="s">
        <v>138</v>
      </c>
      <c r="C15" s="40">
        <f>SUM(C9:C14)</f>
        <v>2327433</v>
      </c>
      <c r="D15" s="40">
        <f t="shared" ref="D15:E15" si="1">SUM(D9:D14)</f>
        <v>0</v>
      </c>
      <c r="E15" s="40">
        <f t="shared" si="1"/>
        <v>2327433</v>
      </c>
      <c r="F15" s="1"/>
    </row>
    <row r="16" spans="1:6" x14ac:dyDescent="0.25">
      <c r="A16" s="10">
        <v>8</v>
      </c>
      <c r="B16" s="17" t="s">
        <v>6</v>
      </c>
      <c r="C16" s="52">
        <v>586869</v>
      </c>
      <c r="D16" s="52">
        <f>3266-166125-6547</f>
        <v>-169406</v>
      </c>
      <c r="E16" s="41">
        <f>SUM(C16:D16)</f>
        <v>417463</v>
      </c>
    </row>
    <row r="17" spans="1:6" x14ac:dyDescent="0.25">
      <c r="A17" s="10">
        <v>9</v>
      </c>
      <c r="B17" s="17" t="s">
        <v>40</v>
      </c>
      <c r="C17" s="52">
        <v>104999</v>
      </c>
      <c r="D17" s="52">
        <f>49960-74964</f>
        <v>-25004</v>
      </c>
      <c r="E17" s="41">
        <f t="shared" ref="E17:E21" si="2">SUM(C17:D17)</f>
        <v>79995</v>
      </c>
    </row>
    <row r="18" spans="1:6" x14ac:dyDescent="0.25">
      <c r="A18" s="10">
        <v>10</v>
      </c>
      <c r="B18" s="17" t="s">
        <v>7</v>
      </c>
      <c r="C18" s="52">
        <v>528857</v>
      </c>
      <c r="D18" s="52">
        <f>513-1550-6094</f>
        <v>-7131</v>
      </c>
      <c r="E18" s="41">
        <f t="shared" si="2"/>
        <v>521726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158789</v>
      </c>
      <c r="D20" s="52">
        <f>123333-141874-7969</f>
        <v>-26510</v>
      </c>
      <c r="E20" s="41">
        <f t="shared" si="2"/>
        <v>132279</v>
      </c>
    </row>
    <row r="21" spans="1:6" x14ac:dyDescent="0.25">
      <c r="A21" s="10">
        <v>13</v>
      </c>
      <c r="B21" s="17" t="s">
        <v>10</v>
      </c>
      <c r="C21" s="52">
        <v>328653</v>
      </c>
      <c r="D21" s="52">
        <f>57337-64864-26268</f>
        <v>-33795</v>
      </c>
      <c r="E21" s="41">
        <f t="shared" si="2"/>
        <v>294858</v>
      </c>
    </row>
    <row r="22" spans="1:6" x14ac:dyDescent="0.25">
      <c r="A22" s="10">
        <v>14</v>
      </c>
      <c r="B22" s="84" t="s">
        <v>260</v>
      </c>
      <c r="C22" s="40">
        <f>C16+C17+C18+C19+C20+C21</f>
        <v>1708167</v>
      </c>
      <c r="D22" s="40">
        <f>D16+D17+D18+D19+D20+D21</f>
        <v>-261846</v>
      </c>
      <c r="E22" s="42">
        <f>E16+E17+E18+E19+E20+E21</f>
        <v>1446321</v>
      </c>
      <c r="F22" s="1"/>
    </row>
    <row r="23" spans="1:6" x14ac:dyDescent="0.25">
      <c r="A23" s="10">
        <v>15</v>
      </c>
      <c r="B23" s="17" t="s">
        <v>14</v>
      </c>
      <c r="C23" s="32">
        <f>C15-C22</f>
        <v>619266</v>
      </c>
      <c r="D23" s="32">
        <f>D15-D22</f>
        <v>261846</v>
      </c>
      <c r="E23" s="32">
        <f>E15-E22</f>
        <v>881112</v>
      </c>
    </row>
    <row r="24" spans="1:6" x14ac:dyDescent="0.25">
      <c r="A24" s="10">
        <v>16</v>
      </c>
      <c r="B24" s="17" t="s">
        <v>140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/>
      <c r="D25" s="114">
        <v>95902</v>
      </c>
      <c r="E25" s="32">
        <f t="shared" ref="E25:E27" si="3">SUM(C25:D25)</f>
        <v>95902</v>
      </c>
    </row>
    <row r="26" spans="1:6" x14ac:dyDescent="0.25">
      <c r="A26" s="10">
        <v>18</v>
      </c>
      <c r="B26" s="17" t="s">
        <v>200</v>
      </c>
      <c r="C26" s="52">
        <v>97839</v>
      </c>
      <c r="D26" s="54">
        <v>111436</v>
      </c>
      <c r="E26" s="32">
        <f t="shared" si="3"/>
        <v>209275</v>
      </c>
    </row>
    <row r="27" spans="1:6" x14ac:dyDescent="0.25">
      <c r="A27" s="10">
        <v>19</v>
      </c>
      <c r="B27" s="17" t="s">
        <v>13</v>
      </c>
      <c r="C27" s="52">
        <v>97640</v>
      </c>
      <c r="D27" s="114">
        <v>-85347</v>
      </c>
      <c r="E27" s="32">
        <f t="shared" si="3"/>
        <v>12293</v>
      </c>
    </row>
    <row r="28" spans="1:6" x14ac:dyDescent="0.25">
      <c r="A28" s="10">
        <v>20</v>
      </c>
      <c r="B28" s="84" t="s">
        <v>12</v>
      </c>
      <c r="C28" s="37">
        <f>SUM(C25:C27)</f>
        <v>195479</v>
      </c>
      <c r="D28" s="37">
        <f t="shared" ref="D28:E28" si="4">SUM(D25:D27)</f>
        <v>121991</v>
      </c>
      <c r="E28" s="43">
        <f t="shared" si="4"/>
        <v>317470</v>
      </c>
    </row>
    <row r="29" spans="1:6" x14ac:dyDescent="0.25">
      <c r="A29" s="10">
        <v>21</v>
      </c>
      <c r="B29" s="84" t="s">
        <v>23</v>
      </c>
      <c r="C29" s="37">
        <f>C23+C24-C28</f>
        <v>423787</v>
      </c>
      <c r="D29" s="37">
        <f>D23+D24-D28</f>
        <v>139855</v>
      </c>
      <c r="E29" s="43">
        <f>E23+E24-E28</f>
        <v>563642</v>
      </c>
    </row>
    <row r="30" spans="1:6" x14ac:dyDescent="0.25">
      <c r="A30" s="10">
        <v>22</v>
      </c>
      <c r="B30" s="17" t="s">
        <v>15</v>
      </c>
      <c r="C30" s="52">
        <v>328714</v>
      </c>
      <c r="D30" s="54">
        <v>-157271</v>
      </c>
      <c r="E30" s="32">
        <f>SUM(C30:D30)</f>
        <v>171443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154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4" t="s">
        <v>18</v>
      </c>
      <c r="C34" s="37">
        <f>SUM(C30:C33)</f>
        <v>328714</v>
      </c>
      <c r="D34" s="64">
        <f t="shared" ref="D34" si="6">SUM(D30:D33)</f>
        <v>-157271</v>
      </c>
      <c r="E34" s="37">
        <f>SUM(E30:E33)</f>
        <v>171443</v>
      </c>
    </row>
    <row r="35" spans="1:5" x14ac:dyDescent="0.25">
      <c r="A35" s="10">
        <v>27</v>
      </c>
      <c r="B35" s="17" t="s">
        <v>19</v>
      </c>
      <c r="C35" s="52">
        <v>82808</v>
      </c>
      <c r="D35" s="54"/>
      <c r="E35" s="32">
        <f>SUM(C35:D35)</f>
        <v>82808</v>
      </c>
    </row>
    <row r="36" spans="1:5" x14ac:dyDescent="0.25">
      <c r="A36" s="10">
        <v>28</v>
      </c>
      <c r="B36" s="17" t="s">
        <v>20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187</v>
      </c>
      <c r="C38" s="52">
        <v>93452</v>
      </c>
      <c r="D38" s="69">
        <f>-1*(D29-D34)</f>
        <v>-297126</v>
      </c>
      <c r="E38" s="32">
        <f t="shared" si="7"/>
        <v>-203674</v>
      </c>
    </row>
    <row r="39" spans="1:5" x14ac:dyDescent="0.25">
      <c r="A39" s="10">
        <v>31</v>
      </c>
      <c r="B39" s="84" t="s">
        <v>22</v>
      </c>
      <c r="C39" s="37">
        <f>C29-C34+C35+C36+C37+C38</f>
        <v>271333</v>
      </c>
      <c r="D39" s="37">
        <f t="shared" ref="D39:E39" si="8">D29-D34+D35+D36+D37+D38</f>
        <v>0</v>
      </c>
      <c r="E39" s="37">
        <f t="shared" si="8"/>
        <v>271333</v>
      </c>
    </row>
    <row r="40" spans="1:5" x14ac:dyDescent="0.25">
      <c r="A40" s="10">
        <v>32</v>
      </c>
      <c r="B40" s="17" t="s">
        <v>24</v>
      </c>
      <c r="C40" s="67"/>
      <c r="D40" s="67"/>
      <c r="E40" s="44"/>
    </row>
    <row r="41" spans="1:5" x14ac:dyDescent="0.25">
      <c r="A41" s="10">
        <v>33</v>
      </c>
      <c r="B41" s="17" t="s">
        <v>25</v>
      </c>
      <c r="C41" s="52">
        <v>6333838</v>
      </c>
      <c r="D41" s="54"/>
      <c r="E41" s="32">
        <f t="shared" ref="E41:E46" si="9">SUM(C41:D41)</f>
        <v>6333838</v>
      </c>
    </row>
    <row r="42" spans="1:5" x14ac:dyDescent="0.25">
      <c r="A42" s="10">
        <v>34</v>
      </c>
      <c r="B42" s="17" t="s">
        <v>26</v>
      </c>
      <c r="C42" s="52">
        <v>4740</v>
      </c>
      <c r="D42" s="54"/>
      <c r="E42" s="32">
        <f t="shared" si="9"/>
        <v>4740</v>
      </c>
    </row>
    <row r="43" spans="1:5" x14ac:dyDescent="0.25">
      <c r="A43" s="10">
        <v>35</v>
      </c>
      <c r="B43" s="17" t="s">
        <v>27</v>
      </c>
      <c r="C43" s="52">
        <v>36800</v>
      </c>
      <c r="D43" s="54"/>
      <c r="E43" s="32">
        <f t="shared" si="9"/>
        <v>36800</v>
      </c>
    </row>
    <row r="44" spans="1:5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4" t="s">
        <v>208</v>
      </c>
      <c r="C47" s="37">
        <f>(C39+C41+C42)-(C43+C44+C45+C46)</f>
        <v>6573111</v>
      </c>
      <c r="D47" s="64">
        <f t="shared" ref="D47:E47" si="10">(D39+D41+D42)-(D43+D44+D45+D46)</f>
        <v>0</v>
      </c>
      <c r="E47" s="43">
        <f t="shared" si="10"/>
        <v>6573111</v>
      </c>
    </row>
    <row r="48" spans="1:5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>
        <v>713419</v>
      </c>
      <c r="D52" s="96"/>
      <c r="E52" s="32">
        <f>C52</f>
        <v>713419</v>
      </c>
    </row>
    <row r="53" spans="1:7" x14ac:dyDescent="0.25">
      <c r="A53" s="10">
        <v>45</v>
      </c>
      <c r="B53" s="17" t="s">
        <v>36</v>
      </c>
      <c r="C53" s="46">
        <f>((C22+C28-C18-C19)/C15)</f>
        <v>0.59068896934949366</v>
      </c>
      <c r="D53" s="46" t="e">
        <f>((D22+D28-D18-D19)/D15)</f>
        <v>#DIV/0!</v>
      </c>
      <c r="E53" s="46">
        <f>((E22+E28-E18-E19)/E15)</f>
        <v>0.53366305281398008</v>
      </c>
    </row>
    <row r="54" spans="1:7" x14ac:dyDescent="0.25">
      <c r="A54" s="10">
        <v>46</v>
      </c>
      <c r="B54" s="17" t="s">
        <v>37</v>
      </c>
      <c r="C54" s="46">
        <f>((C22+C28+C34)/C15)</f>
        <v>0.95915113345905123</v>
      </c>
      <c r="D54" s="46" t="e">
        <f>((D22+D28+D34)/D15)</f>
        <v>#DIV/0!</v>
      </c>
      <c r="E54" s="46">
        <f>((E22+E28+E34)/E15)</f>
        <v>0.83148859709387979</v>
      </c>
    </row>
    <row r="55" spans="1:7" x14ac:dyDescent="0.25">
      <c r="A55" s="10">
        <v>47</v>
      </c>
      <c r="B55" s="17" t="s">
        <v>38</v>
      </c>
      <c r="C55" s="46">
        <f>((C39+C34)/C34)</f>
        <v>1.8254379186770262</v>
      </c>
      <c r="D55" s="46">
        <f t="shared" ref="D55:E55" si="13">((D39+D34)/D34)</f>
        <v>1</v>
      </c>
      <c r="E55" s="46">
        <f t="shared" si="13"/>
        <v>2.5826426275788457</v>
      </c>
    </row>
    <row r="56" spans="1:7" x14ac:dyDescent="0.25">
      <c r="A56" s="10">
        <v>48</v>
      </c>
      <c r="B56" s="17" t="s">
        <v>39</v>
      </c>
      <c r="C56" s="46">
        <f>(C39+C34+C18+C19)/C52</f>
        <v>1.5823856667680563</v>
      </c>
      <c r="D56" s="46" t="e">
        <f>(D39+D34+D18+D19)/D52</f>
        <v>#DIV/0!</v>
      </c>
      <c r="E56" s="46">
        <f>(E39+E34+E18+E19)/E52</f>
        <v>1.3519432479370468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7" zoomScaleNormal="100" workbookViewId="0">
      <selection activeCell="A13" sqref="A1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St. John Telephone, Inc.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123258</v>
      </c>
      <c r="D9" s="41">
        <f>'CurrentYearIncomeStmt '!E9</f>
        <v>137663</v>
      </c>
    </row>
    <row r="10" spans="1:5" x14ac:dyDescent="0.25">
      <c r="A10" s="10">
        <v>2</v>
      </c>
      <c r="B10" s="17" t="s">
        <v>2</v>
      </c>
      <c r="C10" s="32">
        <f>PriorYearIncomeStmt!E10</f>
        <v>2184372</v>
      </c>
      <c r="D10" s="41">
        <f>'CurrentYearIncomeStmt '!E10</f>
        <v>2106299</v>
      </c>
    </row>
    <row r="11" spans="1:5" x14ac:dyDescent="0.25">
      <c r="A11" s="10">
        <v>3</v>
      </c>
      <c r="B11" s="17" t="s">
        <v>3</v>
      </c>
      <c r="C11" s="32">
        <f>PriorYearIncomeStmt!E11</f>
        <v>54613</v>
      </c>
      <c r="D11" s="41">
        <f>'CurrentYearIncomeStmt '!E11</f>
        <v>52258</v>
      </c>
    </row>
    <row r="12" spans="1:5" x14ac:dyDescent="0.25">
      <c r="A12" s="10">
        <v>4</v>
      </c>
      <c r="B12" s="17" t="s">
        <v>4</v>
      </c>
      <c r="C12" s="32">
        <f>PriorYearIncomeStmt!E12</f>
        <v>0</v>
      </c>
      <c r="D12" s="41">
        <f>'CurrentYearIncomeStmt '!E12</f>
        <v>0</v>
      </c>
    </row>
    <row r="13" spans="1:5" x14ac:dyDescent="0.25">
      <c r="A13" s="10">
        <v>5</v>
      </c>
      <c r="B13" s="17" t="s">
        <v>5</v>
      </c>
      <c r="C13" s="32">
        <f>PriorYearIncomeStmt!E13</f>
        <v>27966</v>
      </c>
      <c r="D13" s="41">
        <f>'CurrentYearIncomeStmt '!E13</f>
        <v>30141</v>
      </c>
    </row>
    <row r="14" spans="1:5" x14ac:dyDescent="0.25">
      <c r="A14" s="10">
        <v>6</v>
      </c>
      <c r="B14" s="17" t="s">
        <v>139</v>
      </c>
      <c r="C14" s="32">
        <f>PriorYearIncomeStmt!E14</f>
        <v>721</v>
      </c>
      <c r="D14" s="41">
        <f>'CurrentYearIncomeStmt '!E14</f>
        <v>1072</v>
      </c>
    </row>
    <row r="15" spans="1:5" x14ac:dyDescent="0.25">
      <c r="A15" s="10">
        <v>7</v>
      </c>
      <c r="B15" s="84" t="s">
        <v>138</v>
      </c>
      <c r="C15" s="40">
        <f>SUM(C9:C14)</f>
        <v>2390930</v>
      </c>
      <c r="D15" s="42">
        <f t="shared" ref="D15" si="0">SUM(D9:D14)</f>
        <v>2327433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385744</v>
      </c>
      <c r="D16" s="41">
        <f>'CurrentYearIncomeStmt '!E16</f>
        <v>417463</v>
      </c>
    </row>
    <row r="17" spans="1:5" x14ac:dyDescent="0.25">
      <c r="A17" s="10">
        <v>9</v>
      </c>
      <c r="B17" s="17" t="s">
        <v>40</v>
      </c>
      <c r="C17" s="32">
        <f>PriorYearIncomeStmt!E17</f>
        <v>91228</v>
      </c>
      <c r="D17" s="41">
        <f>'CurrentYearIncomeStmt '!E17</f>
        <v>79995</v>
      </c>
    </row>
    <row r="18" spans="1:5" x14ac:dyDescent="0.25">
      <c r="A18" s="10">
        <v>10</v>
      </c>
      <c r="B18" s="17" t="s">
        <v>7</v>
      </c>
      <c r="C18" s="32">
        <f>PriorYearIncomeStmt!E18</f>
        <v>510748</v>
      </c>
      <c r="D18" s="41">
        <f>'CurrentYearIncomeStmt '!E18</f>
        <v>521726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120147</v>
      </c>
      <c r="D20" s="41">
        <f>'CurrentYearIncomeStmt '!E20</f>
        <v>132279</v>
      </c>
    </row>
    <row r="21" spans="1:5" x14ac:dyDescent="0.25">
      <c r="A21" s="10">
        <v>13</v>
      </c>
      <c r="B21" s="17" t="s">
        <v>10</v>
      </c>
      <c r="C21" s="32">
        <f>PriorYearIncomeStmt!E21</f>
        <v>388779</v>
      </c>
      <c r="D21" s="41">
        <f>'CurrentYearIncomeStmt '!E21</f>
        <v>294858</v>
      </c>
    </row>
    <row r="22" spans="1:5" x14ac:dyDescent="0.25">
      <c r="A22" s="10">
        <v>14</v>
      </c>
      <c r="B22" s="84" t="s">
        <v>260</v>
      </c>
      <c r="C22" s="40">
        <f>C16+C17+C18+C19+C20+C21</f>
        <v>1496646</v>
      </c>
      <c r="D22" s="42">
        <f>D16+D17+D18+D19+D20+D21</f>
        <v>1446321</v>
      </c>
      <c r="E22" s="1"/>
    </row>
    <row r="23" spans="1:5" x14ac:dyDescent="0.25">
      <c r="A23" s="10">
        <v>15</v>
      </c>
      <c r="B23" s="17" t="s">
        <v>14</v>
      </c>
      <c r="C23" s="32">
        <f>C15-C22</f>
        <v>894284</v>
      </c>
      <c r="D23" s="41">
        <f>D15-D22</f>
        <v>881112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92053</v>
      </c>
      <c r="D25" s="41">
        <f>'CurrentYearIncomeStmt '!E25</f>
        <v>95902</v>
      </c>
    </row>
    <row r="26" spans="1:5" x14ac:dyDescent="0.25">
      <c r="A26" s="10">
        <v>18</v>
      </c>
      <c r="B26" s="17" t="s">
        <v>188</v>
      </c>
      <c r="C26" s="32">
        <f>PriorYearIncomeStmt!E26</f>
        <v>161209</v>
      </c>
      <c r="D26" s="41">
        <f>'CurrentYearIncomeStmt '!E26</f>
        <v>209275</v>
      </c>
    </row>
    <row r="27" spans="1:5" x14ac:dyDescent="0.25">
      <c r="A27" s="10">
        <v>19</v>
      </c>
      <c r="B27" s="17" t="s">
        <v>13</v>
      </c>
      <c r="C27" s="32">
        <f>PriorYearIncomeStmt!E27</f>
        <v>37481</v>
      </c>
      <c r="D27" s="41">
        <f>'CurrentYearIncomeStmt '!E27</f>
        <v>12293</v>
      </c>
    </row>
    <row r="28" spans="1:5" x14ac:dyDescent="0.25">
      <c r="A28" s="10">
        <v>20</v>
      </c>
      <c r="B28" s="84" t="s">
        <v>12</v>
      </c>
      <c r="C28" s="37">
        <f>SUM(C25:C27)</f>
        <v>290743</v>
      </c>
      <c r="D28" s="43">
        <f t="shared" ref="D28" si="1">SUM(D25:D27)</f>
        <v>317470</v>
      </c>
    </row>
    <row r="29" spans="1:5" x14ac:dyDescent="0.25">
      <c r="A29" s="10">
        <v>21</v>
      </c>
      <c r="B29" s="84" t="s">
        <v>23</v>
      </c>
      <c r="C29" s="37">
        <f>C23+C24-C28</f>
        <v>603541</v>
      </c>
      <c r="D29" s="43">
        <f>D23+D24-D28</f>
        <v>563642</v>
      </c>
    </row>
    <row r="30" spans="1:5" x14ac:dyDescent="0.25">
      <c r="A30" s="10">
        <v>22</v>
      </c>
      <c r="B30" s="17" t="s">
        <v>15</v>
      </c>
      <c r="C30" s="32">
        <f>PriorYearIncomeStmt!E30</f>
        <v>193252</v>
      </c>
      <c r="D30" s="41">
        <f>'CurrentYearIncomeStmt '!E30</f>
        <v>171443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4" t="s">
        <v>18</v>
      </c>
      <c r="C34" s="37">
        <f>SUM(C30:C33)</f>
        <v>193252</v>
      </c>
      <c r="D34" s="43">
        <f t="shared" ref="D34" si="2">SUM(D30:D33)</f>
        <v>171443</v>
      </c>
    </row>
    <row r="35" spans="1:4" x14ac:dyDescent="0.25">
      <c r="A35" s="10">
        <v>27</v>
      </c>
      <c r="B35" s="17" t="s">
        <v>19</v>
      </c>
      <c r="C35" s="32">
        <f>PriorYearIncomeStmt!E35</f>
        <v>63096</v>
      </c>
      <c r="D35" s="41">
        <f>'CurrentYearIncomeStmt '!E35</f>
        <v>82808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-212270</v>
      </c>
      <c r="D38" s="41">
        <f>'CurrentYearIncomeStmt '!E38</f>
        <v>-203674</v>
      </c>
    </row>
    <row r="39" spans="1:4" x14ac:dyDescent="0.25">
      <c r="A39" s="10">
        <v>31</v>
      </c>
      <c r="B39" s="84" t="s">
        <v>22</v>
      </c>
      <c r="C39" s="37">
        <f>C29-C34+C35+C36+C37+C38</f>
        <v>261115</v>
      </c>
      <c r="D39" s="43">
        <f t="shared" ref="D39" si="3">D29-D34+D35+D36+D37+D38</f>
        <v>271333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6112373</v>
      </c>
      <c r="D41" s="41">
        <f>'CurrentYearIncomeStmt '!E41</f>
        <v>6333838</v>
      </c>
    </row>
    <row r="42" spans="1:4" x14ac:dyDescent="0.25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4740</v>
      </c>
    </row>
    <row r="43" spans="1:4" x14ac:dyDescent="0.25">
      <c r="A43" s="10">
        <v>35</v>
      </c>
      <c r="B43" s="17" t="s">
        <v>27</v>
      </c>
      <c r="C43" s="32">
        <f>PriorYearIncomeStmt!E43</f>
        <v>36920</v>
      </c>
      <c r="D43" s="41">
        <f>'CurrentYearIncomeStmt '!E43</f>
        <v>36800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2730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6333838</v>
      </c>
      <c r="D47" s="43">
        <f t="shared" ref="D47" si="4">(D39+D41+D42)-(D43+D44+D45+D46)</f>
        <v>6573111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713419</v>
      </c>
      <c r="D52" s="41">
        <f>'CurrentYearIncomeStmt '!E52</f>
        <v>713419</v>
      </c>
    </row>
    <row r="53" spans="1:8" x14ac:dyDescent="0.25">
      <c r="A53" s="10">
        <v>45</v>
      </c>
      <c r="B53" s="17" t="s">
        <v>36</v>
      </c>
      <c r="C53" s="49">
        <f>((C22+C28-C18-C19)/C15)</f>
        <v>0.53395164224799552</v>
      </c>
      <c r="D53" s="49">
        <f>((D22+D28-D18-D19)/D15)</f>
        <v>0.53366305281398008</v>
      </c>
    </row>
    <row r="54" spans="1:8" x14ac:dyDescent="0.25">
      <c r="A54" s="10">
        <v>46</v>
      </c>
      <c r="B54" s="17" t="s">
        <v>37</v>
      </c>
      <c r="C54" s="49">
        <f>((C22+C28+C34)/C15)</f>
        <v>0.82839773644565085</v>
      </c>
      <c r="D54" s="49">
        <f>((D22+D28+D34)/D15)</f>
        <v>0.83148859709387979</v>
      </c>
    </row>
    <row r="55" spans="1:8" x14ac:dyDescent="0.25">
      <c r="A55" s="10">
        <v>47</v>
      </c>
      <c r="B55" s="17" t="s">
        <v>38</v>
      </c>
      <c r="C55" s="49">
        <f>((C39+C34)/C34)</f>
        <v>2.3511632479870843</v>
      </c>
      <c r="D55" s="49">
        <f t="shared" ref="D55" si="6">((D39+D34)/D34)</f>
        <v>2.5826426275788457</v>
      </c>
    </row>
    <row r="56" spans="1:8" x14ac:dyDescent="0.25">
      <c r="A56" s="10">
        <v>48</v>
      </c>
      <c r="B56" s="17" t="s">
        <v>39</v>
      </c>
      <c r="C56" s="45">
        <f>(C39+C34+C18+C19)/C52</f>
        <v>1.3528024905420237</v>
      </c>
      <c r="D56" s="49">
        <f>(D39+D34+D18+D19)/D52</f>
        <v>1.3519432479370468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St. John Telephone, Inc.</CaseCompanyNames>
    <Nickname xmlns="http://schemas.microsoft.com/sharepoint/v3" xsi:nil="true"/>
    <DocketNumber xmlns="dc463f71-b30c-4ab2-9473-d307f9d35888">170850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D2D5C2F152B14A971B43EBEBC416F5" ma:contentTypeVersion="104" ma:contentTypeDescription="" ma:contentTypeScope="" ma:versionID="23412a1f4bf7f02d7967bc0fc03f6f5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F187DC-6251-49E1-86D9-0ED5A6729C98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a7bd91e-004b-490a-8704-e368d63d59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1412B-5AC9-4470-BCAA-A9DBA9FC35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9F1B11-4227-4D63-8709-E552C60160C6}"/>
</file>

<file path=customXml/itemProps4.xml><?xml version="1.0" encoding="utf-8"?>
<ds:datastoreItem xmlns:ds="http://schemas.openxmlformats.org/officeDocument/2006/customXml" ds:itemID="{E74D3060-8F2A-493E-A387-30E435F061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2017-07-18T21:57:38Z</cp:lastPrinted>
  <dcterms:created xsi:type="dcterms:W3CDTF">2014-05-21T17:51:51Z</dcterms:created>
  <dcterms:modified xsi:type="dcterms:W3CDTF">2017-07-31T15:52:53Z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0x0101006E56B4D1795A2E4DB2F0B01679ED314A004ED2D5C2F152B14A971B43EBEBC416F5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