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his Week\4. Friday\UE-170515 PSE\"/>
    </mc:Choice>
  </mc:AlternateContent>
  <bookViews>
    <workbookView xWindow="-15" yWindow="9975" windowWidth="20370" windowHeight="4845" tabRatio="670" activeTab="4"/>
  </bookViews>
  <sheets>
    <sheet name="Cover" sheetId="9" r:id="rId1"/>
    <sheet name="Instructions" sheetId="7" r:id="rId2"/>
    <sheet name="Compliance Summary" sheetId="6" r:id="rId3"/>
    <sheet name="Facility Detail" sheetId="1" r:id="rId4"/>
    <sheet name="Generation Rollup" sheetId="8" r:id="rId5"/>
  </sheets>
  <definedNames>
    <definedName name="Facility">'Facility Detail'!$B$1158:$B$1167</definedName>
    <definedName name="LaborBonus">'Facility Detail'!$B$1147:$B$1149</definedName>
    <definedName name="_xlnm.Print_Area" localSheetId="2">'Compliance Summary'!$A$2:$F$42</definedName>
    <definedName name="_xlnm.Print_Area" localSheetId="3">'Facility Detail'!$A$3:$H$402</definedName>
    <definedName name="_xlnm.Print_Area" localSheetId="1">Instructions!$A$2:$F$39</definedName>
  </definedNames>
  <calcPr calcId="152511"/>
</workbook>
</file>

<file path=xl/calcChain.xml><?xml version="1.0" encoding="utf-8"?>
<calcChain xmlns="http://schemas.openxmlformats.org/spreadsheetml/2006/main">
  <c r="B57" i="1" l="1"/>
  <c r="B58" i="1"/>
  <c r="B59" i="1"/>
  <c r="B60" i="1"/>
  <c r="B93" i="1"/>
  <c r="B94" i="1"/>
  <c r="B95" i="1"/>
  <c r="B96" i="1"/>
  <c r="B130" i="1"/>
  <c r="B131" i="1"/>
  <c r="B132" i="1"/>
  <c r="B133" i="1"/>
  <c r="B166" i="1"/>
  <c r="B167" i="1"/>
  <c r="B168" i="1"/>
  <c r="B169" i="1"/>
  <c r="B203" i="1"/>
  <c r="B204" i="1"/>
  <c r="B205" i="1"/>
  <c r="B206" i="1"/>
  <c r="B240" i="1"/>
  <c r="B241" i="1"/>
  <c r="B242" i="1"/>
  <c r="B243" i="1"/>
  <c r="B277" i="1"/>
  <c r="B278" i="1"/>
  <c r="B279" i="1"/>
  <c r="B280" i="1"/>
  <c r="B314" i="1"/>
  <c r="B315" i="1"/>
  <c r="B316" i="1"/>
  <c r="B317" i="1"/>
  <c r="B351" i="1"/>
  <c r="B352" i="1"/>
  <c r="B353" i="1"/>
  <c r="B354" i="1"/>
  <c r="B388" i="1"/>
  <c r="B389" i="1"/>
  <c r="B390" i="1"/>
  <c r="B391" i="1"/>
  <c r="B425" i="1"/>
  <c r="B426" i="1"/>
  <c r="B427" i="1"/>
  <c r="B428" i="1"/>
  <c r="B462" i="1"/>
  <c r="B463" i="1"/>
  <c r="B464" i="1"/>
  <c r="B465" i="1"/>
  <c r="B499" i="1"/>
  <c r="B500" i="1"/>
  <c r="B501" i="1"/>
  <c r="B502" i="1"/>
  <c r="B536" i="1"/>
  <c r="B537" i="1"/>
  <c r="B538" i="1"/>
  <c r="B539" i="1"/>
  <c r="B573" i="1"/>
  <c r="B574" i="1"/>
  <c r="B575" i="1"/>
  <c r="B576" i="1"/>
  <c r="B610" i="1"/>
  <c r="B611" i="1"/>
  <c r="B612" i="1"/>
  <c r="B613" i="1"/>
  <c r="B647" i="1"/>
  <c r="B648" i="1"/>
  <c r="B649" i="1"/>
  <c r="B650" i="1"/>
  <c r="B684" i="1"/>
  <c r="B685" i="1"/>
  <c r="B686" i="1"/>
  <c r="B687" i="1"/>
  <c r="B721" i="1"/>
  <c r="B722" i="1"/>
  <c r="B723" i="1"/>
  <c r="B724" i="1"/>
  <c r="B758" i="1"/>
  <c r="B759" i="1"/>
  <c r="B760" i="1"/>
  <c r="B761" i="1"/>
  <c r="B795" i="1"/>
  <c r="B796" i="1"/>
  <c r="B797" i="1"/>
  <c r="B798" i="1"/>
  <c r="B832" i="1"/>
  <c r="B833" i="1"/>
  <c r="B834" i="1"/>
  <c r="B835" i="1"/>
  <c r="B869" i="1"/>
  <c r="B870" i="1"/>
  <c r="B871" i="1"/>
  <c r="B872" i="1"/>
  <c r="B906" i="1"/>
  <c r="B907" i="1"/>
  <c r="B908" i="1"/>
  <c r="B909" i="1"/>
  <c r="B943" i="1"/>
  <c r="B944" i="1"/>
  <c r="B945" i="1"/>
  <c r="B946" i="1"/>
  <c r="B980" i="1"/>
  <c r="B981" i="1"/>
  <c r="B982" i="1"/>
  <c r="B983" i="1"/>
  <c r="B1017" i="1"/>
  <c r="B1018" i="1"/>
  <c r="B1019" i="1"/>
  <c r="B1020" i="1"/>
  <c r="B1054" i="1"/>
  <c r="B1055" i="1"/>
  <c r="B1056" i="1"/>
  <c r="B1057" i="1"/>
  <c r="B1091" i="1"/>
  <c r="B1092" i="1"/>
  <c r="B1093" i="1"/>
  <c r="B1094" i="1"/>
  <c r="B1128" i="1"/>
  <c r="B1129" i="1"/>
  <c r="B1130" i="1"/>
  <c r="B1131" i="1"/>
  <c r="H273" i="1" l="1"/>
  <c r="G273" i="1"/>
  <c r="L116" i="1" l="1"/>
  <c r="H113" i="1" s="1"/>
  <c r="L374" i="1"/>
  <c r="L337" i="1"/>
  <c r="L263" i="1"/>
  <c r="L226" i="1"/>
  <c r="L79" i="1"/>
  <c r="L43" i="1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F9" i="6" l="1"/>
  <c r="B6" i="6"/>
  <c r="G1135" i="1" l="1"/>
  <c r="F1133" i="1"/>
  <c r="E1131" i="1"/>
  <c r="D1129" i="1"/>
  <c r="D1127" i="1"/>
  <c r="E1127" i="1" s="1"/>
  <c r="F1127" i="1" s="1"/>
  <c r="G1127" i="1" s="1"/>
  <c r="H1127" i="1" s="1"/>
  <c r="F1125" i="1"/>
  <c r="E1125" i="1"/>
  <c r="D1125" i="1"/>
  <c r="D1121" i="1"/>
  <c r="E1121" i="1" s="1"/>
  <c r="F1121" i="1" s="1"/>
  <c r="G1121" i="1" s="1"/>
  <c r="H1121" i="1" s="1"/>
  <c r="H1118" i="1"/>
  <c r="G1118" i="1"/>
  <c r="F1118" i="1"/>
  <c r="E1118" i="1"/>
  <c r="D1118" i="1"/>
  <c r="H1117" i="1"/>
  <c r="G1117" i="1"/>
  <c r="G1119" i="1" s="1"/>
  <c r="G1134" i="1" s="1"/>
  <c r="H1134" i="1" s="1"/>
  <c r="H1136" i="1" s="1"/>
  <c r="F1117" i="1"/>
  <c r="E1117" i="1"/>
  <c r="D1117" i="1"/>
  <c r="D1116" i="1"/>
  <c r="E1116" i="1" s="1"/>
  <c r="F1116" i="1" s="1"/>
  <c r="G1116" i="1" s="1"/>
  <c r="H1116" i="1" s="1"/>
  <c r="F1114" i="1"/>
  <c r="E1114" i="1"/>
  <c r="D1114" i="1"/>
  <c r="D1110" i="1"/>
  <c r="E1110" i="1" s="1"/>
  <c r="F1110" i="1" s="1"/>
  <c r="G1110" i="1" s="1"/>
  <c r="H1110" i="1" s="1"/>
  <c r="G1098" i="1"/>
  <c r="F1096" i="1"/>
  <c r="E1094" i="1"/>
  <c r="D1092" i="1"/>
  <c r="D1090" i="1"/>
  <c r="E1090" i="1" s="1"/>
  <c r="F1090" i="1" s="1"/>
  <c r="G1090" i="1" s="1"/>
  <c r="H1090" i="1" s="1"/>
  <c r="F1088" i="1"/>
  <c r="E1088" i="1"/>
  <c r="D1088" i="1"/>
  <c r="D1084" i="1"/>
  <c r="E1084" i="1" s="1"/>
  <c r="F1084" i="1" s="1"/>
  <c r="G1084" i="1" s="1"/>
  <c r="H1084" i="1" s="1"/>
  <c r="H1081" i="1"/>
  <c r="G1081" i="1"/>
  <c r="F1081" i="1"/>
  <c r="E1081" i="1"/>
  <c r="D1081" i="1"/>
  <c r="H1080" i="1"/>
  <c r="G1080" i="1"/>
  <c r="G1082" i="1" s="1"/>
  <c r="G1097" i="1" s="1"/>
  <c r="H1097" i="1" s="1"/>
  <c r="H1099" i="1" s="1"/>
  <c r="F1080" i="1"/>
  <c r="E1080" i="1"/>
  <c r="D1080" i="1"/>
  <c r="D1079" i="1"/>
  <c r="E1079" i="1" s="1"/>
  <c r="F1079" i="1" s="1"/>
  <c r="G1079" i="1" s="1"/>
  <c r="H1079" i="1" s="1"/>
  <c r="F1077" i="1"/>
  <c r="E1077" i="1"/>
  <c r="D1077" i="1"/>
  <c r="D1073" i="1"/>
  <c r="E1073" i="1" s="1"/>
  <c r="F1073" i="1" s="1"/>
  <c r="G1073" i="1" s="1"/>
  <c r="H1073" i="1" s="1"/>
  <c r="G1061" i="1"/>
  <c r="F1059" i="1"/>
  <c r="E1057" i="1"/>
  <c r="D1055" i="1"/>
  <c r="D1053" i="1"/>
  <c r="E1053" i="1" s="1"/>
  <c r="F1053" i="1" s="1"/>
  <c r="G1053" i="1" s="1"/>
  <c r="H1053" i="1" s="1"/>
  <c r="F1051" i="1"/>
  <c r="E1051" i="1"/>
  <c r="D1051" i="1"/>
  <c r="D1047" i="1"/>
  <c r="E1047" i="1" s="1"/>
  <c r="F1047" i="1" s="1"/>
  <c r="G1047" i="1" s="1"/>
  <c r="H1047" i="1" s="1"/>
  <c r="H1044" i="1"/>
  <c r="G1044" i="1"/>
  <c r="F1044" i="1"/>
  <c r="E1044" i="1"/>
  <c r="D1044" i="1"/>
  <c r="H1043" i="1"/>
  <c r="G1043" i="1"/>
  <c r="G1045" i="1" s="1"/>
  <c r="G1060" i="1" s="1"/>
  <c r="H1060" i="1" s="1"/>
  <c r="H1062" i="1" s="1"/>
  <c r="F1043" i="1"/>
  <c r="E1043" i="1"/>
  <c r="D1043" i="1"/>
  <c r="D1042" i="1"/>
  <c r="E1042" i="1" s="1"/>
  <c r="F1042" i="1" s="1"/>
  <c r="G1042" i="1" s="1"/>
  <c r="H1042" i="1" s="1"/>
  <c r="F1040" i="1"/>
  <c r="E1040" i="1"/>
  <c r="D1040" i="1"/>
  <c r="D1036" i="1"/>
  <c r="E1036" i="1" s="1"/>
  <c r="F1036" i="1" s="1"/>
  <c r="G1036" i="1" s="1"/>
  <c r="H1036" i="1" s="1"/>
  <c r="G1024" i="1"/>
  <c r="F1022" i="1"/>
  <c r="E1020" i="1"/>
  <c r="D1018" i="1"/>
  <c r="D1016" i="1"/>
  <c r="E1016" i="1" s="1"/>
  <c r="F1016" i="1" s="1"/>
  <c r="G1016" i="1" s="1"/>
  <c r="H1016" i="1" s="1"/>
  <c r="F1014" i="1"/>
  <c r="E1014" i="1"/>
  <c r="D1014" i="1"/>
  <c r="D1010" i="1"/>
  <c r="E1010" i="1" s="1"/>
  <c r="F1010" i="1" s="1"/>
  <c r="G1010" i="1" s="1"/>
  <c r="H1010" i="1" s="1"/>
  <c r="H1007" i="1"/>
  <c r="G1007" i="1"/>
  <c r="F1007" i="1"/>
  <c r="E1007" i="1"/>
  <c r="D1007" i="1"/>
  <c r="H1006" i="1"/>
  <c r="G1006" i="1"/>
  <c r="F1006" i="1"/>
  <c r="E1006" i="1"/>
  <c r="D1006" i="1"/>
  <c r="D1005" i="1"/>
  <c r="E1005" i="1" s="1"/>
  <c r="F1005" i="1" s="1"/>
  <c r="G1005" i="1" s="1"/>
  <c r="H1005" i="1" s="1"/>
  <c r="F1003" i="1"/>
  <c r="E1003" i="1"/>
  <c r="D1003" i="1"/>
  <c r="D999" i="1"/>
  <c r="E999" i="1" s="1"/>
  <c r="F999" i="1" s="1"/>
  <c r="G999" i="1" s="1"/>
  <c r="H999" i="1" s="1"/>
  <c r="G987" i="1"/>
  <c r="F985" i="1"/>
  <c r="E983" i="1"/>
  <c r="D981" i="1"/>
  <c r="D979" i="1"/>
  <c r="E979" i="1" s="1"/>
  <c r="F979" i="1" s="1"/>
  <c r="G979" i="1" s="1"/>
  <c r="H979" i="1" s="1"/>
  <c r="F977" i="1"/>
  <c r="E977" i="1"/>
  <c r="D977" i="1"/>
  <c r="D973" i="1"/>
  <c r="E973" i="1" s="1"/>
  <c r="F973" i="1" s="1"/>
  <c r="G973" i="1" s="1"/>
  <c r="H973" i="1" s="1"/>
  <c r="H970" i="1"/>
  <c r="G970" i="1"/>
  <c r="F970" i="1"/>
  <c r="E970" i="1"/>
  <c r="D970" i="1"/>
  <c r="H969" i="1"/>
  <c r="G969" i="1"/>
  <c r="F969" i="1"/>
  <c r="E969" i="1"/>
  <c r="D969" i="1"/>
  <c r="D968" i="1"/>
  <c r="E968" i="1" s="1"/>
  <c r="F968" i="1" s="1"/>
  <c r="G968" i="1" s="1"/>
  <c r="H968" i="1" s="1"/>
  <c r="F966" i="1"/>
  <c r="E966" i="1"/>
  <c r="D966" i="1"/>
  <c r="D962" i="1"/>
  <c r="E962" i="1" s="1"/>
  <c r="F962" i="1" s="1"/>
  <c r="G962" i="1" s="1"/>
  <c r="H962" i="1" s="1"/>
  <c r="G950" i="1"/>
  <c r="F948" i="1"/>
  <c r="E946" i="1"/>
  <c r="D944" i="1"/>
  <c r="D942" i="1"/>
  <c r="E942" i="1" s="1"/>
  <c r="F942" i="1" s="1"/>
  <c r="G942" i="1" s="1"/>
  <c r="H942" i="1" s="1"/>
  <c r="F940" i="1"/>
  <c r="E940" i="1"/>
  <c r="D940" i="1"/>
  <c r="D936" i="1"/>
  <c r="E936" i="1" s="1"/>
  <c r="F936" i="1" s="1"/>
  <c r="G936" i="1" s="1"/>
  <c r="H936" i="1" s="1"/>
  <c r="H933" i="1"/>
  <c r="G933" i="1"/>
  <c r="F933" i="1"/>
  <c r="E933" i="1"/>
  <c r="D933" i="1"/>
  <c r="H932" i="1"/>
  <c r="G932" i="1"/>
  <c r="G934" i="1" s="1"/>
  <c r="G949" i="1" s="1"/>
  <c r="H949" i="1" s="1"/>
  <c r="H951" i="1" s="1"/>
  <c r="F932" i="1"/>
  <c r="E932" i="1"/>
  <c r="D932" i="1"/>
  <c r="D931" i="1"/>
  <c r="E931" i="1" s="1"/>
  <c r="F931" i="1" s="1"/>
  <c r="G931" i="1" s="1"/>
  <c r="H931" i="1" s="1"/>
  <c r="F929" i="1"/>
  <c r="E929" i="1"/>
  <c r="D929" i="1"/>
  <c r="D925" i="1"/>
  <c r="E925" i="1" s="1"/>
  <c r="F925" i="1" s="1"/>
  <c r="G925" i="1" s="1"/>
  <c r="H925" i="1" s="1"/>
  <c r="G913" i="1"/>
  <c r="F911" i="1"/>
  <c r="E909" i="1"/>
  <c r="D907" i="1"/>
  <c r="D905" i="1"/>
  <c r="E905" i="1" s="1"/>
  <c r="F905" i="1" s="1"/>
  <c r="G905" i="1" s="1"/>
  <c r="H905" i="1" s="1"/>
  <c r="F903" i="1"/>
  <c r="E903" i="1"/>
  <c r="D903" i="1"/>
  <c r="D899" i="1"/>
  <c r="E899" i="1" s="1"/>
  <c r="F899" i="1" s="1"/>
  <c r="G899" i="1" s="1"/>
  <c r="H899" i="1" s="1"/>
  <c r="H896" i="1"/>
  <c r="G896" i="1"/>
  <c r="F896" i="1"/>
  <c r="E896" i="1"/>
  <c r="D896" i="1"/>
  <c r="H895" i="1"/>
  <c r="G895" i="1"/>
  <c r="G897" i="1" s="1"/>
  <c r="G912" i="1" s="1"/>
  <c r="H912" i="1" s="1"/>
  <c r="H914" i="1" s="1"/>
  <c r="F895" i="1"/>
  <c r="E895" i="1"/>
  <c r="D895" i="1"/>
  <c r="D894" i="1"/>
  <c r="E894" i="1" s="1"/>
  <c r="F894" i="1" s="1"/>
  <c r="G894" i="1" s="1"/>
  <c r="H894" i="1" s="1"/>
  <c r="F892" i="1"/>
  <c r="E892" i="1"/>
  <c r="D892" i="1"/>
  <c r="D888" i="1"/>
  <c r="E888" i="1" s="1"/>
  <c r="F888" i="1" s="1"/>
  <c r="G888" i="1" s="1"/>
  <c r="H888" i="1" s="1"/>
  <c r="G876" i="1"/>
  <c r="F874" i="1"/>
  <c r="E872" i="1"/>
  <c r="D870" i="1"/>
  <c r="D868" i="1"/>
  <c r="E868" i="1" s="1"/>
  <c r="F868" i="1" s="1"/>
  <c r="G868" i="1" s="1"/>
  <c r="H868" i="1" s="1"/>
  <c r="F866" i="1"/>
  <c r="E866" i="1"/>
  <c r="D866" i="1"/>
  <c r="D862" i="1"/>
  <c r="E862" i="1" s="1"/>
  <c r="F862" i="1" s="1"/>
  <c r="G862" i="1" s="1"/>
  <c r="H862" i="1" s="1"/>
  <c r="H859" i="1"/>
  <c r="G859" i="1"/>
  <c r="F859" i="1"/>
  <c r="E859" i="1"/>
  <c r="D859" i="1"/>
  <c r="H858" i="1"/>
  <c r="G858" i="1"/>
  <c r="F858" i="1"/>
  <c r="E858" i="1"/>
  <c r="D858" i="1"/>
  <c r="D857" i="1"/>
  <c r="E857" i="1" s="1"/>
  <c r="F857" i="1" s="1"/>
  <c r="G857" i="1" s="1"/>
  <c r="H857" i="1" s="1"/>
  <c r="F855" i="1"/>
  <c r="E855" i="1"/>
  <c r="D855" i="1"/>
  <c r="D851" i="1"/>
  <c r="E851" i="1" s="1"/>
  <c r="F851" i="1" s="1"/>
  <c r="G851" i="1" s="1"/>
  <c r="H851" i="1" s="1"/>
  <c r="G839" i="1"/>
  <c r="F837" i="1"/>
  <c r="E835" i="1"/>
  <c r="D833" i="1"/>
  <c r="D831" i="1"/>
  <c r="E831" i="1" s="1"/>
  <c r="F831" i="1" s="1"/>
  <c r="G831" i="1" s="1"/>
  <c r="H831" i="1" s="1"/>
  <c r="F829" i="1"/>
  <c r="E829" i="1"/>
  <c r="D829" i="1"/>
  <c r="D825" i="1"/>
  <c r="E825" i="1" s="1"/>
  <c r="F825" i="1" s="1"/>
  <c r="G825" i="1" s="1"/>
  <c r="H825" i="1" s="1"/>
  <c r="H822" i="1"/>
  <c r="G822" i="1"/>
  <c r="F822" i="1"/>
  <c r="E822" i="1"/>
  <c r="D822" i="1"/>
  <c r="H821" i="1"/>
  <c r="G821" i="1"/>
  <c r="F821" i="1"/>
  <c r="E821" i="1"/>
  <c r="D821" i="1"/>
  <c r="D820" i="1"/>
  <c r="E820" i="1" s="1"/>
  <c r="F820" i="1" s="1"/>
  <c r="G820" i="1" s="1"/>
  <c r="H820" i="1" s="1"/>
  <c r="F818" i="1"/>
  <c r="E818" i="1"/>
  <c r="D818" i="1"/>
  <c r="D814" i="1"/>
  <c r="E814" i="1" s="1"/>
  <c r="F814" i="1" s="1"/>
  <c r="G814" i="1" s="1"/>
  <c r="H814" i="1" s="1"/>
  <c r="G802" i="1"/>
  <c r="F800" i="1"/>
  <c r="E798" i="1"/>
  <c r="D796" i="1"/>
  <c r="D794" i="1"/>
  <c r="E794" i="1" s="1"/>
  <c r="F794" i="1" s="1"/>
  <c r="G794" i="1" s="1"/>
  <c r="H794" i="1" s="1"/>
  <c r="F792" i="1"/>
  <c r="E792" i="1"/>
  <c r="D792" i="1"/>
  <c r="D788" i="1"/>
  <c r="E788" i="1" s="1"/>
  <c r="F788" i="1" s="1"/>
  <c r="G788" i="1" s="1"/>
  <c r="H788" i="1" s="1"/>
  <c r="H785" i="1"/>
  <c r="G785" i="1"/>
  <c r="F785" i="1"/>
  <c r="E785" i="1"/>
  <c r="D785" i="1"/>
  <c r="H784" i="1"/>
  <c r="G784" i="1"/>
  <c r="F784" i="1"/>
  <c r="E784" i="1"/>
  <c r="D784" i="1"/>
  <c r="D783" i="1"/>
  <c r="E783" i="1" s="1"/>
  <c r="F783" i="1" s="1"/>
  <c r="G783" i="1" s="1"/>
  <c r="H783" i="1" s="1"/>
  <c r="F781" i="1"/>
  <c r="E781" i="1"/>
  <c r="D781" i="1"/>
  <c r="D777" i="1"/>
  <c r="E777" i="1" s="1"/>
  <c r="F777" i="1" s="1"/>
  <c r="G777" i="1" s="1"/>
  <c r="H777" i="1" s="1"/>
  <c r="G765" i="1"/>
  <c r="F763" i="1"/>
  <c r="E761" i="1"/>
  <c r="D759" i="1"/>
  <c r="D757" i="1"/>
  <c r="E757" i="1" s="1"/>
  <c r="F757" i="1" s="1"/>
  <c r="G757" i="1" s="1"/>
  <c r="H757" i="1" s="1"/>
  <c r="F755" i="1"/>
  <c r="E755" i="1"/>
  <c r="D755" i="1"/>
  <c r="D751" i="1"/>
  <c r="E751" i="1" s="1"/>
  <c r="F751" i="1" s="1"/>
  <c r="G751" i="1" s="1"/>
  <c r="H751" i="1" s="1"/>
  <c r="H748" i="1"/>
  <c r="G748" i="1"/>
  <c r="F748" i="1"/>
  <c r="E748" i="1"/>
  <c r="D748" i="1"/>
  <c r="H747" i="1"/>
  <c r="G747" i="1"/>
  <c r="F747" i="1"/>
  <c r="E747" i="1"/>
  <c r="D747" i="1"/>
  <c r="D746" i="1"/>
  <c r="E746" i="1" s="1"/>
  <c r="F746" i="1" s="1"/>
  <c r="G746" i="1" s="1"/>
  <c r="H746" i="1" s="1"/>
  <c r="F744" i="1"/>
  <c r="E744" i="1"/>
  <c r="D744" i="1"/>
  <c r="D740" i="1"/>
  <c r="E740" i="1" s="1"/>
  <c r="F740" i="1" s="1"/>
  <c r="G740" i="1" s="1"/>
  <c r="H740" i="1" s="1"/>
  <c r="G728" i="1"/>
  <c r="F726" i="1"/>
  <c r="E724" i="1"/>
  <c r="D722" i="1"/>
  <c r="D720" i="1"/>
  <c r="E720" i="1" s="1"/>
  <c r="F720" i="1" s="1"/>
  <c r="G720" i="1" s="1"/>
  <c r="H720" i="1" s="1"/>
  <c r="F718" i="1"/>
  <c r="E718" i="1"/>
  <c r="D718" i="1"/>
  <c r="D714" i="1"/>
  <c r="E714" i="1" s="1"/>
  <c r="F714" i="1" s="1"/>
  <c r="G714" i="1" s="1"/>
  <c r="H714" i="1" s="1"/>
  <c r="H711" i="1"/>
  <c r="G711" i="1"/>
  <c r="F711" i="1"/>
  <c r="E711" i="1"/>
  <c r="D711" i="1"/>
  <c r="H710" i="1"/>
  <c r="G710" i="1"/>
  <c r="F710" i="1"/>
  <c r="E710" i="1"/>
  <c r="D710" i="1"/>
  <c r="D709" i="1"/>
  <c r="E709" i="1" s="1"/>
  <c r="F709" i="1" s="1"/>
  <c r="G709" i="1" s="1"/>
  <c r="H709" i="1" s="1"/>
  <c r="F707" i="1"/>
  <c r="E707" i="1"/>
  <c r="D707" i="1"/>
  <c r="D703" i="1"/>
  <c r="E703" i="1" s="1"/>
  <c r="F703" i="1" s="1"/>
  <c r="G703" i="1" s="1"/>
  <c r="H703" i="1" s="1"/>
  <c r="G691" i="1"/>
  <c r="F689" i="1"/>
  <c r="E687" i="1"/>
  <c r="D685" i="1"/>
  <c r="D683" i="1"/>
  <c r="E683" i="1" s="1"/>
  <c r="F683" i="1" s="1"/>
  <c r="G683" i="1" s="1"/>
  <c r="H683" i="1" s="1"/>
  <c r="F681" i="1"/>
  <c r="E681" i="1"/>
  <c r="D681" i="1"/>
  <c r="D677" i="1"/>
  <c r="E677" i="1" s="1"/>
  <c r="F677" i="1" s="1"/>
  <c r="G677" i="1" s="1"/>
  <c r="H677" i="1" s="1"/>
  <c r="H674" i="1"/>
  <c r="G674" i="1"/>
  <c r="F674" i="1"/>
  <c r="E674" i="1"/>
  <c r="D674" i="1"/>
  <c r="D672" i="1"/>
  <c r="E672" i="1" s="1"/>
  <c r="F672" i="1" s="1"/>
  <c r="G672" i="1" s="1"/>
  <c r="H672" i="1" s="1"/>
  <c r="F670" i="1"/>
  <c r="E670" i="1"/>
  <c r="D670" i="1"/>
  <c r="D666" i="1"/>
  <c r="E666" i="1" s="1"/>
  <c r="F666" i="1" s="1"/>
  <c r="G666" i="1" s="1"/>
  <c r="H666" i="1" s="1"/>
  <c r="G654" i="1"/>
  <c r="F652" i="1"/>
  <c r="E650" i="1"/>
  <c r="D648" i="1"/>
  <c r="D646" i="1"/>
  <c r="E646" i="1" s="1"/>
  <c r="F646" i="1" s="1"/>
  <c r="G646" i="1" s="1"/>
  <c r="H646" i="1" s="1"/>
  <c r="F644" i="1"/>
  <c r="E644" i="1"/>
  <c r="D644" i="1"/>
  <c r="D640" i="1"/>
  <c r="E640" i="1" s="1"/>
  <c r="F640" i="1" s="1"/>
  <c r="G640" i="1" s="1"/>
  <c r="H640" i="1" s="1"/>
  <c r="H637" i="1"/>
  <c r="G637" i="1"/>
  <c r="F637" i="1"/>
  <c r="E637" i="1"/>
  <c r="D637" i="1"/>
  <c r="D635" i="1"/>
  <c r="E635" i="1" s="1"/>
  <c r="F635" i="1" s="1"/>
  <c r="G635" i="1" s="1"/>
  <c r="H635" i="1" s="1"/>
  <c r="F633" i="1"/>
  <c r="E633" i="1"/>
  <c r="D633" i="1"/>
  <c r="D629" i="1"/>
  <c r="E629" i="1" s="1"/>
  <c r="F629" i="1" s="1"/>
  <c r="G629" i="1" s="1"/>
  <c r="H629" i="1" s="1"/>
  <c r="G617" i="1"/>
  <c r="F615" i="1"/>
  <c r="E613" i="1"/>
  <c r="D611" i="1"/>
  <c r="D609" i="1"/>
  <c r="E609" i="1" s="1"/>
  <c r="F609" i="1" s="1"/>
  <c r="G609" i="1" s="1"/>
  <c r="H609" i="1" s="1"/>
  <c r="F607" i="1"/>
  <c r="E607" i="1"/>
  <c r="D607" i="1"/>
  <c r="D603" i="1"/>
  <c r="E603" i="1" s="1"/>
  <c r="F603" i="1" s="1"/>
  <c r="G603" i="1" s="1"/>
  <c r="H603" i="1" s="1"/>
  <c r="H600" i="1"/>
  <c r="G600" i="1"/>
  <c r="F600" i="1"/>
  <c r="E600" i="1"/>
  <c r="D600" i="1"/>
  <c r="H599" i="1"/>
  <c r="G599" i="1"/>
  <c r="F599" i="1"/>
  <c r="E599" i="1"/>
  <c r="D599" i="1"/>
  <c r="D598" i="1"/>
  <c r="E598" i="1" s="1"/>
  <c r="F598" i="1" s="1"/>
  <c r="G598" i="1" s="1"/>
  <c r="H598" i="1" s="1"/>
  <c r="F596" i="1"/>
  <c r="E596" i="1"/>
  <c r="D596" i="1"/>
  <c r="D592" i="1"/>
  <c r="E592" i="1" s="1"/>
  <c r="F592" i="1" s="1"/>
  <c r="G592" i="1" s="1"/>
  <c r="H592" i="1" s="1"/>
  <c r="G580" i="1"/>
  <c r="F578" i="1"/>
  <c r="E576" i="1"/>
  <c r="D574" i="1"/>
  <c r="D572" i="1"/>
  <c r="E572" i="1" s="1"/>
  <c r="F572" i="1" s="1"/>
  <c r="G572" i="1" s="1"/>
  <c r="H572" i="1" s="1"/>
  <c r="F570" i="1"/>
  <c r="E570" i="1"/>
  <c r="D570" i="1"/>
  <c r="D566" i="1"/>
  <c r="E566" i="1" s="1"/>
  <c r="F566" i="1" s="1"/>
  <c r="G566" i="1" s="1"/>
  <c r="H566" i="1" s="1"/>
  <c r="H563" i="1"/>
  <c r="G563" i="1"/>
  <c r="F563" i="1"/>
  <c r="E563" i="1"/>
  <c r="D563" i="1"/>
  <c r="D561" i="1"/>
  <c r="E561" i="1" s="1"/>
  <c r="F561" i="1" s="1"/>
  <c r="G561" i="1" s="1"/>
  <c r="H561" i="1" s="1"/>
  <c r="F559" i="1"/>
  <c r="E559" i="1"/>
  <c r="D559" i="1"/>
  <c r="D555" i="1"/>
  <c r="E555" i="1" s="1"/>
  <c r="F555" i="1" s="1"/>
  <c r="G555" i="1" s="1"/>
  <c r="H555" i="1" s="1"/>
  <c r="G543" i="1"/>
  <c r="F541" i="1"/>
  <c r="E539" i="1"/>
  <c r="D537" i="1"/>
  <c r="D535" i="1"/>
  <c r="E535" i="1" s="1"/>
  <c r="F535" i="1" s="1"/>
  <c r="G535" i="1" s="1"/>
  <c r="H535" i="1" s="1"/>
  <c r="F533" i="1"/>
  <c r="E533" i="1"/>
  <c r="D533" i="1"/>
  <c r="D529" i="1"/>
  <c r="E529" i="1" s="1"/>
  <c r="F529" i="1" s="1"/>
  <c r="G529" i="1" s="1"/>
  <c r="H529" i="1" s="1"/>
  <c r="H526" i="1"/>
  <c r="G526" i="1"/>
  <c r="F526" i="1"/>
  <c r="E526" i="1"/>
  <c r="D526" i="1"/>
  <c r="H525" i="1"/>
  <c r="G525" i="1"/>
  <c r="F525" i="1"/>
  <c r="E525" i="1"/>
  <c r="D525" i="1"/>
  <c r="D524" i="1"/>
  <c r="E524" i="1" s="1"/>
  <c r="F524" i="1" s="1"/>
  <c r="G524" i="1" s="1"/>
  <c r="H524" i="1" s="1"/>
  <c r="F522" i="1"/>
  <c r="E522" i="1"/>
  <c r="D522" i="1"/>
  <c r="D518" i="1"/>
  <c r="E518" i="1" s="1"/>
  <c r="F518" i="1" s="1"/>
  <c r="G518" i="1" s="1"/>
  <c r="H518" i="1" s="1"/>
  <c r="G506" i="1"/>
  <c r="F504" i="1"/>
  <c r="E502" i="1"/>
  <c r="D500" i="1"/>
  <c r="D498" i="1"/>
  <c r="E498" i="1" s="1"/>
  <c r="F498" i="1" s="1"/>
  <c r="G498" i="1" s="1"/>
  <c r="H498" i="1" s="1"/>
  <c r="F496" i="1"/>
  <c r="E496" i="1"/>
  <c r="D496" i="1"/>
  <c r="D492" i="1"/>
  <c r="E492" i="1" s="1"/>
  <c r="F492" i="1" s="1"/>
  <c r="G492" i="1" s="1"/>
  <c r="H492" i="1" s="1"/>
  <c r="H489" i="1"/>
  <c r="G489" i="1"/>
  <c r="F489" i="1"/>
  <c r="E489" i="1"/>
  <c r="D489" i="1"/>
  <c r="H488" i="1"/>
  <c r="G488" i="1"/>
  <c r="F488" i="1"/>
  <c r="E488" i="1"/>
  <c r="D488" i="1"/>
  <c r="D487" i="1"/>
  <c r="E487" i="1" s="1"/>
  <c r="F487" i="1" s="1"/>
  <c r="G487" i="1" s="1"/>
  <c r="H487" i="1" s="1"/>
  <c r="F485" i="1"/>
  <c r="E485" i="1"/>
  <c r="D485" i="1"/>
  <c r="D481" i="1"/>
  <c r="E481" i="1" s="1"/>
  <c r="F481" i="1" s="1"/>
  <c r="G481" i="1" s="1"/>
  <c r="H481" i="1" s="1"/>
  <c r="G469" i="1"/>
  <c r="F467" i="1"/>
  <c r="E465" i="1"/>
  <c r="D463" i="1"/>
  <c r="D461" i="1"/>
  <c r="E461" i="1" s="1"/>
  <c r="F461" i="1" s="1"/>
  <c r="G461" i="1" s="1"/>
  <c r="H461" i="1" s="1"/>
  <c r="F459" i="1"/>
  <c r="E459" i="1"/>
  <c r="D459" i="1"/>
  <c r="D455" i="1"/>
  <c r="E455" i="1" s="1"/>
  <c r="F455" i="1" s="1"/>
  <c r="G455" i="1" s="1"/>
  <c r="H455" i="1" s="1"/>
  <c r="H452" i="1"/>
  <c r="G452" i="1"/>
  <c r="F452" i="1"/>
  <c r="E452" i="1"/>
  <c r="D452" i="1"/>
  <c r="H451" i="1"/>
  <c r="G451" i="1"/>
  <c r="F451" i="1"/>
  <c r="E451" i="1"/>
  <c r="D451" i="1"/>
  <c r="D450" i="1"/>
  <c r="E450" i="1" s="1"/>
  <c r="F450" i="1" s="1"/>
  <c r="G450" i="1" s="1"/>
  <c r="H450" i="1" s="1"/>
  <c r="F448" i="1"/>
  <c r="E448" i="1"/>
  <c r="D448" i="1"/>
  <c r="D444" i="1"/>
  <c r="E444" i="1" s="1"/>
  <c r="F444" i="1" s="1"/>
  <c r="G444" i="1" s="1"/>
  <c r="H444" i="1" s="1"/>
  <c r="F415" i="1"/>
  <c r="G415" i="1"/>
  <c r="H415" i="1"/>
  <c r="F414" i="1"/>
  <c r="G414" i="1"/>
  <c r="H414" i="1"/>
  <c r="G432" i="1"/>
  <c r="F430" i="1"/>
  <c r="E428" i="1"/>
  <c r="D426" i="1"/>
  <c r="G395" i="1"/>
  <c r="H394" i="1"/>
  <c r="H396" i="1" s="1"/>
  <c r="F393" i="1"/>
  <c r="G392" i="1"/>
  <c r="E391" i="1"/>
  <c r="F390" i="1"/>
  <c r="F396" i="1" s="1"/>
  <c r="D389" i="1"/>
  <c r="H357" i="1"/>
  <c r="H359" i="1" s="1"/>
  <c r="G358" i="1"/>
  <c r="F356" i="1"/>
  <c r="G355" i="1"/>
  <c r="E354" i="1"/>
  <c r="F353" i="1"/>
  <c r="D352" i="1"/>
  <c r="G321" i="1"/>
  <c r="F319" i="1"/>
  <c r="E317" i="1"/>
  <c r="D315" i="1"/>
  <c r="G284" i="1"/>
  <c r="F282" i="1"/>
  <c r="E280" i="1"/>
  <c r="D278" i="1"/>
  <c r="G247" i="1"/>
  <c r="F245" i="1"/>
  <c r="E243" i="1"/>
  <c r="D241" i="1"/>
  <c r="G210" i="1"/>
  <c r="F208" i="1"/>
  <c r="E206" i="1"/>
  <c r="D204" i="1"/>
  <c r="G173" i="1"/>
  <c r="F171" i="1"/>
  <c r="E169" i="1"/>
  <c r="D167" i="1"/>
  <c r="G137" i="1"/>
  <c r="F135" i="1"/>
  <c r="E133" i="1"/>
  <c r="D131" i="1"/>
  <c r="G100" i="1"/>
  <c r="F98" i="1"/>
  <c r="E96" i="1"/>
  <c r="D94" i="1"/>
  <c r="G64" i="1"/>
  <c r="F62" i="1"/>
  <c r="E60" i="1"/>
  <c r="G47" i="1"/>
  <c r="G46" i="1"/>
  <c r="H385" i="1"/>
  <c r="H378" i="1"/>
  <c r="H377" i="1"/>
  <c r="H374" i="1"/>
  <c r="H341" i="1"/>
  <c r="H340" i="1"/>
  <c r="H337" i="1"/>
  <c r="H311" i="1"/>
  <c r="H304" i="1"/>
  <c r="H303" i="1"/>
  <c r="H274" i="1"/>
  <c r="H267" i="1"/>
  <c r="H263" i="1"/>
  <c r="H266" i="1" s="1"/>
  <c r="H237" i="1"/>
  <c r="H230" i="1"/>
  <c r="H226" i="1"/>
  <c r="H200" i="1"/>
  <c r="H193" i="1"/>
  <c r="H192" i="1"/>
  <c r="H189" i="1"/>
  <c r="H163" i="1"/>
  <c r="H156" i="1"/>
  <c r="H152" i="1"/>
  <c r="H127" i="1"/>
  <c r="H120" i="1"/>
  <c r="H119" i="1"/>
  <c r="H116" i="1"/>
  <c r="H90" i="1"/>
  <c r="H83" i="1"/>
  <c r="H82" i="1"/>
  <c r="H79" i="1"/>
  <c r="H54" i="1"/>
  <c r="H47" i="1"/>
  <c r="H46" i="1"/>
  <c r="H43" i="1"/>
  <c r="H268" i="1" l="1"/>
  <c r="G359" i="1"/>
  <c r="E1045" i="1"/>
  <c r="E1056" i="1" s="1"/>
  <c r="F1056" i="1" s="1"/>
  <c r="G823" i="1"/>
  <c r="G838" i="1" s="1"/>
  <c r="H838" i="1" s="1"/>
  <c r="H840" i="1" s="1"/>
  <c r="D1008" i="1"/>
  <c r="H1008" i="1"/>
  <c r="G712" i="1"/>
  <c r="G727" i="1" s="1"/>
  <c r="H727" i="1" s="1"/>
  <c r="H729" i="1" s="1"/>
  <c r="D897" i="1"/>
  <c r="D906" i="1" s="1"/>
  <c r="E906" i="1" s="1"/>
  <c r="H897" i="1"/>
  <c r="H934" i="1"/>
  <c r="E1082" i="1"/>
  <c r="E1093" i="1" s="1"/>
  <c r="F1093" i="1" s="1"/>
  <c r="D712" i="1"/>
  <c r="D721" i="1" s="1"/>
  <c r="E721" i="1" s="1"/>
  <c r="H749" i="1"/>
  <c r="G786" i="1"/>
  <c r="G801" i="1" s="1"/>
  <c r="H801" i="1" s="1"/>
  <c r="H803" i="1" s="1"/>
  <c r="E823" i="1"/>
  <c r="E834" i="1" s="1"/>
  <c r="F834" i="1" s="1"/>
  <c r="G860" i="1"/>
  <c r="G875" i="1" s="1"/>
  <c r="H875" i="1" s="1"/>
  <c r="H877" i="1" s="1"/>
  <c r="G749" i="1"/>
  <c r="G764" i="1" s="1"/>
  <c r="H764" i="1" s="1"/>
  <c r="H766" i="1" s="1"/>
  <c r="G601" i="1"/>
  <c r="G616" i="1" s="1"/>
  <c r="H616" i="1" s="1"/>
  <c r="H618" i="1" s="1"/>
  <c r="F453" i="1"/>
  <c r="F466" i="1" s="1"/>
  <c r="G466" i="1" s="1"/>
  <c r="F490" i="1"/>
  <c r="F503" i="1" s="1"/>
  <c r="G503" i="1" s="1"/>
  <c r="F527" i="1"/>
  <c r="F540" i="1" s="1"/>
  <c r="G540" i="1" s="1"/>
  <c r="E453" i="1"/>
  <c r="E464" i="1" s="1"/>
  <c r="F464" i="1" s="1"/>
  <c r="E490" i="1"/>
  <c r="E501" i="1" s="1"/>
  <c r="F501" i="1" s="1"/>
  <c r="E527" i="1"/>
  <c r="E538" i="1" s="1"/>
  <c r="F538" i="1" s="1"/>
  <c r="D971" i="1"/>
  <c r="D980" i="1" s="1"/>
  <c r="E980" i="1" s="1"/>
  <c r="H971" i="1"/>
  <c r="H416" i="1"/>
  <c r="D860" i="1"/>
  <c r="D869" i="1" s="1"/>
  <c r="E869" i="1" s="1"/>
  <c r="H860" i="1"/>
  <c r="G396" i="1"/>
  <c r="G416" i="1"/>
  <c r="G431" i="1" s="1"/>
  <c r="H431" i="1" s="1"/>
  <c r="H433" i="1" s="1"/>
  <c r="D453" i="1"/>
  <c r="D462" i="1" s="1"/>
  <c r="E462" i="1" s="1"/>
  <c r="H453" i="1"/>
  <c r="D490" i="1"/>
  <c r="D499" i="1" s="1"/>
  <c r="E499" i="1" s="1"/>
  <c r="H490" i="1"/>
  <c r="D527" i="1"/>
  <c r="D536" i="1" s="1"/>
  <c r="E536" i="1" s="1"/>
  <c r="H527" i="1"/>
  <c r="H712" i="1"/>
  <c r="D749" i="1"/>
  <c r="D758" i="1" s="1"/>
  <c r="E758" i="1" s="1"/>
  <c r="D934" i="1"/>
  <c r="D943" i="1" s="1"/>
  <c r="E943" i="1" s="1"/>
  <c r="G971" i="1"/>
  <c r="G986" i="1" s="1"/>
  <c r="H986" i="1" s="1"/>
  <c r="H988" i="1" s="1"/>
  <c r="G1008" i="1"/>
  <c r="G1023" i="1" s="1"/>
  <c r="H1023" i="1" s="1"/>
  <c r="H1025" i="1" s="1"/>
  <c r="G453" i="1"/>
  <c r="G468" i="1" s="1"/>
  <c r="H468" i="1" s="1"/>
  <c r="H470" i="1" s="1"/>
  <c r="G490" i="1"/>
  <c r="G505" i="1" s="1"/>
  <c r="H505" i="1" s="1"/>
  <c r="H507" i="1" s="1"/>
  <c r="G527" i="1"/>
  <c r="G542" i="1" s="1"/>
  <c r="H542" i="1" s="1"/>
  <c r="H544" i="1" s="1"/>
  <c r="F601" i="1"/>
  <c r="E601" i="1"/>
  <c r="E612" i="1" s="1"/>
  <c r="F612" i="1" s="1"/>
  <c r="F712" i="1"/>
  <c r="F725" i="1" s="1"/>
  <c r="G725" i="1" s="1"/>
  <c r="E712" i="1"/>
  <c r="E723" i="1" s="1"/>
  <c r="F723" i="1" s="1"/>
  <c r="D786" i="1"/>
  <c r="D795" i="1" s="1"/>
  <c r="E795" i="1" s="1"/>
  <c r="H786" i="1"/>
  <c r="D823" i="1"/>
  <c r="D832" i="1" s="1"/>
  <c r="E832" i="1" s="1"/>
  <c r="H823" i="1"/>
  <c r="F934" i="1"/>
  <c r="F947" i="1" s="1"/>
  <c r="G947" i="1" s="1"/>
  <c r="G951" i="1" s="1"/>
  <c r="E934" i="1"/>
  <c r="E945" i="1" s="1"/>
  <c r="F945" i="1" s="1"/>
  <c r="F1008" i="1"/>
  <c r="F1021" i="1" s="1"/>
  <c r="G1021" i="1" s="1"/>
  <c r="E1008" i="1"/>
  <c r="E1019" i="1" s="1"/>
  <c r="F1019" i="1" s="1"/>
  <c r="F1045" i="1"/>
  <c r="F1058" i="1" s="1"/>
  <c r="G1058" i="1" s="1"/>
  <c r="G1062" i="1" s="1"/>
  <c r="F1082" i="1"/>
  <c r="F1095" i="1" s="1"/>
  <c r="G1095" i="1" s="1"/>
  <c r="G1099" i="1" s="1"/>
  <c r="F1119" i="1"/>
  <c r="F1132" i="1" s="1"/>
  <c r="G1132" i="1" s="1"/>
  <c r="G1136" i="1" s="1"/>
  <c r="E1119" i="1"/>
  <c r="E1130" i="1" s="1"/>
  <c r="F1130" i="1" s="1"/>
  <c r="D601" i="1"/>
  <c r="D610" i="1" s="1"/>
  <c r="E610" i="1" s="1"/>
  <c r="H601" i="1"/>
  <c r="F749" i="1"/>
  <c r="F762" i="1" s="1"/>
  <c r="G762" i="1" s="1"/>
  <c r="E749" i="1"/>
  <c r="E760" i="1" s="1"/>
  <c r="F760" i="1" s="1"/>
  <c r="F786" i="1"/>
  <c r="F799" i="1" s="1"/>
  <c r="G799" i="1" s="1"/>
  <c r="E786" i="1"/>
  <c r="E797" i="1" s="1"/>
  <c r="F797" i="1" s="1"/>
  <c r="F823" i="1"/>
  <c r="F836" i="1" s="1"/>
  <c r="G836" i="1" s="1"/>
  <c r="G840" i="1" s="1"/>
  <c r="F860" i="1"/>
  <c r="F873" i="1" s="1"/>
  <c r="G873" i="1" s="1"/>
  <c r="E860" i="1"/>
  <c r="E871" i="1" s="1"/>
  <c r="F871" i="1" s="1"/>
  <c r="F897" i="1"/>
  <c r="F910" i="1" s="1"/>
  <c r="G910" i="1" s="1"/>
  <c r="G914" i="1" s="1"/>
  <c r="E897" i="1"/>
  <c r="E908" i="1" s="1"/>
  <c r="F908" i="1" s="1"/>
  <c r="F971" i="1"/>
  <c r="F984" i="1" s="1"/>
  <c r="G984" i="1" s="1"/>
  <c r="E971" i="1"/>
  <c r="E982" i="1" s="1"/>
  <c r="F982" i="1" s="1"/>
  <c r="D1045" i="1"/>
  <c r="D1054" i="1" s="1"/>
  <c r="E1054" i="1" s="1"/>
  <c r="H1045" i="1"/>
  <c r="D1082" i="1"/>
  <c r="D1091" i="1" s="1"/>
  <c r="E1091" i="1" s="1"/>
  <c r="H1082" i="1"/>
  <c r="D1119" i="1"/>
  <c r="D1128" i="1" s="1"/>
  <c r="E1128" i="1" s="1"/>
  <c r="H1119" i="1"/>
  <c r="D1017" i="1"/>
  <c r="E1017" i="1" s="1"/>
  <c r="F359" i="1"/>
  <c r="H194" i="1"/>
  <c r="H305" i="1"/>
  <c r="H342" i="1"/>
  <c r="H48" i="1"/>
  <c r="H84" i="1"/>
  <c r="H121" i="1"/>
  <c r="H379" i="1"/>
  <c r="H155" i="1"/>
  <c r="H157" i="1" s="1"/>
  <c r="H229" i="1"/>
  <c r="H231" i="1" s="1"/>
  <c r="G877" i="1" l="1"/>
  <c r="G988" i="1"/>
  <c r="G729" i="1"/>
  <c r="G766" i="1"/>
  <c r="E1099" i="1"/>
  <c r="E1103" i="1" s="1"/>
  <c r="G1025" i="1"/>
  <c r="E1062" i="1"/>
  <c r="E1066" i="1" s="1"/>
  <c r="E618" i="1"/>
  <c r="E622" i="1" s="1"/>
  <c r="E544" i="1"/>
  <c r="E548" i="1" s="1"/>
  <c r="G470" i="1"/>
  <c r="G803" i="1"/>
  <c r="E470" i="1"/>
  <c r="E474" i="1" s="1"/>
  <c r="E507" i="1"/>
  <c r="E511" i="1" s="1"/>
  <c r="D988" i="1"/>
  <c r="D992" i="1" s="1"/>
  <c r="E840" i="1"/>
  <c r="E844" i="1" s="1"/>
  <c r="F803" i="1"/>
  <c r="F807" i="1" s="1"/>
  <c r="F877" i="1"/>
  <c r="F881" i="1" s="1"/>
  <c r="F1025" i="1"/>
  <c r="F1029" i="1" s="1"/>
  <c r="G507" i="1"/>
  <c r="F544" i="1"/>
  <c r="F548" i="1" s="1"/>
  <c r="F1099" i="1"/>
  <c r="F1103" i="1" s="1"/>
  <c r="E877" i="1"/>
  <c r="E881" i="1" s="1"/>
  <c r="F507" i="1"/>
  <c r="F511" i="1" s="1"/>
  <c r="F614" i="1"/>
  <c r="D840" i="1"/>
  <c r="D844" i="1" s="1"/>
  <c r="D914" i="1"/>
  <c r="D918" i="1" s="1"/>
  <c r="D951" i="1"/>
  <c r="D955" i="1" s="1"/>
  <c r="E803" i="1"/>
  <c r="E807" i="1" s="1"/>
  <c r="F914" i="1"/>
  <c r="F918" i="1" s="1"/>
  <c r="F470" i="1"/>
  <c r="F474" i="1" s="1"/>
  <c r="G544" i="1"/>
  <c r="F729" i="1"/>
  <c r="F733" i="1" s="1"/>
  <c r="D766" i="1"/>
  <c r="D770" i="1" s="1"/>
  <c r="E988" i="1"/>
  <c r="E992" i="1" s="1"/>
  <c r="E1136" i="1"/>
  <c r="E1140" i="1" s="1"/>
  <c r="D1136" i="1"/>
  <c r="D1140" i="1" s="1"/>
  <c r="F1136" i="1"/>
  <c r="F1140" i="1" s="1"/>
  <c r="D1099" i="1"/>
  <c r="D1103" i="1" s="1"/>
  <c r="F1062" i="1"/>
  <c r="F1066" i="1" s="1"/>
  <c r="D1062" i="1"/>
  <c r="D1066" i="1" s="1"/>
  <c r="E1025" i="1"/>
  <c r="E1029" i="1" s="1"/>
  <c r="D1025" i="1"/>
  <c r="D1029" i="1" s="1"/>
  <c r="F988" i="1"/>
  <c r="F992" i="1" s="1"/>
  <c r="F951" i="1"/>
  <c r="F955" i="1" s="1"/>
  <c r="E951" i="1"/>
  <c r="E955" i="1" s="1"/>
  <c r="E914" i="1"/>
  <c r="E918" i="1" s="1"/>
  <c r="D877" i="1"/>
  <c r="D881" i="1" s="1"/>
  <c r="F840" i="1"/>
  <c r="F844" i="1" s="1"/>
  <c r="D803" i="1"/>
  <c r="D807" i="1" s="1"/>
  <c r="F766" i="1"/>
  <c r="F770" i="1" s="1"/>
  <c r="E766" i="1"/>
  <c r="E770" i="1" s="1"/>
  <c r="E729" i="1"/>
  <c r="E733" i="1" s="1"/>
  <c r="D729" i="1"/>
  <c r="D733" i="1" s="1"/>
  <c r="D618" i="1"/>
  <c r="D622" i="1" s="1"/>
  <c r="D544" i="1"/>
  <c r="D548" i="1" s="1"/>
  <c r="D507" i="1"/>
  <c r="D511" i="1" s="1"/>
  <c r="D470" i="1"/>
  <c r="D474" i="1" s="1"/>
  <c r="E9" i="6"/>
  <c r="D236" i="1"/>
  <c r="D237" i="1" s="1"/>
  <c r="D273" i="1"/>
  <c r="D274" i="1" s="1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D162" i="1"/>
  <c r="D163" i="1" s="1"/>
  <c r="E162" i="1"/>
  <c r="E163" i="1" s="1"/>
  <c r="F337" i="1"/>
  <c r="G189" i="1"/>
  <c r="F189" i="1"/>
  <c r="E189" i="1"/>
  <c r="D189" i="1"/>
  <c r="G152" i="1"/>
  <c r="F152" i="1"/>
  <c r="E152" i="1"/>
  <c r="D152" i="1"/>
  <c r="G267" i="1"/>
  <c r="G226" i="1"/>
  <c r="H400" i="1"/>
  <c r="G30" i="8" s="1"/>
  <c r="G385" i="1"/>
  <c r="G378" i="1"/>
  <c r="G377" i="1"/>
  <c r="G374" i="1"/>
  <c r="H363" i="1"/>
  <c r="G29" i="8" s="1"/>
  <c r="G341" i="1"/>
  <c r="G340" i="1"/>
  <c r="G337" i="1"/>
  <c r="G311" i="1"/>
  <c r="G304" i="1"/>
  <c r="G303" i="1"/>
  <c r="G274" i="1"/>
  <c r="G263" i="1"/>
  <c r="G266" i="1" s="1"/>
  <c r="G54" i="1"/>
  <c r="G90" i="1"/>
  <c r="G127" i="1"/>
  <c r="G163" i="1"/>
  <c r="G200" i="1"/>
  <c r="G237" i="1"/>
  <c r="G230" i="1"/>
  <c r="G193" i="1"/>
  <c r="G192" i="1"/>
  <c r="G156" i="1"/>
  <c r="G120" i="1"/>
  <c r="G119" i="1"/>
  <c r="G116" i="1"/>
  <c r="E43" i="1"/>
  <c r="F43" i="1"/>
  <c r="G43" i="1"/>
  <c r="D43" i="1"/>
  <c r="E116" i="1"/>
  <c r="F116" i="1"/>
  <c r="E79" i="1"/>
  <c r="F79" i="1"/>
  <c r="G79" i="1"/>
  <c r="D79" i="1"/>
  <c r="G83" i="1"/>
  <c r="G82" i="1"/>
  <c r="D75" i="1"/>
  <c r="E75" i="1" s="1"/>
  <c r="F75" i="1" s="1"/>
  <c r="G75" i="1" s="1"/>
  <c r="H75" i="1" s="1"/>
  <c r="D81" i="1"/>
  <c r="E81" i="1" s="1"/>
  <c r="F81" i="1" s="1"/>
  <c r="G81" i="1" s="1"/>
  <c r="H81" i="1" s="1"/>
  <c r="D82" i="1"/>
  <c r="E82" i="1"/>
  <c r="F82" i="1"/>
  <c r="D83" i="1"/>
  <c r="E83" i="1"/>
  <c r="F83" i="1"/>
  <c r="D86" i="1"/>
  <c r="E86" i="1" s="1"/>
  <c r="F86" i="1" s="1"/>
  <c r="G86" i="1" s="1"/>
  <c r="H86" i="1" s="1"/>
  <c r="D90" i="1"/>
  <c r="E90" i="1"/>
  <c r="F90" i="1"/>
  <c r="D92" i="1"/>
  <c r="E92" i="1" s="1"/>
  <c r="F92" i="1" s="1"/>
  <c r="G92" i="1" s="1"/>
  <c r="H92" i="1" s="1"/>
  <c r="D58" i="1"/>
  <c r="G48" i="1"/>
  <c r="F263" i="1"/>
  <c r="E263" i="1"/>
  <c r="E226" i="1"/>
  <c r="F162" i="1"/>
  <c r="F273" i="1"/>
  <c r="F236" i="1"/>
  <c r="E273" i="1"/>
  <c r="E274" i="1" s="1"/>
  <c r="E236" i="1"/>
  <c r="E237" i="1" s="1"/>
  <c r="D226" i="1"/>
  <c r="F374" i="1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6" i="6"/>
  <c r="A25" i="6"/>
  <c r="A24" i="6"/>
  <c r="A23" i="6"/>
  <c r="F411" i="1"/>
  <c r="E411" i="1"/>
  <c r="D411" i="1"/>
  <c r="E374" i="1"/>
  <c r="D374" i="1"/>
  <c r="E337" i="1"/>
  <c r="D337" i="1"/>
  <c r="D300" i="1"/>
  <c r="D263" i="1"/>
  <c r="F226" i="1"/>
  <c r="D116" i="1"/>
  <c r="A20" i="6"/>
  <c r="A19" i="6"/>
  <c r="F422" i="1"/>
  <c r="E422" i="1"/>
  <c r="D422" i="1"/>
  <c r="F385" i="1"/>
  <c r="E385" i="1"/>
  <c r="D385" i="1"/>
  <c r="F348" i="1"/>
  <c r="E348" i="1"/>
  <c r="D348" i="1"/>
  <c r="F311" i="1"/>
  <c r="E311" i="1"/>
  <c r="D311" i="1"/>
  <c r="F200" i="1"/>
  <c r="E200" i="1"/>
  <c r="D200" i="1"/>
  <c r="F127" i="1"/>
  <c r="E127" i="1"/>
  <c r="D127" i="1"/>
  <c r="F54" i="1"/>
  <c r="E54" i="1"/>
  <c r="D54" i="1"/>
  <c r="B35" i="6"/>
  <c r="C1108" i="1"/>
  <c r="B1111" i="1" s="1"/>
  <c r="C1071" i="1"/>
  <c r="B1074" i="1" s="1"/>
  <c r="C1034" i="1"/>
  <c r="B1037" i="1" s="1"/>
  <c r="C997" i="1"/>
  <c r="B1000" i="1" s="1"/>
  <c r="C960" i="1"/>
  <c r="B963" i="1" s="1"/>
  <c r="C923" i="1"/>
  <c r="B926" i="1" s="1"/>
  <c r="C886" i="1"/>
  <c r="B889" i="1" s="1"/>
  <c r="C849" i="1"/>
  <c r="B852" i="1" s="1"/>
  <c r="C812" i="1"/>
  <c r="B815" i="1" s="1"/>
  <c r="C775" i="1"/>
  <c r="B778" i="1" s="1"/>
  <c r="C738" i="1"/>
  <c r="B741" i="1" s="1"/>
  <c r="C701" i="1"/>
  <c r="B704" i="1" s="1"/>
  <c r="C664" i="1"/>
  <c r="B667" i="1" s="1"/>
  <c r="C627" i="1"/>
  <c r="B630" i="1" s="1"/>
  <c r="C590" i="1"/>
  <c r="B593" i="1" s="1"/>
  <c r="C553" i="1"/>
  <c r="B556" i="1" s="1"/>
  <c r="C516" i="1"/>
  <c r="B519" i="1" s="1"/>
  <c r="C479" i="1"/>
  <c r="B482" i="1" s="1"/>
  <c r="C442" i="1"/>
  <c r="B445" i="1" s="1"/>
  <c r="C405" i="1"/>
  <c r="B408" i="1" s="1"/>
  <c r="C368" i="1"/>
  <c r="B371" i="1" s="1"/>
  <c r="C331" i="1"/>
  <c r="B334" i="1" s="1"/>
  <c r="C294" i="1"/>
  <c r="B297" i="1" s="1"/>
  <c r="C257" i="1"/>
  <c r="B260" i="1" s="1"/>
  <c r="C220" i="1"/>
  <c r="B223" i="1" s="1"/>
  <c r="C183" i="1"/>
  <c r="B186" i="1" s="1"/>
  <c r="C146" i="1"/>
  <c r="B149" i="1" s="1"/>
  <c r="C110" i="1"/>
  <c r="B113" i="1" s="1"/>
  <c r="C73" i="1"/>
  <c r="B76" i="1" s="1"/>
  <c r="B23" i="7"/>
  <c r="B24" i="7" s="1"/>
  <c r="B25" i="7" s="1"/>
  <c r="B26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F46" i="1"/>
  <c r="F47" i="1"/>
  <c r="F119" i="1"/>
  <c r="F120" i="1"/>
  <c r="F156" i="1"/>
  <c r="F192" i="1"/>
  <c r="F193" i="1"/>
  <c r="F230" i="1"/>
  <c r="F267" i="1"/>
  <c r="F303" i="1"/>
  <c r="F304" i="1"/>
  <c r="F340" i="1"/>
  <c r="F341" i="1"/>
  <c r="F377" i="1"/>
  <c r="F378" i="1"/>
  <c r="E46" i="1"/>
  <c r="E47" i="1"/>
  <c r="E119" i="1"/>
  <c r="E120" i="1"/>
  <c r="E156" i="1"/>
  <c r="E192" i="1"/>
  <c r="E193" i="1"/>
  <c r="E230" i="1"/>
  <c r="E267" i="1"/>
  <c r="E303" i="1"/>
  <c r="E304" i="1"/>
  <c r="E340" i="1"/>
  <c r="E341" i="1"/>
  <c r="E377" i="1"/>
  <c r="E378" i="1"/>
  <c r="E414" i="1"/>
  <c r="E415" i="1"/>
  <c r="D46" i="1"/>
  <c r="D47" i="1"/>
  <c r="D119" i="1"/>
  <c r="D120" i="1"/>
  <c r="D156" i="1"/>
  <c r="D192" i="1"/>
  <c r="D193" i="1"/>
  <c r="D230" i="1"/>
  <c r="D267" i="1"/>
  <c r="D303" i="1"/>
  <c r="D304" i="1"/>
  <c r="D340" i="1"/>
  <c r="D341" i="1"/>
  <c r="D377" i="1"/>
  <c r="D378" i="1"/>
  <c r="D414" i="1"/>
  <c r="D415" i="1"/>
  <c r="A18" i="6"/>
  <c r="A17" i="6"/>
  <c r="D9" i="6"/>
  <c r="B22" i="6"/>
  <c r="C22" i="6" s="1"/>
  <c r="D22" i="6" s="1"/>
  <c r="E22" i="6" s="1"/>
  <c r="F22" i="6" s="1"/>
  <c r="D424" i="1"/>
  <c r="E424" i="1" s="1"/>
  <c r="F424" i="1" s="1"/>
  <c r="G424" i="1" s="1"/>
  <c r="H424" i="1" s="1"/>
  <c r="D387" i="1"/>
  <c r="E387" i="1" s="1"/>
  <c r="F387" i="1" s="1"/>
  <c r="G387" i="1" s="1"/>
  <c r="H387" i="1" s="1"/>
  <c r="D350" i="1"/>
  <c r="E350" i="1" s="1"/>
  <c r="F350" i="1" s="1"/>
  <c r="G350" i="1" s="1"/>
  <c r="H350" i="1" s="1"/>
  <c r="D313" i="1"/>
  <c r="E313" i="1" s="1"/>
  <c r="F313" i="1" s="1"/>
  <c r="G313" i="1" s="1"/>
  <c r="H313" i="1" s="1"/>
  <c r="D276" i="1"/>
  <c r="E276" i="1" s="1"/>
  <c r="F276" i="1" s="1"/>
  <c r="G276" i="1" s="1"/>
  <c r="H276" i="1" s="1"/>
  <c r="D239" i="1"/>
  <c r="E239" i="1" s="1"/>
  <c r="F239" i="1" s="1"/>
  <c r="G239" i="1" s="1"/>
  <c r="H239" i="1" s="1"/>
  <c r="D202" i="1"/>
  <c r="E202" i="1" s="1"/>
  <c r="F202" i="1" s="1"/>
  <c r="G202" i="1" s="1"/>
  <c r="H202" i="1" s="1"/>
  <c r="D165" i="1"/>
  <c r="E165" i="1" s="1"/>
  <c r="F165" i="1" s="1"/>
  <c r="G165" i="1" s="1"/>
  <c r="H165" i="1" s="1"/>
  <c r="D129" i="1"/>
  <c r="E129" i="1" s="1"/>
  <c r="F129" i="1" s="1"/>
  <c r="G129" i="1" s="1"/>
  <c r="H129" i="1" s="1"/>
  <c r="D56" i="1"/>
  <c r="E56" i="1" s="1"/>
  <c r="F56" i="1" s="1"/>
  <c r="G56" i="1" s="1"/>
  <c r="H56" i="1" s="1"/>
  <c r="B16" i="6"/>
  <c r="C16" i="6" s="1"/>
  <c r="D16" i="6" s="1"/>
  <c r="E16" i="6" s="1"/>
  <c r="F16" i="6" s="1"/>
  <c r="B11" i="6"/>
  <c r="C6" i="6"/>
  <c r="D6" i="6" s="1"/>
  <c r="E6" i="6" s="1"/>
  <c r="F6" i="6" s="1"/>
  <c r="D418" i="1"/>
  <c r="E418" i="1" s="1"/>
  <c r="F418" i="1" s="1"/>
  <c r="G418" i="1" s="1"/>
  <c r="H418" i="1" s="1"/>
  <c r="D413" i="1"/>
  <c r="E413" i="1" s="1"/>
  <c r="F413" i="1" s="1"/>
  <c r="G413" i="1" s="1"/>
  <c r="H413" i="1" s="1"/>
  <c r="D381" i="1"/>
  <c r="E381" i="1" s="1"/>
  <c r="F381" i="1" s="1"/>
  <c r="G381" i="1" s="1"/>
  <c r="H381" i="1" s="1"/>
  <c r="D376" i="1"/>
  <c r="E376" i="1" s="1"/>
  <c r="F376" i="1" s="1"/>
  <c r="G376" i="1" s="1"/>
  <c r="H376" i="1" s="1"/>
  <c r="D344" i="1"/>
  <c r="E344" i="1" s="1"/>
  <c r="F344" i="1" s="1"/>
  <c r="G344" i="1" s="1"/>
  <c r="H344" i="1" s="1"/>
  <c r="D339" i="1"/>
  <c r="E339" i="1" s="1"/>
  <c r="F339" i="1" s="1"/>
  <c r="G339" i="1" s="1"/>
  <c r="H339" i="1" s="1"/>
  <c r="D307" i="1"/>
  <c r="E307" i="1" s="1"/>
  <c r="F307" i="1" s="1"/>
  <c r="G307" i="1" s="1"/>
  <c r="H307" i="1" s="1"/>
  <c r="D302" i="1"/>
  <c r="E302" i="1" s="1"/>
  <c r="F302" i="1" s="1"/>
  <c r="G302" i="1" s="1"/>
  <c r="H302" i="1" s="1"/>
  <c r="D270" i="1"/>
  <c r="E270" i="1" s="1"/>
  <c r="F270" i="1" s="1"/>
  <c r="G270" i="1" s="1"/>
  <c r="H270" i="1" s="1"/>
  <c r="D265" i="1"/>
  <c r="E265" i="1" s="1"/>
  <c r="F265" i="1" s="1"/>
  <c r="G265" i="1" s="1"/>
  <c r="H265" i="1" s="1"/>
  <c r="D233" i="1"/>
  <c r="E233" i="1" s="1"/>
  <c r="F233" i="1" s="1"/>
  <c r="G233" i="1" s="1"/>
  <c r="H233" i="1" s="1"/>
  <c r="D228" i="1"/>
  <c r="E228" i="1" s="1"/>
  <c r="F228" i="1" s="1"/>
  <c r="G228" i="1" s="1"/>
  <c r="H228" i="1" s="1"/>
  <c r="D196" i="1"/>
  <c r="E196" i="1" s="1"/>
  <c r="F196" i="1" s="1"/>
  <c r="G196" i="1" s="1"/>
  <c r="H196" i="1" s="1"/>
  <c r="D191" i="1"/>
  <c r="E191" i="1" s="1"/>
  <c r="F191" i="1" s="1"/>
  <c r="G191" i="1" s="1"/>
  <c r="H191" i="1" s="1"/>
  <c r="D159" i="1"/>
  <c r="E159" i="1" s="1"/>
  <c r="F159" i="1" s="1"/>
  <c r="G159" i="1" s="1"/>
  <c r="H159" i="1" s="1"/>
  <c r="D154" i="1"/>
  <c r="E154" i="1" s="1"/>
  <c r="F154" i="1" s="1"/>
  <c r="G154" i="1" s="1"/>
  <c r="H154" i="1" s="1"/>
  <c r="D123" i="1"/>
  <c r="E123" i="1" s="1"/>
  <c r="F123" i="1" s="1"/>
  <c r="G123" i="1" s="1"/>
  <c r="H123" i="1" s="1"/>
  <c r="D118" i="1"/>
  <c r="E118" i="1" s="1"/>
  <c r="F118" i="1" s="1"/>
  <c r="G118" i="1" s="1"/>
  <c r="H118" i="1" s="1"/>
  <c r="C37" i="1"/>
  <c r="B40" i="1" s="1"/>
  <c r="D39" i="1"/>
  <c r="C20" i="8" s="1"/>
  <c r="C4" i="8" s="1"/>
  <c r="D148" i="1"/>
  <c r="E148" i="1" s="1"/>
  <c r="F148" i="1" s="1"/>
  <c r="G148" i="1" s="1"/>
  <c r="H148" i="1" s="1"/>
  <c r="D112" i="1"/>
  <c r="E112" i="1" s="1"/>
  <c r="F112" i="1" s="1"/>
  <c r="G112" i="1" s="1"/>
  <c r="H112" i="1" s="1"/>
  <c r="D407" i="1"/>
  <c r="E407" i="1" s="1"/>
  <c r="F407" i="1" s="1"/>
  <c r="G407" i="1" s="1"/>
  <c r="H407" i="1" s="1"/>
  <c r="D370" i="1"/>
  <c r="E370" i="1" s="1"/>
  <c r="F370" i="1" s="1"/>
  <c r="G370" i="1" s="1"/>
  <c r="H370" i="1" s="1"/>
  <c r="D333" i="1"/>
  <c r="E333" i="1" s="1"/>
  <c r="F333" i="1" s="1"/>
  <c r="G333" i="1" s="1"/>
  <c r="H333" i="1" s="1"/>
  <c r="D296" i="1"/>
  <c r="E296" i="1" s="1"/>
  <c r="F296" i="1" s="1"/>
  <c r="G296" i="1" s="1"/>
  <c r="H296" i="1" s="1"/>
  <c r="D259" i="1"/>
  <c r="E259" i="1" s="1"/>
  <c r="F259" i="1" s="1"/>
  <c r="G259" i="1" s="1"/>
  <c r="H259" i="1" s="1"/>
  <c r="D222" i="1"/>
  <c r="E222" i="1" s="1"/>
  <c r="F222" i="1" s="1"/>
  <c r="G222" i="1" s="1"/>
  <c r="H222" i="1" s="1"/>
  <c r="D185" i="1"/>
  <c r="E185" i="1" s="1"/>
  <c r="F185" i="1" s="1"/>
  <c r="G185" i="1" s="1"/>
  <c r="H185" i="1" s="1"/>
  <c r="C22" i="8"/>
  <c r="C28" i="8"/>
  <c r="F17" i="6" l="1"/>
  <c r="F19" i="6"/>
  <c r="F33" i="6"/>
  <c r="F30" i="6"/>
  <c r="F12" i="6"/>
  <c r="F18" i="6"/>
  <c r="G268" i="1"/>
  <c r="G283" i="1" s="1"/>
  <c r="H283" i="1" s="1"/>
  <c r="E11" i="6"/>
  <c r="F11" i="6"/>
  <c r="D35" i="6"/>
  <c r="F35" i="6"/>
  <c r="G12" i="8"/>
  <c r="G8" i="8"/>
  <c r="G6" i="8"/>
  <c r="G9" i="8"/>
  <c r="G11" i="8"/>
  <c r="G10" i="8"/>
  <c r="G13" i="8"/>
  <c r="E33" i="6"/>
  <c r="C12" i="6"/>
  <c r="B33" i="6"/>
  <c r="E28" i="6"/>
  <c r="E30" i="6"/>
  <c r="D12" i="6"/>
  <c r="C33" i="6"/>
  <c r="D28" i="6"/>
  <c r="E12" i="6"/>
  <c r="D33" i="6"/>
  <c r="B12" i="6"/>
  <c r="B17" i="6"/>
  <c r="C17" i="6"/>
  <c r="D17" i="6"/>
  <c r="E17" i="6"/>
  <c r="B19" i="6"/>
  <c r="C19" i="6"/>
  <c r="D19" i="6"/>
  <c r="E19" i="6"/>
  <c r="B18" i="6"/>
  <c r="C18" i="6"/>
  <c r="D18" i="6"/>
  <c r="E18" i="6"/>
  <c r="C26" i="6"/>
  <c r="D26" i="6"/>
  <c r="C24" i="6"/>
  <c r="B24" i="6"/>
  <c r="E35" i="6"/>
  <c r="F237" i="1"/>
  <c r="H636" i="1"/>
  <c r="H638" i="1" s="1"/>
  <c r="D636" i="1"/>
  <c r="D638" i="1" s="1"/>
  <c r="D647" i="1" s="1"/>
  <c r="G636" i="1"/>
  <c r="G638" i="1" s="1"/>
  <c r="G653" i="1" s="1"/>
  <c r="H653" i="1" s="1"/>
  <c r="H655" i="1" s="1"/>
  <c r="F636" i="1"/>
  <c r="F638" i="1" s="1"/>
  <c r="F651" i="1" s="1"/>
  <c r="G651" i="1" s="1"/>
  <c r="E636" i="1"/>
  <c r="E638" i="1" s="1"/>
  <c r="E649" i="1" s="1"/>
  <c r="F649" i="1" s="1"/>
  <c r="G63" i="1"/>
  <c r="H63" i="1" s="1"/>
  <c r="H65" i="1" s="1"/>
  <c r="F274" i="1"/>
  <c r="F673" i="1"/>
  <c r="F675" i="1" s="1"/>
  <c r="F688" i="1" s="1"/>
  <c r="G688" i="1" s="1"/>
  <c r="E673" i="1"/>
  <c r="E675" i="1" s="1"/>
  <c r="E686" i="1" s="1"/>
  <c r="F686" i="1" s="1"/>
  <c r="H673" i="1"/>
  <c r="H675" i="1" s="1"/>
  <c r="D673" i="1"/>
  <c r="D675" i="1" s="1"/>
  <c r="D684" i="1" s="1"/>
  <c r="G673" i="1"/>
  <c r="G675" i="1" s="1"/>
  <c r="G690" i="1" s="1"/>
  <c r="H690" i="1" s="1"/>
  <c r="H692" i="1" s="1"/>
  <c r="F163" i="1"/>
  <c r="H562" i="1"/>
  <c r="H564" i="1" s="1"/>
  <c r="D562" i="1"/>
  <c r="D564" i="1" s="1"/>
  <c r="D573" i="1" s="1"/>
  <c r="G562" i="1"/>
  <c r="G564" i="1" s="1"/>
  <c r="G579" i="1" s="1"/>
  <c r="H579" i="1" s="1"/>
  <c r="H581" i="1" s="1"/>
  <c r="F562" i="1"/>
  <c r="F564" i="1" s="1"/>
  <c r="F577" i="1" s="1"/>
  <c r="G577" i="1" s="1"/>
  <c r="E562" i="1"/>
  <c r="E564" i="1" s="1"/>
  <c r="E575" i="1" s="1"/>
  <c r="F575" i="1" s="1"/>
  <c r="G614" i="1"/>
  <c r="G618" i="1" s="1"/>
  <c r="F618" i="1"/>
  <c r="F622" i="1" s="1"/>
  <c r="E36" i="8" s="1"/>
  <c r="E266" i="1"/>
  <c r="E268" i="1" s="1"/>
  <c r="E279" i="1" s="1"/>
  <c r="F279" i="1" s="1"/>
  <c r="D266" i="1"/>
  <c r="D268" i="1" s="1"/>
  <c r="D277" i="1" s="1"/>
  <c r="F266" i="1"/>
  <c r="F268" i="1" s="1"/>
  <c r="D229" i="1"/>
  <c r="D231" i="1" s="1"/>
  <c r="E229" i="1"/>
  <c r="E231" i="1" s="1"/>
  <c r="E242" i="1" s="1"/>
  <c r="F242" i="1" s="1"/>
  <c r="F229" i="1"/>
  <c r="G229" i="1"/>
  <c r="G231" i="1" s="1"/>
  <c r="G246" i="1" s="1"/>
  <c r="H246" i="1" s="1"/>
  <c r="H248" i="1" s="1"/>
  <c r="G155" i="1"/>
  <c r="G157" i="1" s="1"/>
  <c r="G172" i="1" s="1"/>
  <c r="H172" i="1" s="1"/>
  <c r="H174" i="1" s="1"/>
  <c r="D155" i="1"/>
  <c r="D157" i="1" s="1"/>
  <c r="D166" i="1" s="1"/>
  <c r="E155" i="1"/>
  <c r="E157" i="1" s="1"/>
  <c r="E168" i="1" s="1"/>
  <c r="F168" i="1" s="1"/>
  <c r="G379" i="1"/>
  <c r="G400" i="1" s="1"/>
  <c r="F30" i="8" s="1"/>
  <c r="E84" i="1"/>
  <c r="E95" i="1" s="1"/>
  <c r="F95" i="1" s="1"/>
  <c r="C48" i="8"/>
  <c r="C44" i="8"/>
  <c r="C42" i="8"/>
  <c r="E39" i="8"/>
  <c r="C41" i="8"/>
  <c r="D48" i="1"/>
  <c r="D57" i="1" s="1"/>
  <c r="D47" i="8"/>
  <c r="D43" i="8"/>
  <c r="E416" i="1"/>
  <c r="E427" i="1" s="1"/>
  <c r="F427" i="1" s="1"/>
  <c r="E342" i="1"/>
  <c r="E43" i="8"/>
  <c r="C49" i="8"/>
  <c r="C47" i="8"/>
  <c r="C45" i="8"/>
  <c r="C43" i="8"/>
  <c r="C39" i="8"/>
  <c r="C33" i="8"/>
  <c r="D416" i="1"/>
  <c r="D342" i="1"/>
  <c r="C46" i="8"/>
  <c r="E48" i="1"/>
  <c r="E59" i="1" s="1"/>
  <c r="F59" i="1" s="1"/>
  <c r="E49" i="8"/>
  <c r="E47" i="8"/>
  <c r="E45" i="8"/>
  <c r="E34" i="8"/>
  <c r="E32" i="8"/>
  <c r="F379" i="1"/>
  <c r="F400" i="1" s="1"/>
  <c r="E30" i="8" s="1"/>
  <c r="F305" i="1"/>
  <c r="F194" i="1"/>
  <c r="F207" i="1" s="1"/>
  <c r="G207" i="1" s="1"/>
  <c r="G305" i="1"/>
  <c r="G320" i="1" s="1"/>
  <c r="H320" i="1" s="1"/>
  <c r="H322" i="1" s="1"/>
  <c r="H326" i="1" s="1"/>
  <c r="G28" i="8" s="1"/>
  <c r="G7" i="8" s="1"/>
  <c r="E41" i="8"/>
  <c r="F84" i="1"/>
  <c r="F97" i="1" s="1"/>
  <c r="G97" i="1" s="1"/>
  <c r="D50" i="8"/>
  <c r="E50" i="8"/>
  <c r="E46" i="8"/>
  <c r="E33" i="8"/>
  <c r="C40" i="8"/>
  <c r="C36" i="8"/>
  <c r="C34" i="8"/>
  <c r="C32" i="8"/>
  <c r="D379" i="1"/>
  <c r="D305" i="1"/>
  <c r="D314" i="1" s="1"/>
  <c r="D194" i="1"/>
  <c r="D203" i="1" s="1"/>
  <c r="D42" i="8"/>
  <c r="D34" i="8"/>
  <c r="E379" i="1"/>
  <c r="E194" i="1"/>
  <c r="E205" i="1" s="1"/>
  <c r="F205" i="1" s="1"/>
  <c r="E42" i="8"/>
  <c r="E40" i="8"/>
  <c r="F121" i="1"/>
  <c r="F134" i="1" s="1"/>
  <c r="G134" i="1" s="1"/>
  <c r="G194" i="1"/>
  <c r="G209" i="1" s="1"/>
  <c r="H209" i="1" s="1"/>
  <c r="H211" i="1" s="1"/>
  <c r="H215" i="1" s="1"/>
  <c r="G25" i="8" s="1"/>
  <c r="C50" i="8"/>
  <c r="D121" i="1"/>
  <c r="E121" i="1"/>
  <c r="E132" i="1" s="1"/>
  <c r="F132" i="1" s="1"/>
  <c r="E48" i="8"/>
  <c r="E44" i="8"/>
  <c r="F416" i="1"/>
  <c r="F231" i="1"/>
  <c r="D8" i="8"/>
  <c r="G121" i="1"/>
  <c r="G136" i="1" s="1"/>
  <c r="H136" i="1" s="1"/>
  <c r="H138" i="1" s="1"/>
  <c r="H142" i="1" s="1"/>
  <c r="G23" i="8" s="1"/>
  <c r="F155" i="1"/>
  <c r="F157" i="1" s="1"/>
  <c r="D6" i="8"/>
  <c r="E39" i="1"/>
  <c r="F39" i="1" s="1"/>
  <c r="E20" i="8" s="1"/>
  <c r="E4" i="8" s="1"/>
  <c r="F9" i="8"/>
  <c r="C35" i="6"/>
  <c r="F13" i="8"/>
  <c r="G342" i="1"/>
  <c r="G363" i="1" s="1"/>
  <c r="F29" i="8" s="1"/>
  <c r="D84" i="1"/>
  <c r="D93" i="1" s="1"/>
  <c r="D50" i="1"/>
  <c r="F6" i="8"/>
  <c r="E305" i="1"/>
  <c r="E316" i="1" s="1"/>
  <c r="F316" i="1" s="1"/>
  <c r="D13" i="8"/>
  <c r="E10" i="8"/>
  <c r="F48" i="1"/>
  <c r="F61" i="1" s="1"/>
  <c r="G61" i="1" s="1"/>
  <c r="C13" i="8"/>
  <c r="D45" i="1"/>
  <c r="F10" i="8"/>
  <c r="E9" i="8"/>
  <c r="D9" i="8"/>
  <c r="C10" i="8"/>
  <c r="D11" i="8"/>
  <c r="G84" i="1"/>
  <c r="G99" i="1" s="1"/>
  <c r="H99" i="1" s="1"/>
  <c r="H101" i="1" s="1"/>
  <c r="H105" i="1" s="1"/>
  <c r="G22" i="8" s="1"/>
  <c r="D10" i="8"/>
  <c r="D12" i="8"/>
  <c r="F342" i="1"/>
  <c r="F11" i="8"/>
  <c r="F12" i="8"/>
  <c r="F8" i="8"/>
  <c r="C12" i="8"/>
  <c r="E12" i="8"/>
  <c r="E11" i="8"/>
  <c r="C8" i="8"/>
  <c r="E13" i="8"/>
  <c r="C9" i="8"/>
  <c r="C11" i="6"/>
  <c r="E8" i="8"/>
  <c r="C11" i="8"/>
  <c r="D11" i="6"/>
  <c r="C6" i="8"/>
  <c r="E6" i="8"/>
  <c r="F20" i="6" l="1"/>
  <c r="F13" i="6"/>
  <c r="F14" i="6" s="1"/>
  <c r="E20" i="6"/>
  <c r="F29" i="6"/>
  <c r="F31" i="6" s="1"/>
  <c r="D20" i="6"/>
  <c r="H285" i="1"/>
  <c r="B20" i="6"/>
  <c r="D25" i="6"/>
  <c r="C20" i="6"/>
  <c r="E29" i="6"/>
  <c r="E13" i="6"/>
  <c r="E14" i="6" s="1"/>
  <c r="D13" i="6"/>
  <c r="D14" i="6" s="1"/>
  <c r="C25" i="6"/>
  <c r="C13" i="6"/>
  <c r="C14" i="6" s="1"/>
  <c r="B13" i="6"/>
  <c r="B14" i="6" s="1"/>
  <c r="F281" i="1"/>
  <c r="G281" i="1" s="1"/>
  <c r="G285" i="1" s="1"/>
  <c r="F655" i="1"/>
  <c r="F659" i="1" s="1"/>
  <c r="E37" i="8" s="1"/>
  <c r="F211" i="1"/>
  <c r="F215" i="1" s="1"/>
  <c r="E25" i="8" s="1"/>
  <c r="G65" i="1"/>
  <c r="G69" i="1" s="1"/>
  <c r="F21" i="8" s="1"/>
  <c r="F244" i="1"/>
  <c r="G244" i="1" s="1"/>
  <c r="G248" i="1" s="1"/>
  <c r="G252" i="1" s="1"/>
  <c r="F26" i="8" s="1"/>
  <c r="F170" i="1"/>
  <c r="G170" i="1" s="1"/>
  <c r="G174" i="1" s="1"/>
  <c r="G178" i="1" s="1"/>
  <c r="F24" i="8" s="1"/>
  <c r="F581" i="1"/>
  <c r="F585" i="1" s="1"/>
  <c r="E35" i="8" s="1"/>
  <c r="F138" i="1"/>
  <c r="F142" i="1" s="1"/>
  <c r="E23" i="8" s="1"/>
  <c r="D65" i="1"/>
  <c r="D69" i="1" s="1"/>
  <c r="C21" i="8" s="1"/>
  <c r="E57" i="1"/>
  <c r="D581" i="1"/>
  <c r="D585" i="1" s="1"/>
  <c r="C35" i="8" s="1"/>
  <c r="E573" i="1"/>
  <c r="E581" i="1" s="1"/>
  <c r="E585" i="1" s="1"/>
  <c r="D35" i="8" s="1"/>
  <c r="F692" i="1"/>
  <c r="F696" i="1" s="1"/>
  <c r="E38" i="8" s="1"/>
  <c r="E647" i="1"/>
  <c r="E655" i="1" s="1"/>
  <c r="E659" i="1" s="1"/>
  <c r="D37" i="8" s="1"/>
  <c r="D655" i="1"/>
  <c r="D659" i="1" s="1"/>
  <c r="C37" i="8" s="1"/>
  <c r="G692" i="1"/>
  <c r="G138" i="1"/>
  <c r="G142" i="1" s="1"/>
  <c r="F23" i="8" s="1"/>
  <c r="F101" i="1"/>
  <c r="F105" i="1" s="1"/>
  <c r="E22" i="8" s="1"/>
  <c r="G581" i="1"/>
  <c r="E684" i="1"/>
  <c r="E692" i="1" s="1"/>
  <c r="E696" i="1" s="1"/>
  <c r="D38" i="8" s="1"/>
  <c r="D692" i="1"/>
  <c r="D696" i="1" s="1"/>
  <c r="C38" i="8" s="1"/>
  <c r="G655" i="1"/>
  <c r="D425" i="1"/>
  <c r="F429" i="1"/>
  <c r="G429" i="1" s="1"/>
  <c r="G433" i="1" s="1"/>
  <c r="D388" i="1"/>
  <c r="D351" i="1"/>
  <c r="E314" i="1"/>
  <c r="E322" i="1" s="1"/>
  <c r="E326" i="1" s="1"/>
  <c r="D28" i="8" s="1"/>
  <c r="D322" i="1"/>
  <c r="F318" i="1"/>
  <c r="G318" i="1" s="1"/>
  <c r="G322" i="1" s="1"/>
  <c r="G326" i="1" s="1"/>
  <c r="F28" i="8" s="1"/>
  <c r="F7" i="8" s="1"/>
  <c r="E277" i="1"/>
  <c r="E285" i="1" s="1"/>
  <c r="E289" i="1" s="1"/>
  <c r="D27" i="8" s="1"/>
  <c r="D285" i="1"/>
  <c r="D289" i="1" s="1"/>
  <c r="C27" i="8" s="1"/>
  <c r="D240" i="1"/>
  <c r="E203" i="1"/>
  <c r="E211" i="1" s="1"/>
  <c r="E215" i="1" s="1"/>
  <c r="D25" i="8" s="1"/>
  <c r="D211" i="1"/>
  <c r="D215" i="1" s="1"/>
  <c r="C25" i="8" s="1"/>
  <c r="G211" i="1"/>
  <c r="G215" i="1" s="1"/>
  <c r="F25" i="8" s="1"/>
  <c r="E166" i="1"/>
  <c r="E174" i="1" s="1"/>
  <c r="D174" i="1"/>
  <c r="D178" i="1" s="1"/>
  <c r="C24" i="8" s="1"/>
  <c r="D130" i="1"/>
  <c r="E93" i="1"/>
  <c r="E101" i="1" s="1"/>
  <c r="E105" i="1" s="1"/>
  <c r="D22" i="8" s="1"/>
  <c r="D101" i="1"/>
  <c r="G101" i="1"/>
  <c r="G105" i="1" s="1"/>
  <c r="F22" i="8" s="1"/>
  <c r="D40" i="8"/>
  <c r="D39" i="8"/>
  <c r="D48" i="8"/>
  <c r="D36" i="8"/>
  <c r="D44" i="8"/>
  <c r="D33" i="8"/>
  <c r="D41" i="8"/>
  <c r="D49" i="8"/>
  <c r="D32" i="8"/>
  <c r="D45" i="8"/>
  <c r="F363" i="1"/>
  <c r="E29" i="8" s="1"/>
  <c r="D46" i="8"/>
  <c r="H178" i="1"/>
  <c r="G24" i="8" s="1"/>
  <c r="H252" i="1"/>
  <c r="G26" i="8" s="1"/>
  <c r="E45" i="1"/>
  <c r="D20" i="8"/>
  <c r="D4" i="8" s="1"/>
  <c r="E50" i="1"/>
  <c r="F65" i="1"/>
  <c r="F69" i="1" s="1"/>
  <c r="E21" i="8" s="1"/>
  <c r="G39" i="1"/>
  <c r="F45" i="1"/>
  <c r="F50" i="1"/>
  <c r="F36" i="6" l="1"/>
  <c r="B23" i="6"/>
  <c r="B31" i="6" s="1"/>
  <c r="D27" i="6"/>
  <c r="D31" i="6" s="1"/>
  <c r="F285" i="1"/>
  <c r="F289" i="1" s="1"/>
  <c r="E27" i="8" s="1"/>
  <c r="E27" i="6"/>
  <c r="E65" i="1"/>
  <c r="E69" i="1" s="1"/>
  <c r="D21" i="8" s="1"/>
  <c r="F174" i="1"/>
  <c r="F178" i="1" s="1"/>
  <c r="E24" i="8" s="1"/>
  <c r="F248" i="1"/>
  <c r="F252" i="1" s="1"/>
  <c r="E26" i="8" s="1"/>
  <c r="E425" i="1"/>
  <c r="E433" i="1" s="1"/>
  <c r="E437" i="1" s="1"/>
  <c r="D31" i="8" s="1"/>
  <c r="D433" i="1"/>
  <c r="D437" i="1" s="1"/>
  <c r="C31" i="8" s="1"/>
  <c r="F433" i="1"/>
  <c r="E388" i="1"/>
  <c r="E396" i="1" s="1"/>
  <c r="E400" i="1" s="1"/>
  <c r="D30" i="8" s="1"/>
  <c r="D396" i="1"/>
  <c r="D400" i="1" s="1"/>
  <c r="C30" i="8" s="1"/>
  <c r="E351" i="1"/>
  <c r="E359" i="1" s="1"/>
  <c r="E363" i="1" s="1"/>
  <c r="D29" i="8" s="1"/>
  <c r="D359" i="1"/>
  <c r="D363" i="1" s="1"/>
  <c r="C29" i="8" s="1"/>
  <c r="F322" i="1"/>
  <c r="F326" i="1" s="1"/>
  <c r="E28" i="8" s="1"/>
  <c r="E7" i="8" s="1"/>
  <c r="E240" i="1"/>
  <c r="E248" i="1" s="1"/>
  <c r="E252" i="1" s="1"/>
  <c r="D26" i="8" s="1"/>
  <c r="D248" i="1"/>
  <c r="D252" i="1" s="1"/>
  <c r="C26" i="8" s="1"/>
  <c r="E130" i="1"/>
  <c r="E138" i="1" s="1"/>
  <c r="E142" i="1" s="1"/>
  <c r="D23" i="8" s="1"/>
  <c r="D138" i="1"/>
  <c r="D142" i="1" s="1"/>
  <c r="C23" i="8" s="1"/>
  <c r="E178" i="1"/>
  <c r="D24" i="8" s="1"/>
  <c r="H39" i="1"/>
  <c r="G20" i="8" s="1"/>
  <c r="G4" i="8" s="1"/>
  <c r="F20" i="8"/>
  <c r="F4" i="8" s="1"/>
  <c r="G289" i="1"/>
  <c r="F27" i="8" s="1"/>
  <c r="F5" i="8" s="1"/>
  <c r="H289" i="1"/>
  <c r="G27" i="8" s="1"/>
  <c r="G50" i="1"/>
  <c r="G45" i="1"/>
  <c r="E31" i="6" l="1"/>
  <c r="E36" i="6" s="1"/>
  <c r="C23" i="6"/>
  <c r="E5" i="8"/>
  <c r="D7" i="8"/>
  <c r="C5" i="8"/>
  <c r="D5" i="8"/>
  <c r="C7" i="8"/>
  <c r="F437" i="1"/>
  <c r="E31" i="8" s="1"/>
  <c r="D36" i="6"/>
  <c r="H50" i="1"/>
  <c r="H45" i="1"/>
  <c r="C31" i="6" l="1"/>
  <c r="C36" i="6" s="1"/>
  <c r="H69" i="1"/>
  <c r="G21" i="8" s="1"/>
  <c r="G5" i="8" s="1"/>
</calcChain>
</file>

<file path=xl/comments1.xml><?xml version="1.0" encoding="utf-8"?>
<comments xmlns="http://schemas.openxmlformats.org/spreadsheetml/2006/main">
  <authors>
    <author>kbarnard</author>
    <author>Anna Mikelsen Mills</author>
  </authors>
  <commentList>
    <comment ref="B31" authorId="0" shapeId="0">
      <text>
        <r>
          <rPr>
            <b/>
            <sz val="9"/>
            <color indexed="81"/>
            <rFont val="Tahoma"/>
            <family val="2"/>
          </rPr>
          <t>kbarnard:</t>
        </r>
        <r>
          <rPr>
            <sz val="9"/>
            <color indexed="81"/>
            <rFont val="Tahoma"/>
            <family val="2"/>
          </rPr>
          <t xml:space="preserve">
Over-road formula to includes 2012 RECs carried to 2013 in amount of 953,701
</t>
        </r>
      </text>
    </comment>
    <comment ref="B36" authorId="1" shapeId="0">
      <text>
        <r>
          <rPr>
            <sz val="11"/>
            <color indexed="81"/>
            <rFont val="Tahoma"/>
            <family val="2"/>
          </rPr>
          <t xml:space="preserve">Overroad formula- to include 2012 RECs applied to 2013 Reporting period in amount of 953,701 from various sources
</t>
        </r>
      </text>
    </comment>
  </commentList>
</comments>
</file>

<file path=xl/sharedStrings.xml><?xml version="1.0" encoding="utf-8"?>
<sst xmlns="http://schemas.openxmlformats.org/spreadsheetml/2006/main" count="880" uniqueCount="187">
  <si>
    <t>Eligible</t>
  </si>
  <si>
    <t>Not Eligible</t>
  </si>
  <si>
    <t>---</t>
  </si>
  <si>
    <t>Reporting Entity:</t>
  </si>
  <si>
    <t>Facility Name:</t>
  </si>
  <si>
    <t>Reporting Date:</t>
  </si>
  <si>
    <t>Distributed Generation Bonus</t>
  </si>
  <si>
    <t>Quantity Required for Compliance</t>
  </si>
  <si>
    <t>Start Year</t>
  </si>
  <si>
    <t>WA State RCW 19.285 Requirement</t>
  </si>
  <si>
    <t>Facility 11</t>
  </si>
  <si>
    <t>Facility 12</t>
  </si>
  <si>
    <t>Facility 13</t>
  </si>
  <si>
    <t>Facility 14</t>
  </si>
  <si>
    <t>Facility 15</t>
  </si>
  <si>
    <t>Facility 16</t>
  </si>
  <si>
    <t>Facility 17</t>
  </si>
  <si>
    <t>Facility 18</t>
  </si>
  <si>
    <t>Facility 19</t>
  </si>
  <si>
    <t>Facility 20</t>
  </si>
  <si>
    <t>Facility 21</t>
  </si>
  <si>
    <t>Facility 22</t>
  </si>
  <si>
    <t>Facility 23</t>
  </si>
  <si>
    <t>Facility 24</t>
  </si>
  <si>
    <t>Facility 25</t>
  </si>
  <si>
    <t>Facility 26</t>
  </si>
  <si>
    <t>Facility 27</t>
  </si>
  <si>
    <t>Facility 28</t>
  </si>
  <si>
    <t>Facility 29</t>
  </si>
  <si>
    <t>Facility 30</t>
  </si>
  <si>
    <t>Extra Apprenticeship Credit</t>
  </si>
  <si>
    <t>Delivered Load to Retail Customers (MWh)</t>
  </si>
  <si>
    <t>Adjustment for Events Beyond Control</t>
  </si>
  <si>
    <t>Facility WREGIS ID:</t>
  </si>
  <si>
    <t>Extra Apprenticeship Credit Eligibility:</t>
  </si>
  <si>
    <t>Distributed Generation Bonus Eligibility:</t>
  </si>
  <si>
    <t>Sales and Transfers</t>
  </si>
  <si>
    <t>Net Surplus Adjustments</t>
  </si>
  <si>
    <t>RCW 19.285 Compliance Need</t>
  </si>
  <si>
    <t>Eligible Quantity Acquired</t>
  </si>
  <si>
    <t>Percent of Qualifying MWh Allocated to WA</t>
  </si>
  <si>
    <t>MWh Allocated to WA Compliance</t>
  </si>
  <si>
    <t>Eligible MWh Available for RCW 19.285 Compliance</t>
  </si>
  <si>
    <t>Bonus Incentives Transferred</t>
  </si>
  <si>
    <t>Total Quantity Available for RCW 19.285 Compliance</t>
  </si>
  <si>
    <t>Percent of MWh Qualifying Under RCW 19.285</t>
  </si>
  <si>
    <t>Contribution to RCW 19.285 Compliance</t>
  </si>
  <si>
    <t>RCW 19.285 Compliance Surplus / (Deficit)</t>
  </si>
  <si>
    <t>Extra Apprenticeship Labor Bonus</t>
  </si>
  <si>
    <t>Bonus Incentive Eligibility</t>
  </si>
  <si>
    <t>REC Sales / Transfers</t>
  </si>
  <si>
    <t>Qualifying MWh Allocated to WA</t>
  </si>
  <si>
    <t>Checklist Item</t>
  </si>
  <si>
    <t>Cell/Row Description</t>
  </si>
  <si>
    <t>Units</t>
  </si>
  <si>
    <t>Cell/Row</t>
  </si>
  <si>
    <t>Comments</t>
  </si>
  <si>
    <t>Text</t>
  </si>
  <si>
    <t>Year</t>
  </si>
  <si>
    <t>Reporting Entity</t>
  </si>
  <si>
    <t>Reporting Date</t>
  </si>
  <si>
    <t>Delivered Load to Retail Customers</t>
  </si>
  <si>
    <t>MWh</t>
  </si>
  <si>
    <t>Enter the name of the reporting entity</t>
  </si>
  <si>
    <t xml:space="preserve">Enter the MWh delivered to customers </t>
  </si>
  <si>
    <t>Enter "X" When Complete</t>
  </si>
  <si>
    <t>Enter the date the report is submitted</t>
  </si>
  <si>
    <t>Quantity of RECs Sold</t>
  </si>
  <si>
    <t>Facility Name</t>
  </si>
  <si>
    <t>B2:B31</t>
  </si>
  <si>
    <t>Enter the name of the qualifying facility or contract</t>
  </si>
  <si>
    <t>WREGIS ID</t>
  </si>
  <si>
    <t>C2:C31</t>
  </si>
  <si>
    <t>Enter the WREGIS ID for the qualifying facility</t>
  </si>
  <si>
    <t>Extra Apprenticeship Credit Eligibility</t>
  </si>
  <si>
    <t>Toggle</t>
  </si>
  <si>
    <t>D2:D31</t>
  </si>
  <si>
    <t>E2:E31</t>
  </si>
  <si>
    <t>For facilities that qualify for extra apprenticeship credits select "Eligible". Select "Not Eligible for non-qualifying facilities.</t>
  </si>
  <si>
    <t>For facilities that qualify for distributed generation select "Eligible". Select "Not Eligible for non-qualifying facilities.</t>
  </si>
  <si>
    <t>Total MWh Produced from Facility</t>
  </si>
  <si>
    <t>Number</t>
  </si>
  <si>
    <t>Percent of MWh Qualifying</t>
  </si>
  <si>
    <t>D39:F39</t>
  </si>
  <si>
    <t>Quantity of RECs from MWh Sold</t>
  </si>
  <si>
    <t>%</t>
  </si>
  <si>
    <t>Percent of Qualifying MWh Allocated to WA State Compliance</t>
  </si>
  <si>
    <t>D51:F51</t>
  </si>
  <si>
    <t>2011 Surplus Applied to 2012</t>
  </si>
  <si>
    <t>2012 Surplus Applied to 2011</t>
  </si>
  <si>
    <t>2012 Surplus Applied to 2013</t>
  </si>
  <si>
    <t>2013 Surplus Applied to 2012</t>
  </si>
  <si>
    <t>Enter the amount of RECs procured in 2011 used for compliance in 2012</t>
  </si>
  <si>
    <t>Enter the amount of RECs procured in 2012 used for compliance in 2011</t>
  </si>
  <si>
    <t>Enter the amount of RECs procured in 2012 used for compliance in 2013</t>
  </si>
  <si>
    <t>Enter the amount of RECs procured in 2013 used for compliance in 2012</t>
  </si>
  <si>
    <t>Distributed Generation Eligibility</t>
  </si>
  <si>
    <t>Enter the annual amount of transferred RECs procured from bonus incentives</t>
  </si>
  <si>
    <t>Enter the percent of qualifying MWh used for compliance with RCW 19.285. Used for facilities that are utilized for RPS compliance in two or more states.</t>
  </si>
  <si>
    <t>Enter the percent of MWh produced that are eligible for meeting RCW 19.285</t>
  </si>
  <si>
    <t>Enter the annual MWh output from the qualifying facility</t>
  </si>
  <si>
    <t>"Facility Detail" Worksheet</t>
  </si>
  <si>
    <t>General Instructions:</t>
  </si>
  <si>
    <t>White shading indicate formulated cells</t>
  </si>
  <si>
    <t>Yellow shading indicate cells where inputs are entered</t>
  </si>
  <si>
    <t>Green shading indicate cells with dropdown lists</t>
  </si>
  <si>
    <t>Blue shading indicates summary calculations</t>
  </si>
  <si>
    <t>Grey shading indicates cells where information is not required</t>
  </si>
  <si>
    <t>Enter the annual amount of RECs sold.  For Multi-Jurisdictional Utilities, enter in annual WA allocated amount of RECs sold.</t>
  </si>
  <si>
    <t>Bonus Incentives Not Realized</t>
  </si>
  <si>
    <t>Total Sold / Transferred / Unrealized</t>
  </si>
  <si>
    <t>D40:F40</t>
  </si>
  <si>
    <t>D41:F41</t>
  </si>
  <si>
    <t>D52:F52</t>
  </si>
  <si>
    <t>E58</t>
  </si>
  <si>
    <t>Enter the annual MWh not produced due to events beyond control as outlined in RCW 19.285.040 (2)(i)</t>
  </si>
  <si>
    <t>Enter the annual number of bonus incentives that were not realized</t>
  </si>
  <si>
    <t>B2</t>
  </si>
  <si>
    <t>B4</t>
  </si>
  <si>
    <t>B7:E7</t>
  </si>
  <si>
    <t>Adjustments</t>
  </si>
  <si>
    <t>D50:F50</t>
  </si>
  <si>
    <t>D56</t>
  </si>
  <si>
    <t>E57</t>
  </si>
  <si>
    <t>F59</t>
  </si>
  <si>
    <t>D62:F62</t>
  </si>
  <si>
    <t>Facility Types</t>
  </si>
  <si>
    <t>Wind</t>
  </si>
  <si>
    <t>Solar</t>
  </si>
  <si>
    <t>Geothermal</t>
  </si>
  <si>
    <t>Landfill Gas</t>
  </si>
  <si>
    <t>Wave, Ocean, Tidal</t>
  </si>
  <si>
    <t>Biomass</t>
  </si>
  <si>
    <t>Sewage Treatment Gas</t>
  </si>
  <si>
    <t>Water (Incremental Hydro)</t>
  </si>
  <si>
    <t>Facility Type</t>
  </si>
  <si>
    <t>F2:F31</t>
  </si>
  <si>
    <t>Select the generation type for the qualifying facility</t>
  </si>
  <si>
    <t>Compliance Contribution by Generation Type</t>
  </si>
  <si>
    <t>Non REC Eligible Generation</t>
  </si>
  <si>
    <t>Biodiesel Fuel</t>
  </si>
  <si>
    <t>Total Quantity from Non REC Eligible Generation</t>
  </si>
  <si>
    <t>Quantity from Non REC Eligible Generation</t>
  </si>
  <si>
    <t>"Compliance Summary" Worksheet</t>
  </si>
  <si>
    <t>Instructions in this section identify the input locations for the 1st facility found in the "Facility Detail" worksheet.  Inputs for facilities 2 through 30, also found in the "Facility Detail" worksheet, are identical to facility 1.</t>
  </si>
  <si>
    <t>Online Date:</t>
  </si>
  <si>
    <t>In both the "Compliance Summary" and "Facility Detail" worksheets, utilities may need to protect commercially sensitive information by use of the CONFIDENTIAL designation.</t>
  </si>
  <si>
    <t>Wild Horse</t>
  </si>
  <si>
    <t>Hopkins Ridge</t>
  </si>
  <si>
    <t>Klondike III</t>
  </si>
  <si>
    <t>W183</t>
  </si>
  <si>
    <t>W184</t>
  </si>
  <si>
    <t>W237</t>
  </si>
  <si>
    <t>Wild Horse Phase II</t>
  </si>
  <si>
    <t>Hopkins Ridge Phase II</t>
  </si>
  <si>
    <t>W1364</t>
  </si>
  <si>
    <t>W1382</t>
  </si>
  <si>
    <t>W2669</t>
  </si>
  <si>
    <t>W2670</t>
  </si>
  <si>
    <t>Lower Snake River - Dodge Junction</t>
  </si>
  <si>
    <t>Lower Snake River - Phalen Gulch</t>
  </si>
  <si>
    <t>Wanapum Fish Bypass</t>
  </si>
  <si>
    <t>Baker River Project</t>
  </si>
  <si>
    <t>Snoqualmie Falls Project</t>
  </si>
  <si>
    <t>X</t>
  </si>
  <si>
    <t>Not Available</t>
  </si>
  <si>
    <t>Attachment 3</t>
  </si>
  <si>
    <t>Instructions in the section are for the cells B2:F31.  Each row represents a different facility.  FIRST UPDATE cell B1053 For Start Year</t>
  </si>
  <si>
    <t>Actual 2014 Retirement</t>
  </si>
  <si>
    <t>Use of Wanapum Fish  Bypass for 2016 RPS Compliance will be dependent upon Grant County filing WREGIS registration.   To-date Grant County has not filed Wanapum in WREGIS</t>
  </si>
  <si>
    <t>2015 Surplus Applied to 2016</t>
  </si>
  <si>
    <t>2016 Surplus Applied to 2015</t>
  </si>
  <si>
    <t>2016 Surplus Applied to 2017</t>
  </si>
  <si>
    <t>2017 Surplus Applied to 2016</t>
  </si>
  <si>
    <t>W4865</t>
  </si>
  <si>
    <t>W4866</t>
  </si>
  <si>
    <t>Not Applicable</t>
  </si>
  <si>
    <t>Puget Sound Energy</t>
  </si>
  <si>
    <t>Snoqualmie Falls Project estimated RPS Eligible generation based on Incremental Hydro Calculation Method 2.  Snoqualmie Falls Project WREGIS Registration was completed June, 2016</t>
  </si>
  <si>
    <t>Baker estimated RPS Eligible generation based on Incremental Hydro Calculation Method 2.   Baker Project WREGIS Registration was completed June, 2016</t>
  </si>
  <si>
    <t>PUGET SOUND ENERGY - 2017 RPS REPORT</t>
  </si>
  <si>
    <t>ATTACHMENT 3</t>
  </si>
  <si>
    <t>* Any surplus shown in 2015 or 2016 may be sold or used for compliance in subsequent years.</t>
  </si>
  <si>
    <t>May be used for Target Year 2017 Compliance</t>
  </si>
  <si>
    <t>May be used for 2017 RPS Compliance</t>
  </si>
  <si>
    <t>Actual Retirements</t>
  </si>
  <si>
    <t>Actual Retirement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</si>
</sst>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_);_(* \(#,##0\);_(* &quot;-&quot;??_);_(@_)"/>
    <numFmt numFmtId="165" formatCode="[$-409]mmmm\ d\,\ yyyy;@"/>
    <numFmt numFmtId="166" formatCode="0.000000"/>
    <numFmt numFmtId="167" formatCode="[$-409]d\-mmm\-yy;@"/>
    <numFmt numFmtId="168" formatCode="0.0%"/>
    <numFmt numFmtId="169" formatCode="#,##0.000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4"/>
      <name val="Calibri"/>
      <family val="2"/>
    </font>
    <font>
      <sz val="8"/>
      <name val="Arial"/>
      <family val="2"/>
    </font>
    <font>
      <b/>
      <sz val="16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1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4"/>
      <name val="Times New Roman"/>
      <family val="1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DashDotDot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166" fontId="2" fillId="0" borderId="0">
      <alignment horizontal="left" wrapText="1"/>
    </xf>
    <xf numFmtId="9" fontId="2" fillId="0" borderId="0" applyFont="0" applyFill="0" applyBorder="0" applyAlignment="0" applyProtection="0"/>
    <xf numFmtId="0" fontId="1" fillId="0" borderId="0" applyNumberFormat="0" applyFont="0" applyFill="0" applyBorder="0" applyAlignment="0" applyProtection="0">
      <alignment vertical="top"/>
      <protection locked="0"/>
    </xf>
  </cellStyleXfs>
  <cellXfs count="20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64" fontId="3" fillId="2" borderId="1" xfId="1" applyNumberFormat="1" applyFont="1" applyFill="1" applyBorder="1"/>
    <xf numFmtId="164" fontId="3" fillId="2" borderId="2" xfId="1" applyNumberFormat="1" applyFont="1" applyFill="1" applyBorder="1"/>
    <xf numFmtId="164" fontId="3" fillId="2" borderId="3" xfId="1" applyNumberFormat="1" applyFont="1" applyFill="1" applyBorder="1"/>
    <xf numFmtId="0" fontId="4" fillId="0" borderId="0" xfId="0" applyFont="1"/>
    <xf numFmtId="164" fontId="4" fillId="0" borderId="0" xfId="1" applyNumberFormat="1" applyFont="1"/>
    <xf numFmtId="0" fontId="3" fillId="0" borderId="4" xfId="0" applyFont="1" applyBorder="1"/>
    <xf numFmtId="0" fontId="5" fillId="0" borderId="0" xfId="0" applyFont="1"/>
    <xf numFmtId="164" fontId="3" fillId="2" borderId="5" xfId="1" applyNumberFormat="1" applyFont="1" applyFill="1" applyBorder="1"/>
    <xf numFmtId="164" fontId="3" fillId="0" borderId="2" xfId="1" applyNumberFormat="1" applyFont="1" applyBorder="1"/>
    <xf numFmtId="164" fontId="3" fillId="0" borderId="3" xfId="1" applyNumberFormat="1" applyFont="1" applyBorder="1"/>
    <xf numFmtId="0" fontId="7" fillId="0" borderId="0" xfId="0" applyFont="1"/>
    <xf numFmtId="164" fontId="3" fillId="0" borderId="0" xfId="1" applyNumberFormat="1" applyFont="1" applyFill="1" applyBorder="1" applyAlignment="1">
      <alignment horizontal="center"/>
    </xf>
    <xf numFmtId="0" fontId="3" fillId="2" borderId="6" xfId="0" applyFont="1" applyFill="1" applyBorder="1"/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9" xfId="0" quotePrefix="1" applyFont="1" applyFill="1" applyBorder="1"/>
    <xf numFmtId="164" fontId="4" fillId="0" borderId="0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9" fontId="3" fillId="0" borderId="0" xfId="5" applyFont="1" applyFill="1" applyBorder="1" applyAlignment="1">
      <alignment horizontal="center"/>
    </xf>
    <xf numFmtId="0" fontId="3" fillId="0" borderId="0" xfId="0" applyFont="1" applyFill="1" applyBorder="1"/>
    <xf numFmtId="164" fontId="3" fillId="0" borderId="0" xfId="1" applyNumberFormat="1" applyFont="1" applyFill="1" applyBorder="1"/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164" fontId="4" fillId="0" borderId="0" xfId="1" applyNumberFormat="1" applyFont="1" applyFill="1" applyBorder="1"/>
    <xf numFmtId="0" fontId="3" fillId="0" borderId="0" xfId="0" applyFont="1" applyBorder="1"/>
    <xf numFmtId="164" fontId="3" fillId="0" borderId="0" xfId="1" applyNumberFormat="1" applyFont="1" applyBorder="1"/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164" fontId="3" fillId="4" borderId="0" xfId="1" applyNumberFormat="1" applyFont="1" applyFill="1" applyBorder="1"/>
    <xf numFmtId="164" fontId="4" fillId="4" borderId="13" xfId="1" applyNumberFormat="1" applyFont="1" applyFill="1" applyBorder="1"/>
    <xf numFmtId="164" fontId="3" fillId="5" borderId="0" xfId="1" applyNumberFormat="1" applyFont="1" applyFill="1" applyBorder="1"/>
    <xf numFmtId="164" fontId="4" fillId="5" borderId="13" xfId="1" applyNumberFormat="1" applyFont="1" applyFill="1" applyBorder="1"/>
    <xf numFmtId="164" fontId="4" fillId="0" borderId="13" xfId="1" applyNumberFormat="1" applyFont="1" applyBorder="1"/>
    <xf numFmtId="0" fontId="5" fillId="0" borderId="0" xfId="0" applyFont="1" applyBorder="1"/>
    <xf numFmtId="0" fontId="7" fillId="0" borderId="7" xfId="0" applyFont="1" applyFill="1" applyBorder="1" applyAlignment="1">
      <alignment horizontal="centerContinuous"/>
    </xf>
    <xf numFmtId="0" fontId="7" fillId="0" borderId="14" xfId="0" applyFont="1" applyFill="1" applyBorder="1" applyAlignment="1">
      <alignment horizontal="centerContinuous"/>
    </xf>
    <xf numFmtId="0" fontId="5" fillId="0" borderId="0" xfId="0" applyFont="1" applyFill="1" applyBorder="1"/>
    <xf numFmtId="164" fontId="8" fillId="6" borderId="17" xfId="1" applyNumberFormat="1" applyFont="1" applyFill="1" applyBorder="1"/>
    <xf numFmtId="164" fontId="4" fillId="5" borderId="0" xfId="1" applyNumberFormat="1" applyFont="1" applyFill="1" applyBorder="1"/>
    <xf numFmtId="164" fontId="3" fillId="2" borderId="18" xfId="1" applyNumberFormat="1" applyFont="1" applyFill="1" applyBorder="1"/>
    <xf numFmtId="9" fontId="3" fillId="2" borderId="12" xfId="5" applyFont="1" applyFill="1" applyBorder="1"/>
    <xf numFmtId="9" fontId="3" fillId="2" borderId="18" xfId="5" applyFont="1" applyFill="1" applyBorder="1"/>
    <xf numFmtId="164" fontId="3" fillId="0" borderId="1" xfId="1" applyNumberFormat="1" applyFont="1" applyFill="1" applyBorder="1"/>
    <xf numFmtId="164" fontId="3" fillId="0" borderId="11" xfId="1" applyNumberFormat="1" applyFont="1" applyFill="1" applyBorder="1"/>
    <xf numFmtId="164" fontId="3" fillId="0" borderId="12" xfId="1" applyNumberFormat="1" applyFont="1" applyBorder="1"/>
    <xf numFmtId="164" fontId="3" fillId="0" borderId="18" xfId="1" applyNumberFormat="1" applyFont="1" applyBorder="1"/>
    <xf numFmtId="164" fontId="3" fillId="2" borderId="11" xfId="1" applyNumberFormat="1" applyFont="1" applyFill="1" applyBorder="1" applyAlignment="1"/>
    <xf numFmtId="164" fontId="3" fillId="0" borderId="2" xfId="1" applyNumberFormat="1" applyFont="1" applyFill="1" applyBorder="1"/>
    <xf numFmtId="164" fontId="3" fillId="0" borderId="19" xfId="1" applyNumberFormat="1" applyFont="1" applyFill="1" applyBorder="1"/>
    <xf numFmtId="164" fontId="3" fillId="0" borderId="12" xfId="1" applyNumberFormat="1" applyFont="1" applyFill="1" applyBorder="1"/>
    <xf numFmtId="0" fontId="8" fillId="0" borderId="0" xfId="0" applyFont="1" applyAlignment="1">
      <alignment horizontal="left" vertical="center" wrapText="1"/>
    </xf>
    <xf numFmtId="164" fontId="3" fillId="0" borderId="12" xfId="1" applyNumberFormat="1" applyFont="1" applyFill="1" applyBorder="1" applyAlignment="1">
      <alignment horizontal="center" vertical="center"/>
    </xf>
    <xf numFmtId="164" fontId="3" fillId="0" borderId="18" xfId="1" applyNumberFormat="1" applyFont="1" applyFill="1" applyBorder="1" applyAlignment="1">
      <alignment horizontal="center" vertical="center"/>
    </xf>
    <xf numFmtId="164" fontId="3" fillId="0" borderId="5" xfId="1" applyNumberFormat="1" applyFont="1" applyFill="1" applyBorder="1"/>
    <xf numFmtId="0" fontId="3" fillId="0" borderId="20" xfId="0" applyFont="1" applyBorder="1"/>
    <xf numFmtId="0" fontId="4" fillId="0" borderId="0" xfId="0" applyFont="1" applyAlignment="1">
      <alignment horizontal="left" indent="2"/>
    </xf>
    <xf numFmtId="0" fontId="4" fillId="0" borderId="0" xfId="0" applyFont="1" applyFill="1" applyBorder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0" fillId="0" borderId="20" xfId="0" applyBorder="1" applyAlignment="1"/>
    <xf numFmtId="0" fontId="3" fillId="0" borderId="20" xfId="0" applyFont="1" applyBorder="1" applyAlignment="1">
      <alignment horizontal="left" indent="2"/>
    </xf>
    <xf numFmtId="0" fontId="9" fillId="0" borderId="0" xfId="0" applyFont="1"/>
    <xf numFmtId="166" fontId="8" fillId="6" borderId="7" xfId="4" applyFont="1" applyFill="1" applyBorder="1" applyAlignment="1">
      <alignment horizontal="center" vertical="center" wrapText="1"/>
    </xf>
    <xf numFmtId="166" fontId="3" fillId="0" borderId="7" xfId="4" applyFont="1" applyBorder="1" applyAlignment="1">
      <alignment vertical="center" wrapText="1"/>
    </xf>
    <xf numFmtId="1" fontId="3" fillId="0" borderId="7" xfId="4" applyNumberFormat="1" applyFont="1" applyBorder="1" applyAlignment="1">
      <alignment horizontal="center" vertical="center" wrapText="1"/>
    </xf>
    <xf numFmtId="166" fontId="3" fillId="0" borderId="7" xfId="4" applyFont="1" applyBorder="1" applyAlignment="1">
      <alignment horizontal="center" vertical="center" wrapText="1"/>
    </xf>
    <xf numFmtId="166" fontId="3" fillId="0" borderId="7" xfId="4" applyFont="1" applyFill="1" applyBorder="1" applyAlignment="1">
      <alignment horizontal="center" vertical="center" wrapText="1"/>
    </xf>
    <xf numFmtId="0" fontId="0" fillId="0" borderId="0" xfId="0" applyBorder="1" applyAlignment="1"/>
    <xf numFmtId="164" fontId="3" fillId="2" borderId="10" xfId="1" applyNumberFormat="1" applyFont="1" applyFill="1" applyBorder="1" applyAlignment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 indent="2" shrinkToFit="1"/>
    </xf>
    <xf numFmtId="166" fontId="3" fillId="0" borderId="7" xfId="4" applyFont="1" applyFill="1" applyBorder="1" applyAlignment="1">
      <alignment vertical="center" wrapText="1"/>
    </xf>
    <xf numFmtId="9" fontId="3" fillId="0" borderId="12" xfId="5" applyFont="1" applyBorder="1" applyAlignment="1">
      <alignment horizontal="center"/>
    </xf>
    <xf numFmtId="9" fontId="3" fillId="0" borderId="18" xfId="5" applyFont="1" applyBorder="1" applyAlignment="1">
      <alignment horizontal="center"/>
    </xf>
    <xf numFmtId="164" fontId="3" fillId="0" borderId="13" xfId="1" applyNumberFormat="1" applyFont="1" applyBorder="1" applyAlignment="1">
      <alignment horizontal="center"/>
    </xf>
    <xf numFmtId="164" fontId="3" fillId="0" borderId="13" xfId="1" applyNumberFormat="1" applyFont="1" applyFill="1" applyBorder="1" applyAlignment="1">
      <alignment horizontal="center"/>
    </xf>
    <xf numFmtId="164" fontId="3" fillId="2" borderId="15" xfId="1" applyNumberFormat="1" applyFont="1" applyFill="1" applyBorder="1"/>
    <xf numFmtId="164" fontId="3" fillId="2" borderId="16" xfId="1" applyNumberFormat="1" applyFont="1" applyFill="1" applyBorder="1"/>
    <xf numFmtId="164" fontId="3" fillId="2" borderId="17" xfId="1" applyNumberFormat="1" applyFont="1" applyFill="1" applyBorder="1"/>
    <xf numFmtId="0" fontId="3" fillId="0" borderId="0" xfId="0" applyFont="1" applyBorder="1" applyAlignment="1">
      <alignment horizontal="left" indent="2"/>
    </xf>
    <xf numFmtId="0" fontId="4" fillId="0" borderId="0" xfId="0" applyFont="1" applyFill="1" applyBorder="1" applyAlignment="1">
      <alignment horizontal="left" indent="2"/>
    </xf>
    <xf numFmtId="0" fontId="3" fillId="2" borderId="9" xfId="0" applyFont="1" applyFill="1" applyBorder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6" xfId="0" applyFont="1" applyBorder="1"/>
    <xf numFmtId="164" fontId="16" fillId="0" borderId="1" xfId="1" applyNumberFormat="1" applyFont="1" applyBorder="1"/>
    <xf numFmtId="164" fontId="16" fillId="0" borderId="2" xfId="1" applyNumberFormat="1" applyFont="1" applyBorder="1"/>
    <xf numFmtId="164" fontId="16" fillId="0" borderId="3" xfId="1" applyNumberFormat="1" applyFont="1" applyBorder="1"/>
    <xf numFmtId="0" fontId="16" fillId="0" borderId="8" xfId="0" applyFont="1" applyBorder="1"/>
    <xf numFmtId="164" fontId="16" fillId="0" borderId="10" xfId="1" applyNumberFormat="1" applyFont="1" applyBorder="1"/>
    <xf numFmtId="164" fontId="16" fillId="0" borderId="5" xfId="1" applyNumberFormat="1" applyFont="1" applyBorder="1"/>
    <xf numFmtId="164" fontId="16" fillId="0" borderId="19" xfId="1" applyNumberFormat="1" applyFont="1" applyBorder="1"/>
    <xf numFmtId="0" fontId="16" fillId="0" borderId="9" xfId="0" applyFont="1" applyBorder="1"/>
    <xf numFmtId="164" fontId="16" fillId="0" borderId="11" xfId="1" applyNumberFormat="1" applyFont="1" applyBorder="1"/>
    <xf numFmtId="164" fontId="16" fillId="0" borderId="12" xfId="1" applyNumberFormat="1" applyFont="1" applyBorder="1"/>
    <xf numFmtId="164" fontId="16" fillId="0" borderId="18" xfId="1" applyNumberFormat="1" applyFont="1" applyBorder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/>
    <xf numFmtId="0" fontId="19" fillId="0" borderId="0" xfId="0" applyFont="1"/>
    <xf numFmtId="164" fontId="19" fillId="0" borderId="0" xfId="1" applyNumberFormat="1" applyFont="1"/>
    <xf numFmtId="166" fontId="3" fillId="0" borderId="13" xfId="4" applyFont="1" applyBorder="1" applyAlignment="1">
      <alignment horizontal="center" vertical="center" wrapText="1"/>
    </xf>
    <xf numFmtId="1" fontId="3" fillId="0" borderId="13" xfId="4" applyNumberFormat="1" applyFont="1" applyBorder="1" applyAlignment="1">
      <alignment horizontal="center" vertical="center" wrapText="1"/>
    </xf>
    <xf numFmtId="166" fontId="3" fillId="0" borderId="13" xfId="4" applyFont="1" applyBorder="1" applyAlignment="1">
      <alignment vertical="center" wrapText="1"/>
    </xf>
    <xf numFmtId="0" fontId="3" fillId="3" borderId="21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167" fontId="3" fillId="2" borderId="3" xfId="0" applyNumberFormat="1" applyFont="1" applyFill="1" applyBorder="1" applyAlignment="1">
      <alignment horizontal="center"/>
    </xf>
    <xf numFmtId="167" fontId="3" fillId="2" borderId="19" xfId="0" applyNumberFormat="1" applyFont="1" applyFill="1" applyBorder="1" applyAlignment="1">
      <alignment horizontal="center"/>
    </xf>
    <xf numFmtId="167" fontId="3" fillId="2" borderId="18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left"/>
    </xf>
    <xf numFmtId="0" fontId="4" fillId="0" borderId="0" xfId="0" applyFont="1" applyAlignment="1">
      <alignment horizontal="right"/>
    </xf>
    <xf numFmtId="164" fontId="3" fillId="0" borderId="21" xfId="1" applyNumberFormat="1" applyFont="1" applyBorder="1"/>
    <xf numFmtId="164" fontId="3" fillId="0" borderId="23" xfId="1" applyNumberFormat="1" applyFont="1" applyBorder="1"/>
    <xf numFmtId="164" fontId="3" fillId="2" borderId="24" xfId="1" applyNumberFormat="1" applyFont="1" applyFill="1" applyBorder="1"/>
    <xf numFmtId="164" fontId="8" fillId="6" borderId="24" xfId="1" applyNumberFormat="1" applyFont="1" applyFill="1" applyBorder="1"/>
    <xf numFmtId="164" fontId="3" fillId="7" borderId="5" xfId="1" applyNumberFormat="1" applyFont="1" applyFill="1" applyBorder="1"/>
    <xf numFmtId="164" fontId="3" fillId="7" borderId="10" xfId="1" applyNumberFormat="1" applyFont="1" applyFill="1" applyBorder="1"/>
    <xf numFmtId="164" fontId="3" fillId="7" borderId="11" xfId="1" applyNumberFormat="1" applyFont="1" applyFill="1" applyBorder="1"/>
    <xf numFmtId="164" fontId="3" fillId="7" borderId="12" xfId="1" applyNumberFormat="1" applyFont="1" applyFill="1" applyBorder="1"/>
    <xf numFmtId="164" fontId="3" fillId="7" borderId="2" xfId="1" applyNumberFormat="1" applyFont="1" applyFill="1" applyBorder="1"/>
    <xf numFmtId="164" fontId="3" fillId="7" borderId="3" xfId="1" applyNumberFormat="1" applyFont="1" applyFill="1" applyBorder="1"/>
    <xf numFmtId="164" fontId="3" fillId="7" borderId="19" xfId="1" applyNumberFormat="1" applyFont="1" applyFill="1" applyBorder="1"/>
    <xf numFmtId="0" fontId="3" fillId="0" borderId="0" xfId="0" applyFont="1" applyFill="1" applyBorder="1" applyAlignment="1">
      <alignment horizontal="left" indent="2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/>
    <xf numFmtId="0" fontId="3" fillId="0" borderId="0" xfId="0" applyFont="1" applyFill="1"/>
    <xf numFmtId="0" fontId="7" fillId="0" borderId="0" xfId="0" applyFont="1" applyFill="1"/>
    <xf numFmtId="0" fontId="5" fillId="0" borderId="0" xfId="0" applyFont="1" applyFill="1"/>
    <xf numFmtId="9" fontId="3" fillId="2" borderId="11" xfId="5" applyFont="1" applyFill="1" applyBorder="1"/>
    <xf numFmtId="164" fontId="4" fillId="0" borderId="0" xfId="1" applyNumberFormat="1" applyFont="1" applyAlignment="1">
      <alignment horizontal="right"/>
    </xf>
    <xf numFmtId="0" fontId="20" fillId="0" borderId="0" xfId="0" applyFont="1"/>
    <xf numFmtId="0" fontId="3" fillId="3" borderId="5" xfId="0" applyFont="1" applyFill="1" applyBorder="1" applyAlignment="1">
      <alignment horizontal="center" wrapText="1"/>
    </xf>
    <xf numFmtId="0" fontId="14" fillId="0" borderId="0" xfId="0" applyFont="1"/>
    <xf numFmtId="164" fontId="4" fillId="0" borderId="0" xfId="1" applyNumberFormat="1" applyFont="1" applyFill="1" applyAlignment="1">
      <alignment horizontal="right"/>
    </xf>
    <xf numFmtId="164" fontId="4" fillId="0" borderId="0" xfId="1" applyNumberFormat="1" applyFont="1" applyFill="1"/>
    <xf numFmtId="164" fontId="4" fillId="4" borderId="0" xfId="1" applyNumberFormat="1" applyFont="1" applyFill="1" applyBorder="1"/>
    <xf numFmtId="9" fontId="3" fillId="2" borderId="5" xfId="5" applyNumberFormat="1" applyFont="1" applyFill="1" applyBorder="1"/>
    <xf numFmtId="9" fontId="3" fillId="2" borderId="10" xfId="5" applyNumberFormat="1" applyFont="1" applyFill="1" applyBorder="1"/>
    <xf numFmtId="9" fontId="3" fillId="2" borderId="19" xfId="5" applyNumberFormat="1" applyFont="1" applyFill="1" applyBorder="1"/>
    <xf numFmtId="164" fontId="3" fillId="0" borderId="10" xfId="1" applyNumberFormat="1" applyFont="1" applyFill="1" applyBorder="1"/>
    <xf numFmtId="168" fontId="3" fillId="2" borderId="10" xfId="5" applyNumberFormat="1" applyFont="1" applyFill="1" applyBorder="1"/>
    <xf numFmtId="168" fontId="3" fillId="2" borderId="5" xfId="5" applyNumberFormat="1" applyFont="1" applyFill="1" applyBorder="1"/>
    <xf numFmtId="168" fontId="3" fillId="2" borderId="19" xfId="5" applyNumberFormat="1" applyFont="1" applyFill="1" applyBorder="1"/>
    <xf numFmtId="164" fontId="3" fillId="2" borderId="1" xfId="1" applyNumberFormat="1" applyFont="1" applyFill="1" applyBorder="1" applyAlignment="1"/>
    <xf numFmtId="164" fontId="3" fillId="2" borderId="5" xfId="1" applyNumberFormat="1" applyFont="1" applyFill="1" applyBorder="1" applyAlignment="1"/>
    <xf numFmtId="164" fontId="3" fillId="2" borderId="19" xfId="1" applyNumberFormat="1" applyFont="1" applyFill="1" applyBorder="1" applyAlignment="1"/>
    <xf numFmtId="164" fontId="3" fillId="2" borderId="12" xfId="1" applyNumberFormat="1" applyFont="1" applyFill="1" applyBorder="1" applyAlignment="1"/>
    <xf numFmtId="164" fontId="3" fillId="2" borderId="18" xfId="1" applyNumberFormat="1" applyFont="1" applyFill="1" applyBorder="1" applyAlignment="1"/>
    <xf numFmtId="164" fontId="4" fillId="0" borderId="0" xfId="0" applyNumberFormat="1" applyFont="1"/>
    <xf numFmtId="164" fontId="3" fillId="2" borderId="27" xfId="1" applyNumberFormat="1" applyFont="1" applyFill="1" applyBorder="1" applyAlignment="1">
      <alignment horizontal="center"/>
    </xf>
    <xf numFmtId="164" fontId="3" fillId="2" borderId="28" xfId="1" applyNumberFormat="1" applyFont="1" applyFill="1" applyBorder="1" applyAlignment="1">
      <alignment horizontal="center"/>
    </xf>
    <xf numFmtId="164" fontId="3" fillId="2" borderId="29" xfId="1" applyNumberFormat="1" applyFont="1" applyFill="1" applyBorder="1" applyAlignment="1">
      <alignment horizontal="center"/>
    </xf>
    <xf numFmtId="9" fontId="3" fillId="0" borderId="11" xfId="5" applyFont="1" applyBorder="1" applyAlignment="1">
      <alignment horizontal="center"/>
    </xf>
    <xf numFmtId="164" fontId="3" fillId="0" borderId="27" xfId="1" applyNumberFormat="1" applyFont="1" applyFill="1" applyBorder="1"/>
    <xf numFmtId="164" fontId="3" fillId="0" borderId="28" xfId="1" applyNumberFormat="1" applyFont="1" applyFill="1" applyBorder="1"/>
    <xf numFmtId="164" fontId="3" fillId="0" borderId="29" xfId="1" applyNumberFormat="1" applyFont="1" applyFill="1" applyBorder="1"/>
    <xf numFmtId="164" fontId="3" fillId="0" borderId="11" xfId="1" applyNumberFormat="1" applyFont="1" applyBorder="1"/>
    <xf numFmtId="164" fontId="3" fillId="0" borderId="18" xfId="1" applyNumberFormat="1" applyFont="1" applyFill="1" applyBorder="1"/>
    <xf numFmtId="164" fontId="3" fillId="0" borderId="28" xfId="1" applyNumberFormat="1" applyFont="1" applyFill="1" applyBorder="1" applyAlignment="1">
      <alignment horizontal="center"/>
    </xf>
    <xf numFmtId="164" fontId="3" fillId="0" borderId="29" xfId="1" applyNumberFormat="1" applyFont="1" applyFill="1" applyBorder="1" applyAlignment="1">
      <alignment horizontal="center"/>
    </xf>
    <xf numFmtId="164" fontId="3" fillId="0" borderId="5" xfId="1" applyNumberFormat="1" applyFont="1" applyFill="1" applyBorder="1" applyAlignment="1">
      <alignment horizontal="center" vertical="center"/>
    </xf>
    <xf numFmtId="164" fontId="3" fillId="0" borderId="19" xfId="1" applyNumberFormat="1" applyFont="1" applyFill="1" applyBorder="1" applyAlignment="1">
      <alignment horizontal="center" vertical="center"/>
    </xf>
    <xf numFmtId="164" fontId="3" fillId="2" borderId="27" xfId="1" applyNumberFormat="1" applyFont="1" applyFill="1" applyBorder="1"/>
    <xf numFmtId="164" fontId="3" fillId="7" borderId="28" xfId="1" applyNumberFormat="1" applyFont="1" applyFill="1" applyBorder="1"/>
    <xf numFmtId="164" fontId="3" fillId="7" borderId="29" xfId="1" applyNumberFormat="1" applyFont="1" applyFill="1" applyBorder="1"/>
    <xf numFmtId="164" fontId="3" fillId="0" borderId="32" xfId="1" applyNumberFormat="1" applyFont="1" applyBorder="1"/>
    <xf numFmtId="164" fontId="3" fillId="0" borderId="33" xfId="1" applyNumberFormat="1" applyFont="1" applyBorder="1"/>
    <xf numFmtId="164" fontId="3" fillId="0" borderId="30" xfId="1" applyNumberFormat="1" applyFont="1" applyBorder="1"/>
    <xf numFmtId="164" fontId="8" fillId="6" borderId="33" xfId="1" applyNumberFormat="1" applyFont="1" applyFill="1" applyBorder="1" applyAlignment="1">
      <alignment horizontal="center" vertical="center"/>
    </xf>
    <xf numFmtId="164" fontId="8" fillId="6" borderId="30" xfId="1" applyNumberFormat="1" applyFont="1" applyFill="1" applyBorder="1" applyAlignment="1">
      <alignment horizontal="center" vertical="center"/>
    </xf>
    <xf numFmtId="164" fontId="8" fillId="6" borderId="32" xfId="1" applyNumberFormat="1" applyFont="1" applyFill="1" applyBorder="1" applyAlignment="1">
      <alignment horizontal="center" vertical="center"/>
    </xf>
    <xf numFmtId="164" fontId="3" fillId="0" borderId="27" xfId="1" applyNumberFormat="1" applyFont="1" applyFill="1" applyBorder="1" applyAlignment="1">
      <alignment horizontal="center"/>
    </xf>
    <xf numFmtId="164" fontId="3" fillId="0" borderId="10" xfId="1" applyNumberFormat="1" applyFont="1" applyFill="1" applyBorder="1" applyAlignment="1">
      <alignment horizontal="center" vertical="center"/>
    </xf>
    <xf numFmtId="164" fontId="3" fillId="0" borderId="11" xfId="1" applyNumberFormat="1" applyFont="1" applyFill="1" applyBorder="1" applyAlignment="1">
      <alignment horizontal="center" vertical="center"/>
    </xf>
    <xf numFmtId="169" fontId="3" fillId="0" borderId="0" xfId="0" applyNumberFormat="1" applyFont="1"/>
    <xf numFmtId="169" fontId="4" fillId="0" borderId="0" xfId="0" applyNumberFormat="1" applyFont="1"/>
    <xf numFmtId="17" fontId="3" fillId="0" borderId="0" xfId="0" applyNumberFormat="1" applyFont="1"/>
    <xf numFmtId="169" fontId="3" fillId="0" borderId="0" xfId="0" applyNumberFormat="1" applyFont="1" applyBorder="1"/>
    <xf numFmtId="0" fontId="21" fillId="0" borderId="0" xfId="0" applyFont="1"/>
    <xf numFmtId="0" fontId="21" fillId="0" borderId="0" xfId="0" applyFont="1" applyAlignment="1">
      <alignment horizontal="center"/>
    </xf>
    <xf numFmtId="166" fontId="8" fillId="0" borderId="25" xfId="4" applyFont="1" applyBorder="1" applyAlignment="1">
      <alignment vertical="center" wrapText="1"/>
    </xf>
    <xf numFmtId="166" fontId="8" fillId="0" borderId="26" xfId="4" applyFont="1" applyBorder="1" applyAlignment="1">
      <alignment vertical="center" wrapText="1"/>
    </xf>
    <xf numFmtId="166" fontId="8" fillId="0" borderId="14" xfId="4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165" fontId="5" fillId="2" borderId="34" xfId="0" applyNumberFormat="1" applyFont="1" applyFill="1" applyBorder="1" applyAlignment="1">
      <alignment horizontal="center" vertical="center"/>
    </xf>
    <xf numFmtId="165" fontId="5" fillId="2" borderId="35" xfId="0" applyNumberFormat="1" applyFont="1" applyFill="1" applyBorder="1" applyAlignment="1">
      <alignment horizontal="center" vertical="center"/>
    </xf>
    <xf numFmtId="165" fontId="5" fillId="2" borderId="31" xfId="0" applyNumberFormat="1" applyFont="1" applyFill="1" applyBorder="1" applyAlignment="1">
      <alignment horizontal="center" vertical="center"/>
    </xf>
    <xf numFmtId="0" fontId="5" fillId="8" borderId="34" xfId="0" applyFont="1" applyFill="1" applyBorder="1" applyAlignment="1">
      <alignment horizontal="center"/>
    </xf>
    <xf numFmtId="0" fontId="5" fillId="8" borderId="35" xfId="0" applyFont="1" applyFill="1" applyBorder="1" applyAlignment="1">
      <alignment horizontal="center"/>
    </xf>
    <xf numFmtId="0" fontId="5" fillId="8" borderId="31" xfId="0" applyFont="1" applyFill="1" applyBorder="1" applyAlignment="1">
      <alignment horizontal="center"/>
    </xf>
  </cellXfs>
  <cellStyles count="7">
    <cellStyle name="Comma" xfId="1" builtinId="3"/>
    <cellStyle name="Comma 2" xfId="2"/>
    <cellStyle name="Normal" xfId="0" builtinId="0"/>
    <cellStyle name="Normal 2" xfId="3"/>
    <cellStyle name="Normal 3" xfId="6"/>
    <cellStyle name="Normal_Inputs PSM 14-9_TEMPLATE" xfId="4"/>
    <cellStyle name="Percent" xfId="5" builtinId="5"/>
  </cellStyles>
  <dxfs count="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"/>
  <sheetViews>
    <sheetView workbookViewId="0">
      <selection activeCell="G3" sqref="G3"/>
    </sheetView>
  </sheetViews>
  <sheetFormatPr defaultRowHeight="12.75" x14ac:dyDescent="0.2"/>
  <sheetData>
    <row r="2" spans="1:12" x14ac:dyDescent="0.2">
      <c r="H2" s="196" t="s">
        <v>180</v>
      </c>
      <c r="I2" s="196"/>
      <c r="J2" s="196"/>
      <c r="K2" s="196"/>
      <c r="L2" s="196"/>
    </row>
    <row r="7" spans="1:12" x14ac:dyDescent="0.2">
      <c r="C7" s="197"/>
      <c r="D7" s="197"/>
      <c r="E7" s="197"/>
      <c r="F7" s="197"/>
      <c r="G7" s="197"/>
    </row>
    <row r="8" spans="1:12" ht="30.75" x14ac:dyDescent="0.45">
      <c r="A8" s="150"/>
      <c r="B8" s="150"/>
      <c r="C8" s="150"/>
      <c r="D8" s="150" t="s">
        <v>166</v>
      </c>
      <c r="E8" s="150"/>
      <c r="F8" s="150"/>
    </row>
  </sheetData>
  <mergeCells count="1">
    <mergeCell ref="C7:G7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0"/>
  <sheetViews>
    <sheetView showGridLines="0" topLeftCell="A13" zoomScaleNormal="100" workbookViewId="0">
      <selection activeCell="D28" sqref="D28"/>
    </sheetView>
  </sheetViews>
  <sheetFormatPr defaultColWidth="9.140625" defaultRowHeight="12.75" x14ac:dyDescent="0.2"/>
  <cols>
    <col min="1" max="1" width="17.140625" style="75" customWidth="1"/>
    <col min="2" max="2" width="10.85546875" style="75" customWidth="1"/>
    <col min="3" max="3" width="25.140625" style="75" customWidth="1"/>
    <col min="4" max="4" width="13.42578125" style="75" customWidth="1"/>
    <col min="5" max="5" width="12.28515625" style="75" customWidth="1"/>
    <col min="6" max="6" width="40" style="75" customWidth="1"/>
    <col min="7" max="16384" width="9.140625" style="75"/>
  </cols>
  <sheetData>
    <row r="2" spans="1:6" ht="21" x14ac:dyDescent="0.35">
      <c r="A2" s="13" t="s">
        <v>102</v>
      </c>
    </row>
    <row r="3" spans="1:6" ht="15" x14ac:dyDescent="0.25">
      <c r="A3" s="1" t="s">
        <v>107</v>
      </c>
    </row>
    <row r="4" spans="1:6" ht="15" x14ac:dyDescent="0.25">
      <c r="A4" s="1" t="s">
        <v>104</v>
      </c>
    </row>
    <row r="5" spans="1:6" ht="15" x14ac:dyDescent="0.25">
      <c r="A5" s="1" t="s">
        <v>105</v>
      </c>
    </row>
    <row r="6" spans="1:6" ht="15" x14ac:dyDescent="0.25">
      <c r="A6" s="1" t="s">
        <v>103</v>
      </c>
    </row>
    <row r="7" spans="1:6" ht="15" x14ac:dyDescent="0.25">
      <c r="A7" s="1" t="s">
        <v>106</v>
      </c>
    </row>
    <row r="9" spans="1:6" ht="21" x14ac:dyDescent="0.35">
      <c r="A9" s="13" t="s">
        <v>143</v>
      </c>
    </row>
    <row r="11" spans="1:6" ht="30.75" customHeight="1" x14ac:dyDescent="0.2">
      <c r="A11" s="76" t="s">
        <v>65</v>
      </c>
      <c r="B11" s="76" t="s">
        <v>52</v>
      </c>
      <c r="C11" s="76" t="s">
        <v>53</v>
      </c>
      <c r="D11" s="76" t="s">
        <v>54</v>
      </c>
      <c r="E11" s="76" t="s">
        <v>55</v>
      </c>
      <c r="F11" s="76" t="s">
        <v>56</v>
      </c>
    </row>
    <row r="12" spans="1:6" ht="15" x14ac:dyDescent="0.2">
      <c r="A12" s="79" t="s">
        <v>164</v>
      </c>
      <c r="B12" s="78">
        <v>1</v>
      </c>
      <c r="C12" s="77" t="s">
        <v>59</v>
      </c>
      <c r="D12" s="79" t="s">
        <v>57</v>
      </c>
      <c r="E12" s="79" t="s">
        <v>117</v>
      </c>
      <c r="F12" s="77" t="s">
        <v>63</v>
      </c>
    </row>
    <row r="13" spans="1:6" ht="15" x14ac:dyDescent="0.2">
      <c r="A13" s="79" t="s">
        <v>164</v>
      </c>
      <c r="B13" s="78">
        <v>2</v>
      </c>
      <c r="C13" s="77" t="s">
        <v>60</v>
      </c>
      <c r="D13" s="79" t="s">
        <v>58</v>
      </c>
      <c r="E13" s="80" t="s">
        <v>118</v>
      </c>
      <c r="F13" s="77" t="s">
        <v>66</v>
      </c>
    </row>
    <row r="14" spans="1:6" ht="30" x14ac:dyDescent="0.2">
      <c r="A14" s="79"/>
      <c r="B14" s="78">
        <v>3</v>
      </c>
      <c r="C14" s="77" t="s">
        <v>61</v>
      </c>
      <c r="D14" s="79" t="s">
        <v>62</v>
      </c>
      <c r="E14" s="80" t="s">
        <v>119</v>
      </c>
      <c r="F14" s="77" t="s">
        <v>64</v>
      </c>
    </row>
    <row r="18" spans="1:6" ht="21" x14ac:dyDescent="0.35">
      <c r="A18" s="13" t="s">
        <v>101</v>
      </c>
    </row>
    <row r="20" spans="1:6" ht="31.5" x14ac:dyDescent="0.2">
      <c r="A20" s="76" t="s">
        <v>65</v>
      </c>
      <c r="B20" s="76" t="s">
        <v>52</v>
      </c>
      <c r="C20" s="76" t="s">
        <v>53</v>
      </c>
      <c r="D20" s="76" t="s">
        <v>54</v>
      </c>
      <c r="E20" s="76" t="s">
        <v>55</v>
      </c>
      <c r="F20" s="76" t="s">
        <v>56</v>
      </c>
    </row>
    <row r="21" spans="1:6" ht="27" customHeight="1" x14ac:dyDescent="0.2">
      <c r="A21" s="198" t="s">
        <v>167</v>
      </c>
      <c r="B21" s="199"/>
      <c r="C21" s="199"/>
      <c r="D21" s="199"/>
      <c r="E21" s="199"/>
      <c r="F21" s="200"/>
    </row>
    <row r="22" spans="1:6" ht="30" x14ac:dyDescent="0.2">
      <c r="A22" s="79" t="s">
        <v>164</v>
      </c>
      <c r="B22" s="78">
        <v>1</v>
      </c>
      <c r="C22" s="77" t="s">
        <v>68</v>
      </c>
      <c r="D22" s="79" t="s">
        <v>57</v>
      </c>
      <c r="E22" s="79" t="s">
        <v>69</v>
      </c>
      <c r="F22" s="77" t="s">
        <v>70</v>
      </c>
    </row>
    <row r="23" spans="1:6" ht="30" x14ac:dyDescent="0.2">
      <c r="A23" s="79" t="s">
        <v>164</v>
      </c>
      <c r="B23" s="78">
        <f>B22+1</f>
        <v>2</v>
      </c>
      <c r="C23" s="77" t="s">
        <v>71</v>
      </c>
      <c r="D23" s="79" t="s">
        <v>57</v>
      </c>
      <c r="E23" s="80" t="s">
        <v>72</v>
      </c>
      <c r="F23" s="77" t="s">
        <v>73</v>
      </c>
    </row>
    <row r="24" spans="1:6" ht="30" x14ac:dyDescent="0.2">
      <c r="A24" s="79" t="s">
        <v>164</v>
      </c>
      <c r="B24" s="78">
        <f>B23+1</f>
        <v>3</v>
      </c>
      <c r="C24" s="77" t="s">
        <v>135</v>
      </c>
      <c r="D24" s="79" t="s">
        <v>75</v>
      </c>
      <c r="E24" s="80" t="s">
        <v>76</v>
      </c>
      <c r="F24" s="77" t="s">
        <v>137</v>
      </c>
    </row>
    <row r="25" spans="1:6" ht="60" x14ac:dyDescent="0.2">
      <c r="A25" s="79" t="s">
        <v>164</v>
      </c>
      <c r="B25" s="78">
        <f>B24+1</f>
        <v>4</v>
      </c>
      <c r="C25" s="77" t="s">
        <v>74</v>
      </c>
      <c r="D25" s="79" t="s">
        <v>75</v>
      </c>
      <c r="E25" s="80" t="s">
        <v>77</v>
      </c>
      <c r="F25" s="77" t="s">
        <v>78</v>
      </c>
    </row>
    <row r="26" spans="1:6" ht="45" x14ac:dyDescent="0.2">
      <c r="A26" s="79" t="s">
        <v>164</v>
      </c>
      <c r="B26" s="78">
        <f>B25+1</f>
        <v>5</v>
      </c>
      <c r="C26" s="77" t="s">
        <v>96</v>
      </c>
      <c r="D26" s="79" t="s">
        <v>75</v>
      </c>
      <c r="E26" s="79" t="s">
        <v>136</v>
      </c>
      <c r="F26" s="77" t="s">
        <v>79</v>
      </c>
    </row>
    <row r="27" spans="1:6" ht="15" x14ac:dyDescent="0.2">
      <c r="A27" s="116"/>
      <c r="B27" s="117"/>
      <c r="C27" s="118"/>
      <c r="D27" s="116"/>
      <c r="E27" s="116"/>
      <c r="F27" s="118"/>
    </row>
    <row r="28" spans="1:6" ht="31.5" x14ac:dyDescent="0.2">
      <c r="A28" s="76" t="s">
        <v>65</v>
      </c>
      <c r="B28" s="76" t="s">
        <v>52</v>
      </c>
      <c r="C28" s="76" t="s">
        <v>53</v>
      </c>
      <c r="D28" s="76" t="s">
        <v>54</v>
      </c>
      <c r="E28" s="76" t="s">
        <v>55</v>
      </c>
      <c r="F28" s="76" t="s">
        <v>56</v>
      </c>
    </row>
    <row r="29" spans="1:6" ht="48.75" customHeight="1" x14ac:dyDescent="0.2">
      <c r="A29" s="198" t="s">
        <v>144</v>
      </c>
      <c r="B29" s="199"/>
      <c r="C29" s="199"/>
      <c r="D29" s="199"/>
      <c r="E29" s="199"/>
      <c r="F29" s="200"/>
    </row>
    <row r="30" spans="1:6" ht="30" x14ac:dyDescent="0.2">
      <c r="A30" s="79"/>
      <c r="B30" s="78">
        <f>B26+1</f>
        <v>6</v>
      </c>
      <c r="C30" s="77" t="s">
        <v>80</v>
      </c>
      <c r="D30" s="79" t="s">
        <v>81</v>
      </c>
      <c r="E30" s="79" t="s">
        <v>83</v>
      </c>
      <c r="F30" s="77" t="s">
        <v>100</v>
      </c>
    </row>
    <row r="31" spans="1:6" ht="30" x14ac:dyDescent="0.2">
      <c r="A31" s="79"/>
      <c r="B31" s="78">
        <f t="shared" ref="B31:B40" si="0">B30+1</f>
        <v>7</v>
      </c>
      <c r="C31" s="77" t="s">
        <v>82</v>
      </c>
      <c r="D31" s="79" t="s">
        <v>85</v>
      </c>
      <c r="E31" s="79" t="s">
        <v>111</v>
      </c>
      <c r="F31" s="77" t="s">
        <v>99</v>
      </c>
    </row>
    <row r="32" spans="1:6" ht="60" x14ac:dyDescent="0.2">
      <c r="A32" s="79"/>
      <c r="B32" s="78">
        <f t="shared" si="0"/>
        <v>8</v>
      </c>
      <c r="C32" s="77" t="s">
        <v>86</v>
      </c>
      <c r="D32" s="79" t="s">
        <v>85</v>
      </c>
      <c r="E32" s="79" t="s">
        <v>112</v>
      </c>
      <c r="F32" s="77" t="s">
        <v>98</v>
      </c>
    </row>
    <row r="33" spans="1:6" ht="45" x14ac:dyDescent="0.2">
      <c r="A33" s="79"/>
      <c r="B33" s="78">
        <f t="shared" si="0"/>
        <v>9</v>
      </c>
      <c r="C33" s="77" t="s">
        <v>84</v>
      </c>
      <c r="D33" s="79" t="s">
        <v>81</v>
      </c>
      <c r="E33" s="79" t="s">
        <v>121</v>
      </c>
      <c r="F33" s="77" t="s">
        <v>108</v>
      </c>
    </row>
    <row r="34" spans="1:6" ht="30" x14ac:dyDescent="0.2">
      <c r="A34" s="79"/>
      <c r="B34" s="78">
        <f t="shared" si="0"/>
        <v>10</v>
      </c>
      <c r="C34" s="77" t="s">
        <v>43</v>
      </c>
      <c r="D34" s="79" t="s">
        <v>81</v>
      </c>
      <c r="E34" s="79" t="s">
        <v>87</v>
      </c>
      <c r="F34" s="77" t="s">
        <v>97</v>
      </c>
    </row>
    <row r="35" spans="1:6" ht="30" x14ac:dyDescent="0.2">
      <c r="A35" s="79"/>
      <c r="B35" s="78">
        <f t="shared" si="0"/>
        <v>11</v>
      </c>
      <c r="C35" s="77" t="s">
        <v>109</v>
      </c>
      <c r="D35" s="79" t="s">
        <v>81</v>
      </c>
      <c r="E35" s="79" t="s">
        <v>113</v>
      </c>
      <c r="F35" s="85" t="s">
        <v>116</v>
      </c>
    </row>
    <row r="36" spans="1:6" ht="30" x14ac:dyDescent="0.2">
      <c r="A36" s="79"/>
      <c r="B36" s="78">
        <f t="shared" si="0"/>
        <v>12</v>
      </c>
      <c r="C36" s="77" t="s">
        <v>88</v>
      </c>
      <c r="D36" s="79" t="s">
        <v>81</v>
      </c>
      <c r="E36" s="79" t="s">
        <v>122</v>
      </c>
      <c r="F36" s="77" t="s">
        <v>92</v>
      </c>
    </row>
    <row r="37" spans="1:6" ht="30" x14ac:dyDescent="0.2">
      <c r="A37" s="79"/>
      <c r="B37" s="78">
        <f t="shared" si="0"/>
        <v>13</v>
      </c>
      <c r="C37" s="77" t="s">
        <v>89</v>
      </c>
      <c r="D37" s="79" t="s">
        <v>81</v>
      </c>
      <c r="E37" s="79" t="s">
        <v>123</v>
      </c>
      <c r="F37" s="77" t="s">
        <v>93</v>
      </c>
    </row>
    <row r="38" spans="1:6" ht="30" x14ac:dyDescent="0.2">
      <c r="A38" s="79"/>
      <c r="B38" s="78">
        <f t="shared" si="0"/>
        <v>14</v>
      </c>
      <c r="C38" s="77" t="s">
        <v>90</v>
      </c>
      <c r="D38" s="79" t="s">
        <v>81</v>
      </c>
      <c r="E38" s="79" t="s">
        <v>114</v>
      </c>
      <c r="F38" s="77" t="s">
        <v>94</v>
      </c>
    </row>
    <row r="39" spans="1:6" ht="30" x14ac:dyDescent="0.2">
      <c r="A39" s="79"/>
      <c r="B39" s="78">
        <f t="shared" si="0"/>
        <v>15</v>
      </c>
      <c r="C39" s="77" t="s">
        <v>91</v>
      </c>
      <c r="D39" s="79" t="s">
        <v>81</v>
      </c>
      <c r="E39" s="79" t="s">
        <v>124</v>
      </c>
      <c r="F39" s="77" t="s">
        <v>95</v>
      </c>
    </row>
    <row r="40" spans="1:6" ht="45" x14ac:dyDescent="0.2">
      <c r="A40" s="79"/>
      <c r="B40" s="78">
        <f t="shared" si="0"/>
        <v>16</v>
      </c>
      <c r="C40" s="77" t="s">
        <v>32</v>
      </c>
      <c r="D40" s="79" t="s">
        <v>81</v>
      </c>
      <c r="E40" s="79" t="s">
        <v>125</v>
      </c>
      <c r="F40" s="85" t="s">
        <v>115</v>
      </c>
    </row>
  </sheetData>
  <mergeCells count="2">
    <mergeCell ref="A29:F29"/>
    <mergeCell ref="A21:F21"/>
  </mergeCells>
  <phoneticPr fontId="6" type="noConversion"/>
  <conditionalFormatting sqref="A12:A14 A21:A27 A29:A40">
    <cfRule type="cellIs" dxfId="4" priority="1" stopIfTrue="1" operator="equal">
      <formula>"X"</formula>
    </cfRule>
    <cfRule type="cellIs" dxfId="3" priority="2" stopIfTrue="1" operator="equal">
      <formula>"x"</formula>
    </cfRule>
  </conditionalFormatting>
  <pageMargins left="0.75" right="0.75" top="1" bottom="1" header="0.5" footer="0.5"/>
  <pageSetup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4"/>
  </sheetPr>
  <dimension ref="A2:J44"/>
  <sheetViews>
    <sheetView showGridLines="0" topLeftCell="A70" zoomScale="75" zoomScaleNormal="75" zoomScaleSheetLayoutView="115" workbookViewId="0">
      <selection activeCell="C43" sqref="C43"/>
    </sheetView>
  </sheetViews>
  <sheetFormatPr defaultColWidth="12.140625" defaultRowHeight="15" x14ac:dyDescent="0.25"/>
  <cols>
    <col min="1" max="1" width="64.140625" style="1" customWidth="1"/>
    <col min="2" max="6" width="18.42578125" style="1" customWidth="1"/>
    <col min="7" max="7" width="16.5703125" style="1" customWidth="1"/>
    <col min="8" max="8" width="3.28515625" style="1" customWidth="1"/>
    <col min="9" max="16384" width="12.140625" style="1"/>
  </cols>
  <sheetData>
    <row r="2" spans="1:10" ht="21" x14ac:dyDescent="0.35">
      <c r="A2" s="13" t="s">
        <v>3</v>
      </c>
      <c r="C2" s="205" t="s">
        <v>177</v>
      </c>
      <c r="D2" s="206"/>
      <c r="E2" s="207"/>
    </row>
    <row r="4" spans="1:10" ht="18.75" x14ac:dyDescent="0.3">
      <c r="A4" s="9" t="s">
        <v>5</v>
      </c>
      <c r="C4" s="202">
        <v>42887</v>
      </c>
      <c r="D4" s="203"/>
      <c r="E4" s="204"/>
    </row>
    <row r="6" spans="1:10" ht="18.75" x14ac:dyDescent="0.3">
      <c r="A6" s="9" t="s">
        <v>38</v>
      </c>
      <c r="B6" s="2">
        <f>'Facility Detail'!$B$1155</f>
        <v>2013</v>
      </c>
      <c r="C6" s="2">
        <f>B6+1</f>
        <v>2014</v>
      </c>
      <c r="D6" s="2">
        <f>C6+1</f>
        <v>2015</v>
      </c>
      <c r="E6" s="139">
        <f>D6+1</f>
        <v>2016</v>
      </c>
      <c r="F6" s="139">
        <f>E6+1</f>
        <v>2017</v>
      </c>
      <c r="I6" s="21"/>
      <c r="J6" s="21"/>
    </row>
    <row r="7" spans="1:10" x14ac:dyDescent="0.25">
      <c r="A7" s="74" t="s">
        <v>31</v>
      </c>
      <c r="B7" s="167">
        <v>21208608</v>
      </c>
      <c r="C7" s="168">
        <v>20568949</v>
      </c>
      <c r="D7" s="168">
        <v>20509764</v>
      </c>
      <c r="E7" s="168">
        <v>20448423</v>
      </c>
      <c r="F7" s="169" t="s">
        <v>176</v>
      </c>
      <c r="H7" s="14"/>
      <c r="I7" s="14"/>
      <c r="J7" s="14"/>
    </row>
    <row r="8" spans="1:10" x14ac:dyDescent="0.25">
      <c r="A8" s="74" t="s">
        <v>9</v>
      </c>
      <c r="B8" s="170">
        <v>0.03</v>
      </c>
      <c r="C8" s="86">
        <v>0.03</v>
      </c>
      <c r="D8" s="86">
        <v>0.03</v>
      </c>
      <c r="E8" s="86">
        <v>0.09</v>
      </c>
      <c r="F8" s="87">
        <v>0.09</v>
      </c>
      <c r="G8" s="22"/>
      <c r="H8" s="22"/>
      <c r="I8" s="22"/>
      <c r="J8" s="22"/>
    </row>
    <row r="9" spans="1:10" x14ac:dyDescent="0.25">
      <c r="A9" s="67" t="s">
        <v>7</v>
      </c>
      <c r="B9" s="89"/>
      <c r="C9" s="88">
        <v>635202</v>
      </c>
      <c r="D9" s="88">
        <f xml:space="preserve"> IF( SUM(B7:C7) = 0, 0, AVERAGE(B7:C7) * D8 )</f>
        <v>626663.35499999998</v>
      </c>
      <c r="E9" s="89">
        <f xml:space="preserve"> IF( SUM(C7:D7) = 0, 0, AVERAGE(C7:D7) * E8 )</f>
        <v>1848542.085</v>
      </c>
      <c r="F9" s="89">
        <f xml:space="preserve"> IF( SUM(D7:E7) = 0, 0, AVERAGE(D7:E7) * F8 )</f>
        <v>1843118.415</v>
      </c>
      <c r="G9" s="22"/>
      <c r="H9" s="22"/>
      <c r="I9" s="22"/>
      <c r="J9" s="22"/>
    </row>
    <row r="10" spans="1:10" x14ac:dyDescent="0.25">
      <c r="G10" s="23"/>
      <c r="H10" s="23"/>
      <c r="I10" s="23"/>
      <c r="J10" s="23"/>
    </row>
    <row r="11" spans="1:10" ht="18.75" x14ac:dyDescent="0.3">
      <c r="A11" s="9" t="s">
        <v>39</v>
      </c>
      <c r="B11" s="2">
        <f>'Facility Detail'!$B$1155</f>
        <v>2013</v>
      </c>
      <c r="C11" s="2" t="str">
        <f>B11+1 &amp; "*"</f>
        <v>2014*</v>
      </c>
      <c r="D11" s="2" t="str">
        <f>B11+2 &amp; "*"</f>
        <v>2015*</v>
      </c>
      <c r="E11" s="2">
        <f>B11+3</f>
        <v>2016</v>
      </c>
      <c r="F11" s="2">
        <f>B11+4</f>
        <v>2017</v>
      </c>
      <c r="G11" s="23"/>
      <c r="H11" s="23"/>
      <c r="I11" s="23"/>
      <c r="J11" s="23"/>
    </row>
    <row r="12" spans="1:10" x14ac:dyDescent="0.25">
      <c r="A12" s="74" t="s">
        <v>51</v>
      </c>
      <c r="B12" s="171">
        <f>SUMIFS('Facility Detail'!D:D,'Facility Detail'!$B:$B,"Eligible MWh Available for RCW 19.285 Compliance")</f>
        <v>2019929</v>
      </c>
      <c r="C12" s="172">
        <f>SUMIFS('Facility Detail'!E:E,'Facility Detail'!$B:$B,"Eligible MWh Available for RCW 19.285 Compliance")</f>
        <v>2156020.6799999997</v>
      </c>
      <c r="D12" s="172">
        <f>SUMIFS('Facility Detail'!F:F,'Facility Detail'!$B:$B,"Eligible MWh Available for RCW 19.285 Compliance")</f>
        <v>1931010.9479999999</v>
      </c>
      <c r="E12" s="172">
        <f>SUMIFS('Facility Detail'!G:G,'Facility Detail'!$B:$B,"Eligible MWh Available for RCW 19.285 Compliance")</f>
        <v>2205548.3790000002</v>
      </c>
      <c r="F12" s="173">
        <f>SUMIFS('Facility Detail'!H:H,'Facility Detail'!$B:$B,"Eligible MWh Available for RCW 19.285 Compliance")</f>
        <v>202579.95799999998</v>
      </c>
      <c r="G12" s="24"/>
      <c r="H12" s="24"/>
      <c r="I12" s="24"/>
      <c r="J12" s="24"/>
    </row>
    <row r="13" spans="1:10" x14ac:dyDescent="0.25">
      <c r="A13" s="74" t="s">
        <v>142</v>
      </c>
      <c r="B13" s="174">
        <f>SUMIFS('Facility Detail'!D:D,'Facility Detail'!$B:$B,"Total Quantity from Non REC Eligible Generation")</f>
        <v>184566.60000000003</v>
      </c>
      <c r="C13" s="56">
        <f>SUMIFS('Facility Detail'!E:E,'Facility Detail'!$B:$B,"Total Quantity from Non REC Eligible Generation")</f>
        <v>196970.40000000002</v>
      </c>
      <c r="D13" s="61">
        <f>SUMIFS('Facility Detail'!F:F,'Facility Detail'!$B:$B,"Total Quantity from Non REC Eligible Generation")</f>
        <v>166885.6</v>
      </c>
      <c r="E13" s="61">
        <f>SUMIFS('Facility Detail'!G:G,'Facility Detail'!$B:$B,"Total Quantity from Non REC Eligible Generation")</f>
        <v>195474.6</v>
      </c>
      <c r="F13" s="175">
        <f>SUMIFS('Facility Detail'!H:H,'Facility Detail'!$B:$B,"Total Quantity from Non REC Eligible Generation")</f>
        <v>5159.6000000000004</v>
      </c>
      <c r="G13" s="24"/>
      <c r="H13" s="24"/>
      <c r="I13" s="24"/>
      <c r="J13" s="24"/>
    </row>
    <row r="14" spans="1:10" x14ac:dyDescent="0.25">
      <c r="A14" s="67" t="s">
        <v>44</v>
      </c>
      <c r="B14" s="50">
        <f>SUM(B12:B13)</f>
        <v>2204495.6</v>
      </c>
      <c r="C14" s="50">
        <f>SUM(C12:C13)</f>
        <v>2352991.0799999996</v>
      </c>
      <c r="D14" s="50">
        <f>SUM(D12:D13)</f>
        <v>2097896.548</v>
      </c>
      <c r="E14" s="50">
        <f>SUM(E12:E13)</f>
        <v>2401022.9790000003</v>
      </c>
      <c r="F14" s="50">
        <f>SUM(F12:F13)</f>
        <v>207739.55799999999</v>
      </c>
      <c r="G14" s="24"/>
      <c r="H14" s="24"/>
      <c r="I14" s="24"/>
      <c r="J14" s="24"/>
    </row>
    <row r="15" spans="1:10" x14ac:dyDescent="0.25">
      <c r="A15" s="6"/>
      <c r="B15" s="50"/>
      <c r="C15" s="50"/>
      <c r="D15" s="50"/>
      <c r="E15" s="50"/>
      <c r="F15" s="50"/>
      <c r="G15" s="24"/>
      <c r="H15" s="24"/>
      <c r="I15" s="24"/>
      <c r="J15" s="24"/>
    </row>
    <row r="16" spans="1:10" ht="18.75" x14ac:dyDescent="0.3">
      <c r="A16" s="45" t="s">
        <v>36</v>
      </c>
      <c r="B16" s="2">
        <f>'Facility Detail'!$B$1155</f>
        <v>2013</v>
      </c>
      <c r="C16" s="2">
        <f>B16+1</f>
        <v>2014</v>
      </c>
      <c r="D16" s="2">
        <f>C16+1</f>
        <v>2015</v>
      </c>
      <c r="E16" s="2">
        <f>D16+1</f>
        <v>2016</v>
      </c>
      <c r="F16" s="2">
        <f>E16+1</f>
        <v>2017</v>
      </c>
      <c r="G16" s="24"/>
      <c r="H16" s="24"/>
      <c r="I16" s="24"/>
      <c r="J16" s="24"/>
    </row>
    <row r="17" spans="1:10" x14ac:dyDescent="0.25">
      <c r="A17" s="93" t="str">
        <f>'Facility Detail'!B51</f>
        <v>Quantity of RECs Sold</v>
      </c>
      <c r="B17" s="189">
        <f>-SUMIFS('Facility Detail'!D:D,'Facility Detail'!$B:$B,$A17)</f>
        <v>-879430</v>
      </c>
      <c r="C17" s="176">
        <f>-SUMIFS('Facility Detail'!E:E,'Facility Detail'!$B:$B,$A17)</f>
        <v>-1616355</v>
      </c>
      <c r="D17" s="176">
        <f>-SUMIFS('Facility Detail'!F:F,'Facility Detail'!$B:$B,$A17)</f>
        <v>-238199</v>
      </c>
      <c r="E17" s="176">
        <f>-SUMIFS('Facility Detail'!G:G,'Facility Detail'!$B:$B,$A17)</f>
        <v>0</v>
      </c>
      <c r="F17" s="177">
        <f>-SUMIFS('Facility Detail'!H:H,'Facility Detail'!$B:$B,$A17)</f>
        <v>0</v>
      </c>
      <c r="G17" s="14"/>
      <c r="H17" s="14"/>
      <c r="I17" s="14"/>
      <c r="J17" s="14"/>
    </row>
    <row r="18" spans="1:10" x14ac:dyDescent="0.25">
      <c r="A18" s="84" t="str">
        <f>'Facility Detail'!B52</f>
        <v>Bonus Incentives Transferred</v>
      </c>
      <c r="B18" s="190">
        <f>-SUMIFS('Facility Detail'!D:D,'Facility Detail'!$B:$B,$A18)</f>
        <v>0</v>
      </c>
      <c r="C18" s="178">
        <f>-SUMIFS('Facility Detail'!E:E,'Facility Detail'!$B:$B,$A18)</f>
        <v>0</v>
      </c>
      <c r="D18" s="178">
        <f>-SUMIFS('Facility Detail'!F:F,'Facility Detail'!$B:$B,$A18)</f>
        <v>0</v>
      </c>
      <c r="E18" s="178">
        <f>-SUMIFS('Facility Detail'!G:G,'Facility Detail'!$B:$B,$A18)</f>
        <v>0</v>
      </c>
      <c r="F18" s="179">
        <f>-SUMIFS('Facility Detail'!H:H,'Facility Detail'!$B:$B,$A18)</f>
        <v>0</v>
      </c>
      <c r="G18" s="14"/>
      <c r="H18" s="14"/>
      <c r="I18" s="14"/>
      <c r="J18" s="14"/>
    </row>
    <row r="19" spans="1:10" x14ac:dyDescent="0.25">
      <c r="A19" s="84" t="str">
        <f>'Facility Detail'!B53</f>
        <v>Bonus Incentives Not Realized</v>
      </c>
      <c r="B19" s="191">
        <f>-SUMIFS('Facility Detail'!D:D,'Facility Detail'!$B:$B,$A19)</f>
        <v>-78269.400000000009</v>
      </c>
      <c r="C19" s="63">
        <f>-SUMIFS('Facility Detail'!E:E,'Facility Detail'!$B:$B,$A19)</f>
        <v>-99710.200000000012</v>
      </c>
      <c r="D19" s="63">
        <f>-SUMIFS('Facility Detail'!F:F,'Facility Detail'!$B:$B,$A19)</f>
        <v>-4546.3999999999996</v>
      </c>
      <c r="E19" s="63">
        <f>-SUMIFS('Facility Detail'!G:G,'Facility Detail'!$B:$B,$A19)</f>
        <v>0</v>
      </c>
      <c r="F19" s="64">
        <f>-SUMIFS('Facility Detail'!H:H,'Facility Detail'!$B:$B,$A19)</f>
        <v>0</v>
      </c>
      <c r="G19" s="14"/>
      <c r="H19" s="14"/>
      <c r="I19" s="14"/>
      <c r="J19" s="14"/>
    </row>
    <row r="20" spans="1:10" x14ac:dyDescent="0.25">
      <c r="A20" s="67" t="str">
        <f>'Facility Detail'!B54</f>
        <v>Total Sold / Transferred / Unrealized</v>
      </c>
      <c r="B20" s="19">
        <f>SUM(B17:B19)</f>
        <v>-957699.4</v>
      </c>
      <c r="C20" s="19">
        <f>SUM(C17:C19)</f>
        <v>-1716065.2</v>
      </c>
      <c r="D20" s="19">
        <f>SUM(D17:D19)</f>
        <v>-242745.4</v>
      </c>
      <c r="E20" s="19">
        <f>SUM(E17:E19)</f>
        <v>0</v>
      </c>
      <c r="F20" s="19">
        <f>SUM(F17:F19)</f>
        <v>0</v>
      </c>
      <c r="G20" s="19"/>
      <c r="H20" s="19"/>
      <c r="I20" s="19"/>
      <c r="J20" s="19"/>
    </row>
    <row r="21" spans="1:10" x14ac:dyDescent="0.25">
      <c r="B21" s="14"/>
      <c r="C21" s="14"/>
      <c r="D21" s="14"/>
      <c r="E21" s="14"/>
      <c r="F21" s="14"/>
      <c r="G21" s="14"/>
      <c r="H21" s="14"/>
      <c r="I21" s="14"/>
      <c r="J21" s="14"/>
    </row>
    <row r="22" spans="1:10" ht="18.75" x14ac:dyDescent="0.3">
      <c r="A22" s="9" t="s">
        <v>120</v>
      </c>
      <c r="B22" s="2">
        <f>'Facility Detail'!$B$1155</f>
        <v>2013</v>
      </c>
      <c r="C22" s="2">
        <f>B22+1</f>
        <v>2014</v>
      </c>
      <c r="D22" s="2">
        <f>C22+1</f>
        <v>2015</v>
      </c>
      <c r="E22" s="2">
        <f>D22+1</f>
        <v>2016</v>
      </c>
      <c r="F22" s="2">
        <f>E22+1</f>
        <v>2017</v>
      </c>
      <c r="G22" s="14"/>
      <c r="H22" s="14"/>
      <c r="I22" s="14"/>
      <c r="J22" s="14"/>
    </row>
    <row r="23" spans="1:10" x14ac:dyDescent="0.25">
      <c r="A23" s="93" t="str">
        <f xml:space="preserve"> 'Facility Detail'!$B$1155 &amp; " Surplus Applied to " &amp; ( 'Facility Detail'!$B$1155 + 1 )</f>
        <v>2013 Surplus Applied to 2014</v>
      </c>
      <c r="B23" s="180">
        <f>-SUMIFS('Facility Detail'!D:D,'Facility Detail'!$B:$B,$A23)</f>
        <v>-1246796.2000000002</v>
      </c>
      <c r="C23" s="172">
        <f>SUMIFS('Facility Detail'!E:E,'Facility Detail'!$B:$B,$A23)</f>
        <v>1246796.2000000002</v>
      </c>
      <c r="D23" s="181"/>
      <c r="E23" s="181"/>
      <c r="F23" s="182"/>
      <c r="G23" s="14"/>
      <c r="H23" s="14"/>
      <c r="I23" s="14"/>
      <c r="J23" s="14"/>
    </row>
    <row r="24" spans="1:10" x14ac:dyDescent="0.25">
      <c r="A24" s="93" t="str">
        <f xml:space="preserve"> ( 'Facility Detail'!$B$1155 + 1 ) &amp; " Surplus Applied to " &amp; ( 'Facility Detail'!$B$1155 )</f>
        <v>2014 Surplus Applied to 2013</v>
      </c>
      <c r="B24" s="157">
        <f>SUMIFS('Facility Detail'!D:D,'Facility Detail'!$B:$B,$A24)</f>
        <v>0</v>
      </c>
      <c r="C24" s="10">
        <f>-SUMIFS('Facility Detail'!E:E,'Facility Detail'!$B:$B,$A24)</f>
        <v>0</v>
      </c>
      <c r="D24" s="131"/>
      <c r="E24" s="131"/>
      <c r="F24" s="137"/>
      <c r="G24" s="14"/>
      <c r="H24" s="14"/>
      <c r="I24" s="14"/>
      <c r="J24" s="14"/>
    </row>
    <row r="25" spans="1:10" x14ac:dyDescent="0.25">
      <c r="A25" s="93" t="str">
        <f xml:space="preserve"> ( 'Facility Detail'!$B$1155 + 1 ) &amp; " Surplus Applied to " &amp; ( 'Facility Detail'!$B$1155 + 2 )</f>
        <v>2014 Surplus Applied to 2015</v>
      </c>
      <c r="B25" s="132"/>
      <c r="C25" s="10">
        <f>-SUMIFS('Facility Detail'!E:E,'Facility Detail'!$B:$B,$A25)</f>
        <v>-588088.19999999995</v>
      </c>
      <c r="D25" s="65">
        <f>SUMIFS('Facility Detail'!F:F,'Facility Detail'!$B:$B,$A25)</f>
        <v>588088.19999999995</v>
      </c>
      <c r="E25" s="131"/>
      <c r="F25" s="137"/>
      <c r="G25" s="14"/>
      <c r="H25" s="14"/>
      <c r="I25" s="14"/>
      <c r="J25" s="14"/>
    </row>
    <row r="26" spans="1:10" x14ac:dyDescent="0.25">
      <c r="A26" s="93" t="str">
        <f xml:space="preserve"> ( 'Facility Detail'!$B$1155 + 2 ) &amp; " Surplus Applied to " &amp; ( 'Facility Detail'!$B$1155 + 1 )</f>
        <v>2015 Surplus Applied to 2014</v>
      </c>
      <c r="B26" s="132"/>
      <c r="C26" s="65">
        <f>SUMIFS('Facility Detail'!E:E,'Facility Detail'!$B:$B,$A26)</f>
        <v>0</v>
      </c>
      <c r="D26" s="10">
        <f>-SUMIFS('Facility Detail'!F:F,'Facility Detail'!$B:$B,$A26)</f>
        <v>0</v>
      </c>
      <c r="E26" s="131"/>
      <c r="F26" s="137"/>
      <c r="G26" s="14"/>
      <c r="H26" s="14"/>
      <c r="I26" s="14"/>
      <c r="J26" s="14"/>
    </row>
    <row r="27" spans="1:10" x14ac:dyDescent="0.25">
      <c r="A27" s="138" t="s">
        <v>170</v>
      </c>
      <c r="B27" s="132"/>
      <c r="C27" s="131"/>
      <c r="D27" s="10">
        <f>-SUMIFS('Facility Detail'!F:F,'Facility Detail'!$B:$B,$A27)</f>
        <v>-1757710.2000000002</v>
      </c>
      <c r="E27" s="65">
        <f>SUMIFS('Facility Detail'!G:G,'Facility Detail'!$B:$B,$A27)</f>
        <v>1757710.2000000002</v>
      </c>
      <c r="F27" s="137"/>
      <c r="G27" s="14"/>
      <c r="H27" s="14"/>
      <c r="I27" s="14"/>
      <c r="J27" s="14"/>
    </row>
    <row r="28" spans="1:10" x14ac:dyDescent="0.25">
      <c r="A28" s="138" t="s">
        <v>171</v>
      </c>
      <c r="B28" s="132"/>
      <c r="C28" s="131"/>
      <c r="D28" s="65">
        <f>SUMIFS('Facility Detail'!F:F,'Facility Detail'!$B:$B,$A28)</f>
        <v>0</v>
      </c>
      <c r="E28" s="10">
        <f>-SUMIFS('Facility Detail'!G:G,'Facility Detail'!$B:$B,$A28)</f>
        <v>0</v>
      </c>
      <c r="F28" s="137"/>
      <c r="G28" s="14"/>
      <c r="H28" s="14"/>
      <c r="I28" s="14"/>
      <c r="J28" s="14"/>
    </row>
    <row r="29" spans="1:10" x14ac:dyDescent="0.25">
      <c r="A29" s="138" t="s">
        <v>172</v>
      </c>
      <c r="B29" s="132"/>
      <c r="C29" s="131"/>
      <c r="D29" s="131"/>
      <c r="E29" s="10">
        <f>-SUMIFS('Facility Detail'!G:G,'Facility Detail'!$B:$B,$A29)</f>
        <v>-2281998.6</v>
      </c>
      <c r="F29" s="60">
        <f>SUMIFS('Facility Detail'!H:H,'Facility Detail'!$B:$B,$A29)</f>
        <v>2281998.6</v>
      </c>
      <c r="G29" s="14"/>
      <c r="H29" s="14"/>
      <c r="I29" s="14"/>
      <c r="J29" s="14"/>
    </row>
    <row r="30" spans="1:10" x14ac:dyDescent="0.25">
      <c r="A30" s="138" t="s">
        <v>173</v>
      </c>
      <c r="B30" s="133"/>
      <c r="C30" s="134"/>
      <c r="D30" s="134"/>
      <c r="E30" s="61">
        <f>SUMIFS('Facility Detail'!G:G,'Facility Detail'!$B:$B,$A30)</f>
        <v>0</v>
      </c>
      <c r="F30" s="51">
        <f>SUMIFS('Facility Detail'!H:H,'Facility Detail'!$B:$B,$A30)</f>
        <v>0</v>
      </c>
      <c r="G30" s="14"/>
      <c r="H30" s="14"/>
      <c r="I30" s="14"/>
      <c r="J30" s="14"/>
    </row>
    <row r="31" spans="1:10" x14ac:dyDescent="0.25">
      <c r="A31" s="67" t="s">
        <v>37</v>
      </c>
      <c r="B31" s="50">
        <f>SUM(B23:B30)+953700</f>
        <v>-293096.20000000019</v>
      </c>
      <c r="C31" s="50">
        <f>SUM(C23:C30)</f>
        <v>658708.00000000023</v>
      </c>
      <c r="D31" s="50">
        <f t="shared" ref="D31:F31" si="0">SUM(D23:D30)</f>
        <v>-1169622.0000000002</v>
      </c>
      <c r="E31" s="50">
        <f t="shared" si="0"/>
        <v>-524288.39999999991</v>
      </c>
      <c r="F31" s="50">
        <f t="shared" si="0"/>
        <v>2281998.6</v>
      </c>
      <c r="G31" s="14"/>
      <c r="H31" s="14"/>
      <c r="I31" s="14"/>
      <c r="J31" s="14"/>
    </row>
    <row r="32" spans="1:10" x14ac:dyDescent="0.25">
      <c r="B32" s="50"/>
      <c r="C32" s="50"/>
      <c r="D32" s="50"/>
      <c r="E32" s="50"/>
      <c r="F32" s="50"/>
      <c r="G32" s="14"/>
      <c r="H32" s="14"/>
      <c r="I32" s="14"/>
      <c r="J32" s="14"/>
    </row>
    <row r="33" spans="1:10" x14ac:dyDescent="0.25">
      <c r="A33" s="94" t="s">
        <v>32</v>
      </c>
      <c r="B33" s="183">
        <f>SUMIFS('Facility Detail'!D:D,'Facility Detail'!$B:$B,$A33)</f>
        <v>0</v>
      </c>
      <c r="C33" s="184">
        <f>SUMIFS('Facility Detail'!E:E,'Facility Detail'!$B:$B,$A33)</f>
        <v>0</v>
      </c>
      <c r="D33" s="184">
        <f>SUMIFS('Facility Detail'!F:F,'Facility Detail'!$B:$B,$A33)</f>
        <v>0</v>
      </c>
      <c r="E33" s="184">
        <f>SUMIFS('Facility Detail'!G:G,'Facility Detail'!$B:$B,$A33)</f>
        <v>0</v>
      </c>
      <c r="F33" s="185">
        <f>SUMIFS('Facility Detail'!H:H,'Facility Detail'!$B:$B,$A33)</f>
        <v>0</v>
      </c>
      <c r="G33" s="14"/>
      <c r="H33" s="14"/>
      <c r="I33" s="14"/>
      <c r="J33" s="14"/>
    </row>
    <row r="34" spans="1:10" x14ac:dyDescent="0.25">
      <c r="B34" s="50"/>
      <c r="C34" s="50"/>
      <c r="D34" s="50"/>
      <c r="E34" s="50"/>
      <c r="F34" s="50"/>
      <c r="G34" s="14"/>
      <c r="H34" s="14"/>
      <c r="I34" s="14"/>
      <c r="J34" s="14"/>
    </row>
    <row r="35" spans="1:10" x14ac:dyDescent="0.25">
      <c r="B35" s="2">
        <f>'Facility Detail'!$B$1155</f>
        <v>2013</v>
      </c>
      <c r="C35" s="2" t="str">
        <f>B35+1 &amp; "*"</f>
        <v>2014*</v>
      </c>
      <c r="D35" s="2" t="str">
        <f>B35+2 &amp; "*"</f>
        <v>2015*</v>
      </c>
      <c r="E35" s="2">
        <f>B35+3</f>
        <v>2016</v>
      </c>
      <c r="F35" s="2">
        <f>B35+4</f>
        <v>2017</v>
      </c>
      <c r="G35" s="14"/>
      <c r="H35" s="14"/>
      <c r="I35" s="14"/>
      <c r="J35" s="14"/>
    </row>
    <row r="36" spans="1:10" ht="32.25" customHeight="1" x14ac:dyDescent="0.25">
      <c r="A36" s="62" t="s">
        <v>47</v>
      </c>
      <c r="B36" s="188">
        <v>318818</v>
      </c>
      <c r="C36" s="186">
        <f>C14 + C20 - C9 + C31 + C33</f>
        <v>660431.87999999989</v>
      </c>
      <c r="D36" s="186">
        <f>D14 + D20 - D9 + D31 + D33</f>
        <v>58865.79299999983</v>
      </c>
      <c r="E36" s="186">
        <f>E14 + E20 - E9 + E31 + E33</f>
        <v>28192.494000000414</v>
      </c>
      <c r="F36" s="187">
        <f>F14 + F20 - F9 + F31 + F33</f>
        <v>646619.74300000002</v>
      </c>
      <c r="G36" s="20"/>
      <c r="H36" s="20"/>
      <c r="I36" s="20"/>
      <c r="J36" s="20"/>
    </row>
    <row r="38" spans="1:10" ht="31.5" customHeight="1" x14ac:dyDescent="0.25">
      <c r="A38" s="201" t="s">
        <v>182</v>
      </c>
      <c r="B38" s="201"/>
      <c r="C38" s="201"/>
      <c r="D38" s="201"/>
    </row>
    <row r="41" spans="1:10" ht="30.75" customHeight="1" x14ac:dyDescent="0.25">
      <c r="A41" s="201" t="s">
        <v>146</v>
      </c>
      <c r="B41" s="201"/>
      <c r="C41" s="201"/>
      <c r="D41" s="201"/>
    </row>
    <row r="44" spans="1:10" x14ac:dyDescent="0.25">
      <c r="C44" s="166"/>
    </row>
  </sheetData>
  <mergeCells count="4">
    <mergeCell ref="A41:D41"/>
    <mergeCell ref="A38:D38"/>
    <mergeCell ref="C4:E4"/>
    <mergeCell ref="C2:E2"/>
  </mergeCells>
  <phoneticPr fontId="6" type="noConversion"/>
  <conditionalFormatting sqref="B36:D36 G36:J36">
    <cfRule type="cellIs" dxfId="2" priority="4" stopIfTrue="1" operator="lessThan">
      <formula>0</formula>
    </cfRule>
  </conditionalFormatting>
  <conditionalFormatting sqref="E36">
    <cfRule type="cellIs" dxfId="1" priority="3" stopIfTrue="1" operator="lessThan">
      <formula>0</formula>
    </cfRule>
  </conditionalFormatting>
  <conditionalFormatting sqref="F36">
    <cfRule type="cellIs" dxfId="0" priority="1" stopIfTrue="1" operator="lessThan">
      <formula>0</formula>
    </cfRule>
  </conditionalFormatting>
  <pageMargins left="0.75" right="0.75" top="1" bottom="1" header="0.5" footer="0.5"/>
  <pageSetup scale="65" fitToWidth="0" orientation="landscape" r:id="rId1"/>
  <headerFooter alignWithMargins="0"/>
  <rowBreaks count="1" manualBreakCount="1">
    <brk id="46" max="16383" man="1"/>
  </rowBreaks>
  <ignoredErrors>
    <ignoredError sqref="D9" formulaRange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M1168"/>
  <sheetViews>
    <sheetView showGridLines="0" zoomScale="75" zoomScaleNormal="75" workbookViewId="0">
      <selection activeCell="F253" sqref="F253"/>
    </sheetView>
  </sheetViews>
  <sheetFormatPr defaultColWidth="9.140625" defaultRowHeight="15" outlineLevelRow="1" x14ac:dyDescent="0.25"/>
  <cols>
    <col min="1" max="1" width="5.28515625" style="1" customWidth="1"/>
    <col min="2" max="2" width="33.28515625" style="1" customWidth="1"/>
    <col min="3" max="3" width="40.42578125" style="1" customWidth="1"/>
    <col min="4" max="8" width="23.140625" style="1" customWidth="1"/>
    <col min="9" max="9" width="17.85546875" style="1" customWidth="1"/>
    <col min="10" max="10" width="12.140625" style="1" customWidth="1"/>
    <col min="11" max="11" width="9.140625" style="1"/>
    <col min="12" max="12" width="12.7109375" style="192" bestFit="1" customWidth="1"/>
    <col min="13" max="16384" width="9.140625" style="1"/>
  </cols>
  <sheetData>
    <row r="1" spans="2:12" s="6" customFormat="1" ht="23.45" customHeight="1" x14ac:dyDescent="0.25">
      <c r="B1" s="6" t="s">
        <v>180</v>
      </c>
      <c r="H1" s="6" t="s">
        <v>181</v>
      </c>
      <c r="L1" s="193"/>
    </row>
    <row r="2" spans="2:12" s="6" customFormat="1" ht="23.45" customHeight="1" x14ac:dyDescent="0.25">
      <c r="L2" s="193"/>
    </row>
    <row r="3" spans="2:12" ht="47.25" x14ac:dyDescent="0.25">
      <c r="B3" s="35" t="s">
        <v>4</v>
      </c>
      <c r="C3" s="35" t="s">
        <v>33</v>
      </c>
      <c r="D3" s="35"/>
      <c r="E3" s="35" t="s">
        <v>135</v>
      </c>
      <c r="F3" s="35" t="s">
        <v>34</v>
      </c>
      <c r="G3" s="35" t="s">
        <v>35</v>
      </c>
      <c r="H3" s="35" t="s">
        <v>145</v>
      </c>
    </row>
    <row r="4" spans="2:12" x14ac:dyDescent="0.25">
      <c r="B4" s="26" t="s">
        <v>147</v>
      </c>
      <c r="C4" s="37" t="s">
        <v>150</v>
      </c>
      <c r="D4" s="37"/>
      <c r="E4" s="29" t="s">
        <v>127</v>
      </c>
      <c r="F4" s="29" t="s">
        <v>1</v>
      </c>
      <c r="G4" s="119" t="s">
        <v>2</v>
      </c>
      <c r="H4" s="122"/>
    </row>
    <row r="5" spans="2:12" x14ac:dyDescent="0.25">
      <c r="B5" s="27" t="s">
        <v>148</v>
      </c>
      <c r="C5" s="38" t="s">
        <v>151</v>
      </c>
      <c r="D5" s="38"/>
      <c r="E5" s="30" t="s">
        <v>127</v>
      </c>
      <c r="F5" s="30" t="s">
        <v>1</v>
      </c>
      <c r="G5" s="120" t="s">
        <v>2</v>
      </c>
      <c r="H5" s="123"/>
    </row>
    <row r="6" spans="2:12" x14ac:dyDescent="0.25">
      <c r="B6" s="27" t="s">
        <v>149</v>
      </c>
      <c r="C6" s="38" t="s">
        <v>152</v>
      </c>
      <c r="D6" s="38"/>
      <c r="E6" s="30" t="s">
        <v>127</v>
      </c>
      <c r="F6" s="30" t="s">
        <v>1</v>
      </c>
      <c r="G6" s="120" t="s">
        <v>2</v>
      </c>
      <c r="H6" s="123"/>
    </row>
    <row r="7" spans="2:12" x14ac:dyDescent="0.25">
      <c r="B7" s="27" t="s">
        <v>153</v>
      </c>
      <c r="C7" s="38" t="s">
        <v>155</v>
      </c>
      <c r="D7" s="38"/>
      <c r="E7" s="30" t="s">
        <v>127</v>
      </c>
      <c r="F7" s="30" t="s">
        <v>0</v>
      </c>
      <c r="G7" s="120" t="s">
        <v>2</v>
      </c>
      <c r="H7" s="123"/>
    </row>
    <row r="8" spans="2:12" x14ac:dyDescent="0.25">
      <c r="B8" s="27" t="s">
        <v>154</v>
      </c>
      <c r="C8" s="38" t="s">
        <v>156</v>
      </c>
      <c r="D8" s="38"/>
      <c r="E8" s="30" t="s">
        <v>127</v>
      </c>
      <c r="F8" s="30" t="s">
        <v>1</v>
      </c>
      <c r="G8" s="120" t="s">
        <v>2</v>
      </c>
      <c r="H8" s="123"/>
    </row>
    <row r="9" spans="2:12" x14ac:dyDescent="0.25">
      <c r="B9" s="125" t="s">
        <v>159</v>
      </c>
      <c r="C9" s="38" t="s">
        <v>157</v>
      </c>
      <c r="D9" s="38"/>
      <c r="E9" s="30" t="s">
        <v>127</v>
      </c>
      <c r="F9" s="30" t="s">
        <v>0</v>
      </c>
      <c r="G9" s="120" t="s">
        <v>2</v>
      </c>
      <c r="H9" s="123"/>
    </row>
    <row r="10" spans="2:12" x14ac:dyDescent="0.25">
      <c r="B10" s="125" t="s">
        <v>160</v>
      </c>
      <c r="C10" s="38" t="s">
        <v>158</v>
      </c>
      <c r="D10" s="38"/>
      <c r="E10" s="30" t="s">
        <v>127</v>
      </c>
      <c r="F10" s="30" t="s">
        <v>0</v>
      </c>
      <c r="G10" s="120" t="s">
        <v>2</v>
      </c>
      <c r="H10" s="123"/>
    </row>
    <row r="11" spans="2:12" ht="30" x14ac:dyDescent="0.25">
      <c r="B11" s="27" t="s">
        <v>161</v>
      </c>
      <c r="C11" s="38" t="s">
        <v>165</v>
      </c>
      <c r="D11" s="38"/>
      <c r="E11" s="149" t="s">
        <v>134</v>
      </c>
      <c r="F11" s="30" t="s">
        <v>1</v>
      </c>
      <c r="G11" s="120" t="s">
        <v>2</v>
      </c>
      <c r="H11" s="123"/>
    </row>
    <row r="12" spans="2:12" ht="30" x14ac:dyDescent="0.25">
      <c r="B12" s="27" t="s">
        <v>162</v>
      </c>
      <c r="C12" s="38" t="s">
        <v>174</v>
      </c>
      <c r="D12" s="38"/>
      <c r="E12" s="149" t="s">
        <v>134</v>
      </c>
      <c r="F12" s="30" t="s">
        <v>1</v>
      </c>
      <c r="G12" s="120" t="s">
        <v>2</v>
      </c>
      <c r="H12" s="123"/>
    </row>
    <row r="13" spans="2:12" ht="30" x14ac:dyDescent="0.25">
      <c r="B13" s="27" t="s">
        <v>163</v>
      </c>
      <c r="C13" s="38" t="s">
        <v>175</v>
      </c>
      <c r="D13" s="38"/>
      <c r="E13" s="149" t="s">
        <v>134</v>
      </c>
      <c r="F13" s="30" t="s">
        <v>1</v>
      </c>
      <c r="G13" s="120" t="s">
        <v>2</v>
      </c>
      <c r="H13" s="123"/>
    </row>
    <row r="14" spans="2:12" x14ac:dyDescent="0.25">
      <c r="B14" s="27" t="s">
        <v>10</v>
      </c>
      <c r="C14" s="38"/>
      <c r="D14" s="38"/>
      <c r="E14" s="30"/>
      <c r="F14" s="30" t="s">
        <v>2</v>
      </c>
      <c r="G14" s="120" t="s">
        <v>2</v>
      </c>
      <c r="H14" s="123"/>
    </row>
    <row r="15" spans="2:12" x14ac:dyDescent="0.25">
      <c r="B15" s="27" t="s">
        <v>11</v>
      </c>
      <c r="C15" s="38"/>
      <c r="D15" s="38"/>
      <c r="E15" s="30"/>
      <c r="F15" s="30" t="s">
        <v>2</v>
      </c>
      <c r="G15" s="120" t="s">
        <v>2</v>
      </c>
      <c r="H15" s="123"/>
    </row>
    <row r="16" spans="2:12" x14ac:dyDescent="0.25">
      <c r="B16" s="27" t="s">
        <v>12</v>
      </c>
      <c r="C16" s="38"/>
      <c r="D16" s="38"/>
      <c r="E16" s="30"/>
      <c r="F16" s="30" t="s">
        <v>2</v>
      </c>
      <c r="G16" s="120" t="s">
        <v>2</v>
      </c>
      <c r="H16" s="123"/>
    </row>
    <row r="17" spans="2:8" x14ac:dyDescent="0.25">
      <c r="B17" s="27" t="s">
        <v>13</v>
      </c>
      <c r="C17" s="38"/>
      <c r="D17" s="38"/>
      <c r="E17" s="30"/>
      <c r="F17" s="30" t="s">
        <v>2</v>
      </c>
      <c r="G17" s="120" t="s">
        <v>2</v>
      </c>
      <c r="H17" s="123"/>
    </row>
    <row r="18" spans="2:8" x14ac:dyDescent="0.25">
      <c r="B18" s="27" t="s">
        <v>14</v>
      </c>
      <c r="C18" s="38"/>
      <c r="D18" s="38"/>
      <c r="E18" s="30"/>
      <c r="F18" s="30" t="s">
        <v>2</v>
      </c>
      <c r="G18" s="120" t="s">
        <v>2</v>
      </c>
      <c r="H18" s="123"/>
    </row>
    <row r="19" spans="2:8" x14ac:dyDescent="0.25">
      <c r="B19" s="27" t="s">
        <v>15</v>
      </c>
      <c r="C19" s="38"/>
      <c r="D19" s="38"/>
      <c r="E19" s="30"/>
      <c r="F19" s="30" t="s">
        <v>2</v>
      </c>
      <c r="G19" s="120" t="s">
        <v>2</v>
      </c>
      <c r="H19" s="123"/>
    </row>
    <row r="20" spans="2:8" x14ac:dyDescent="0.25">
      <c r="B20" s="27" t="s">
        <v>16</v>
      </c>
      <c r="C20" s="38"/>
      <c r="D20" s="38"/>
      <c r="E20" s="30"/>
      <c r="F20" s="30" t="s">
        <v>2</v>
      </c>
      <c r="G20" s="120" t="s">
        <v>2</v>
      </c>
      <c r="H20" s="123"/>
    </row>
    <row r="21" spans="2:8" x14ac:dyDescent="0.25">
      <c r="B21" s="27" t="s">
        <v>17</v>
      </c>
      <c r="C21" s="38"/>
      <c r="D21" s="38"/>
      <c r="E21" s="30"/>
      <c r="F21" s="30" t="s">
        <v>2</v>
      </c>
      <c r="G21" s="120" t="s">
        <v>2</v>
      </c>
      <c r="H21" s="123"/>
    </row>
    <row r="22" spans="2:8" x14ac:dyDescent="0.25">
      <c r="B22" s="27" t="s">
        <v>18</v>
      </c>
      <c r="C22" s="38"/>
      <c r="D22" s="38"/>
      <c r="E22" s="30"/>
      <c r="F22" s="30" t="s">
        <v>2</v>
      </c>
      <c r="G22" s="120" t="s">
        <v>2</v>
      </c>
      <c r="H22" s="123"/>
    </row>
    <row r="23" spans="2:8" x14ac:dyDescent="0.25">
      <c r="B23" s="27" t="s">
        <v>19</v>
      </c>
      <c r="C23" s="38"/>
      <c r="D23" s="38"/>
      <c r="E23" s="30"/>
      <c r="F23" s="30" t="s">
        <v>2</v>
      </c>
      <c r="G23" s="120" t="s">
        <v>2</v>
      </c>
      <c r="H23" s="123"/>
    </row>
    <row r="24" spans="2:8" x14ac:dyDescent="0.25">
      <c r="B24" s="27" t="s">
        <v>20</v>
      </c>
      <c r="C24" s="38"/>
      <c r="D24" s="38"/>
      <c r="E24" s="30"/>
      <c r="F24" s="30" t="s">
        <v>2</v>
      </c>
      <c r="G24" s="120" t="s">
        <v>2</v>
      </c>
      <c r="H24" s="123"/>
    </row>
    <row r="25" spans="2:8" x14ac:dyDescent="0.25">
      <c r="B25" s="27" t="s">
        <v>21</v>
      </c>
      <c r="C25" s="38"/>
      <c r="D25" s="38"/>
      <c r="E25" s="30"/>
      <c r="F25" s="30" t="s">
        <v>2</v>
      </c>
      <c r="G25" s="120" t="s">
        <v>2</v>
      </c>
      <c r="H25" s="123"/>
    </row>
    <row r="26" spans="2:8" x14ac:dyDescent="0.25">
      <c r="B26" s="27" t="s">
        <v>22</v>
      </c>
      <c r="C26" s="38"/>
      <c r="D26" s="38"/>
      <c r="E26" s="30"/>
      <c r="F26" s="30" t="s">
        <v>2</v>
      </c>
      <c r="G26" s="120" t="s">
        <v>2</v>
      </c>
      <c r="H26" s="123"/>
    </row>
    <row r="27" spans="2:8" x14ac:dyDescent="0.25">
      <c r="B27" s="27" t="s">
        <v>23</v>
      </c>
      <c r="C27" s="38"/>
      <c r="D27" s="38"/>
      <c r="E27" s="30"/>
      <c r="F27" s="30" t="s">
        <v>2</v>
      </c>
      <c r="G27" s="120" t="s">
        <v>2</v>
      </c>
      <c r="H27" s="123"/>
    </row>
    <row r="28" spans="2:8" x14ac:dyDescent="0.25">
      <c r="B28" s="27" t="s">
        <v>24</v>
      </c>
      <c r="C28" s="38"/>
      <c r="D28" s="38"/>
      <c r="E28" s="30"/>
      <c r="F28" s="30" t="s">
        <v>2</v>
      </c>
      <c r="G28" s="120" t="s">
        <v>2</v>
      </c>
      <c r="H28" s="123"/>
    </row>
    <row r="29" spans="2:8" x14ac:dyDescent="0.25">
      <c r="B29" s="27" t="s">
        <v>25</v>
      </c>
      <c r="C29" s="38"/>
      <c r="D29" s="38"/>
      <c r="E29" s="30"/>
      <c r="F29" s="30" t="s">
        <v>2</v>
      </c>
      <c r="G29" s="120" t="s">
        <v>2</v>
      </c>
      <c r="H29" s="123"/>
    </row>
    <row r="30" spans="2:8" x14ac:dyDescent="0.25">
      <c r="B30" s="27" t="s">
        <v>26</v>
      </c>
      <c r="C30" s="38"/>
      <c r="D30" s="38"/>
      <c r="E30" s="30"/>
      <c r="F30" s="30" t="s">
        <v>2</v>
      </c>
      <c r="G30" s="120" t="s">
        <v>2</v>
      </c>
      <c r="H30" s="123"/>
    </row>
    <row r="31" spans="2:8" x14ac:dyDescent="0.25">
      <c r="B31" s="27" t="s">
        <v>27</v>
      </c>
      <c r="C31" s="38"/>
      <c r="D31" s="38"/>
      <c r="E31" s="30"/>
      <c r="F31" s="30" t="s">
        <v>2</v>
      </c>
      <c r="G31" s="120" t="s">
        <v>2</v>
      </c>
      <c r="H31" s="123"/>
    </row>
    <row r="32" spans="2:8" x14ac:dyDescent="0.25">
      <c r="B32" s="27" t="s">
        <v>28</v>
      </c>
      <c r="C32" s="38"/>
      <c r="D32" s="38"/>
      <c r="E32" s="30"/>
      <c r="F32" s="30" t="s">
        <v>2</v>
      </c>
      <c r="G32" s="120" t="s">
        <v>2</v>
      </c>
      <c r="H32" s="123"/>
    </row>
    <row r="33" spans="1:13" x14ac:dyDescent="0.25">
      <c r="B33" s="28" t="s">
        <v>29</v>
      </c>
      <c r="C33" s="39"/>
      <c r="D33" s="39"/>
      <c r="E33" s="31"/>
      <c r="F33" s="31" t="s">
        <v>2</v>
      </c>
      <c r="G33" s="121" t="s">
        <v>2</v>
      </c>
      <c r="H33" s="124"/>
    </row>
    <row r="34" spans="1:13" x14ac:dyDescent="0.25">
      <c r="B34" s="25"/>
    </row>
    <row r="35" spans="1:13" ht="31.5" customHeight="1" x14ac:dyDescent="0.25">
      <c r="B35" s="201" t="s">
        <v>146</v>
      </c>
      <c r="C35" s="201"/>
      <c r="D35" s="201"/>
      <c r="E35" s="201"/>
      <c r="F35" s="201"/>
      <c r="I35" s="33"/>
    </row>
    <row r="36" spans="1:13" s="33" customFormat="1" x14ac:dyDescent="0.25">
      <c r="L36" s="195"/>
    </row>
    <row r="37" spans="1:13" ht="21" x14ac:dyDescent="0.35">
      <c r="A37" s="13" t="s">
        <v>4</v>
      </c>
      <c r="C37" s="46" t="str">
        <f>B4</f>
        <v>Wild Horse</v>
      </c>
      <c r="D37" s="47"/>
      <c r="E37" s="23"/>
      <c r="F37" s="23"/>
    </row>
    <row r="38" spans="1:13" x14ac:dyDescent="0.25">
      <c r="H38" s="126"/>
    </row>
    <row r="39" spans="1:13" ht="18.75" x14ac:dyDescent="0.3">
      <c r="A39" s="9" t="s">
        <v>41</v>
      </c>
      <c r="D39" s="2">
        <f>'Facility Detail'!$B$1155</f>
        <v>2013</v>
      </c>
      <c r="E39" s="2">
        <f>D39+1</f>
        <v>2014</v>
      </c>
      <c r="F39" s="2">
        <f>E39+1</f>
        <v>2015</v>
      </c>
      <c r="G39" s="139">
        <f>F39+1</f>
        <v>2016</v>
      </c>
      <c r="H39" s="139">
        <f>G39+1</f>
        <v>2017</v>
      </c>
      <c r="I39" s="25"/>
    </row>
    <row r="40" spans="1:13" x14ac:dyDescent="0.25">
      <c r="B40" s="71" t="str">
        <f>"Total MWh Produced / Purchased from " &amp; C37</f>
        <v>Total MWh Produced / Purchased from Wild Horse</v>
      </c>
      <c r="C40" s="66"/>
      <c r="D40" s="3">
        <v>554637</v>
      </c>
      <c r="E40" s="4">
        <v>546457</v>
      </c>
      <c r="F40" s="4">
        <v>512757</v>
      </c>
      <c r="G40" s="4">
        <v>564671</v>
      </c>
      <c r="H40" s="5">
        <v>35141</v>
      </c>
      <c r="I40" s="24"/>
      <c r="L40" s="192">
        <v>42256.175999999999</v>
      </c>
      <c r="M40" s="194">
        <v>42736</v>
      </c>
    </row>
    <row r="41" spans="1:13" x14ac:dyDescent="0.25">
      <c r="B41" s="71" t="s">
        <v>45</v>
      </c>
      <c r="C41" s="66"/>
      <c r="D41" s="155">
        <v>1</v>
      </c>
      <c r="E41" s="154">
        <v>1</v>
      </c>
      <c r="F41" s="154">
        <v>1</v>
      </c>
      <c r="G41" s="154">
        <v>1</v>
      </c>
      <c r="H41" s="156">
        <v>1</v>
      </c>
      <c r="I41" s="24"/>
      <c r="L41" s="192">
        <v>50163.631999999998</v>
      </c>
      <c r="M41" s="194">
        <v>42767</v>
      </c>
    </row>
    <row r="42" spans="1:13" x14ac:dyDescent="0.25">
      <c r="B42" s="71" t="s">
        <v>40</v>
      </c>
      <c r="C42" s="66"/>
      <c r="D42" s="146">
        <v>1</v>
      </c>
      <c r="E42" s="52">
        <v>1</v>
      </c>
      <c r="F42" s="52">
        <v>1</v>
      </c>
      <c r="G42" s="52">
        <v>1</v>
      </c>
      <c r="H42" s="53">
        <v>1</v>
      </c>
      <c r="I42" s="24"/>
      <c r="L42" s="192">
        <v>64074.671999999999</v>
      </c>
      <c r="M42" s="194">
        <v>42795</v>
      </c>
    </row>
    <row r="43" spans="1:13" x14ac:dyDescent="0.25">
      <c r="B43" s="68" t="s">
        <v>42</v>
      </c>
      <c r="C43" s="69"/>
      <c r="D43" s="41">
        <f>D40*D41*D42</f>
        <v>554637</v>
      </c>
      <c r="E43" s="153">
        <f>E40*E41*E42</f>
        <v>546457</v>
      </c>
      <c r="F43" s="153">
        <f>F40*F41*F42</f>
        <v>512757</v>
      </c>
      <c r="G43" s="153">
        <f>G40*G41*G42</f>
        <v>564671</v>
      </c>
      <c r="H43" s="153">
        <f>H40*H41*H42</f>
        <v>35141</v>
      </c>
      <c r="I43" s="24"/>
      <c r="L43" s="193">
        <f>SUM(L40:L42)</f>
        <v>156494.47999999998</v>
      </c>
    </row>
    <row r="44" spans="1:13" x14ac:dyDescent="0.25">
      <c r="B44" s="23"/>
      <c r="C44" s="33"/>
      <c r="D44" s="40"/>
      <c r="E44" s="40"/>
      <c r="F44" s="40"/>
      <c r="G44" s="40"/>
      <c r="H44" s="40"/>
      <c r="I44" s="24"/>
    </row>
    <row r="45" spans="1:13" ht="18.75" x14ac:dyDescent="0.3">
      <c r="A45" s="48" t="s">
        <v>139</v>
      </c>
      <c r="C45" s="33"/>
      <c r="D45" s="2">
        <f>D39</f>
        <v>2013</v>
      </c>
      <c r="E45" s="2">
        <f>E39</f>
        <v>2014</v>
      </c>
      <c r="F45" s="2">
        <f>F39</f>
        <v>2015</v>
      </c>
      <c r="G45" s="2">
        <f>G39</f>
        <v>2016</v>
      </c>
      <c r="H45" s="2">
        <f>H39</f>
        <v>2017</v>
      </c>
      <c r="I45" s="24"/>
    </row>
    <row r="46" spans="1:13" x14ac:dyDescent="0.25">
      <c r="B46" s="71" t="s">
        <v>30</v>
      </c>
      <c r="C46" s="66"/>
      <c r="D46" s="54">
        <f>IF( $F4 = "Eligible", D43 * 'Facility Detail'!$B$1152, 0 )</f>
        <v>0</v>
      </c>
      <c r="E46" s="11">
        <f>IF( $F4 = "Eligible", E43 * 'Facility Detail'!$B$1152, 0 )</f>
        <v>0</v>
      </c>
      <c r="F46" s="127">
        <f>IF( $F4 = "Eligible", F43 * 'Facility Detail'!$B$1152, 0 )</f>
        <v>0</v>
      </c>
      <c r="G46" s="127">
        <f>IF( $F4 = "Eligible", G43 * 'Facility Detail'!$B$1152, 0 )</f>
        <v>0</v>
      </c>
      <c r="H46" s="12">
        <f>IF( $F4 = "Eligible", H43 * 'Facility Detail'!$B$1152, 0 )</f>
        <v>0</v>
      </c>
      <c r="I46" s="24"/>
    </row>
    <row r="47" spans="1:13" x14ac:dyDescent="0.25">
      <c r="B47" s="71" t="s">
        <v>6</v>
      </c>
      <c r="C47" s="66"/>
      <c r="D47" s="55">
        <f>IF( $G4 = "Eligible", D43, 0 )</f>
        <v>0</v>
      </c>
      <c r="E47" s="56">
        <f>IF( $G4 = "Eligible", E43, 0 )</f>
        <v>0</v>
      </c>
      <c r="F47" s="128">
        <f>IF( $G4 = "Eligible", F43, 0 )</f>
        <v>0</v>
      </c>
      <c r="G47" s="128">
        <f>IF( $G4 = "Eligible", G43, 0 )</f>
        <v>0</v>
      </c>
      <c r="H47" s="57">
        <f>IF( $G4 = "Eligible", H43, 0 )</f>
        <v>0</v>
      </c>
      <c r="I47" s="24"/>
    </row>
    <row r="48" spans="1:13" x14ac:dyDescent="0.25">
      <c r="B48" s="70" t="s">
        <v>141</v>
      </c>
      <c r="C48" s="69"/>
      <c r="D48" s="43">
        <f>SUM(D46:D47)</f>
        <v>0</v>
      </c>
      <c r="E48" s="44">
        <f>SUM(E46:E47)</f>
        <v>0</v>
      </c>
      <c r="F48" s="44">
        <f>SUM(F46:F47)</f>
        <v>0</v>
      </c>
      <c r="G48" s="44">
        <f>SUM(G46:G47)</f>
        <v>0</v>
      </c>
      <c r="H48" s="44">
        <f>SUM(H46:H47)</f>
        <v>0</v>
      </c>
      <c r="I48" s="24"/>
    </row>
    <row r="49" spans="1:9" x14ac:dyDescent="0.25">
      <c r="B49" s="33"/>
      <c r="C49" s="33"/>
      <c r="D49" s="42"/>
      <c r="E49" s="34"/>
      <c r="F49" s="34"/>
      <c r="G49" s="34"/>
      <c r="H49" s="34"/>
      <c r="I49" s="24"/>
    </row>
    <row r="50" spans="1:9" ht="18.75" x14ac:dyDescent="0.3">
      <c r="A50" s="45" t="s">
        <v>50</v>
      </c>
      <c r="C50" s="33"/>
      <c r="D50" s="2">
        <f>D39</f>
        <v>2013</v>
      </c>
      <c r="E50" s="2">
        <f>E39</f>
        <v>2014</v>
      </c>
      <c r="F50" s="2">
        <f>F39</f>
        <v>2015</v>
      </c>
      <c r="G50" s="2">
        <f>G39</f>
        <v>2016</v>
      </c>
      <c r="H50" s="2">
        <f>H39</f>
        <v>2017</v>
      </c>
      <c r="I50" s="24"/>
    </row>
    <row r="51" spans="1:9" x14ac:dyDescent="0.25">
      <c r="B51" s="71" t="s">
        <v>67</v>
      </c>
      <c r="C51" s="33"/>
      <c r="D51" s="161">
        <v>246192</v>
      </c>
      <c r="E51" s="4">
        <v>541930</v>
      </c>
      <c r="F51" s="4">
        <v>43254</v>
      </c>
      <c r="G51" s="4">
        <v>0</v>
      </c>
      <c r="H51" s="5">
        <v>0</v>
      </c>
      <c r="I51" s="24"/>
    </row>
    <row r="52" spans="1:9" x14ac:dyDescent="0.25">
      <c r="B52" s="72" t="s">
        <v>43</v>
      </c>
      <c r="C52" s="81"/>
      <c r="D52" s="82"/>
      <c r="E52" s="162"/>
      <c r="F52" s="162"/>
      <c r="G52" s="162"/>
      <c r="H52" s="163"/>
      <c r="I52" s="24"/>
    </row>
    <row r="53" spans="1:9" x14ac:dyDescent="0.25">
      <c r="B53" s="83" t="s">
        <v>109</v>
      </c>
      <c r="C53" s="81"/>
      <c r="D53" s="58"/>
      <c r="E53" s="164"/>
      <c r="F53" s="164"/>
      <c r="G53" s="164"/>
      <c r="H53" s="165"/>
      <c r="I53" s="24"/>
    </row>
    <row r="54" spans="1:9" x14ac:dyDescent="0.25">
      <c r="B54" s="36" t="s">
        <v>110</v>
      </c>
      <c r="D54" s="7">
        <f>SUM(D51:D53)</f>
        <v>246192</v>
      </c>
      <c r="E54" s="7">
        <f>SUM(E51:E53)</f>
        <v>541930</v>
      </c>
      <c r="F54" s="7">
        <f>SUM(F51:F53)</f>
        <v>43254</v>
      </c>
      <c r="G54" s="7">
        <f>SUM(G51:G53)</f>
        <v>0</v>
      </c>
      <c r="H54" s="7">
        <f>SUM(H51:H53)</f>
        <v>0</v>
      </c>
      <c r="I54" s="32"/>
    </row>
    <row r="55" spans="1:9" x14ac:dyDescent="0.25">
      <c r="B55" s="6"/>
      <c r="D55" s="7"/>
      <c r="E55" s="7"/>
      <c r="F55" s="7"/>
      <c r="G55" s="7"/>
      <c r="H55" s="7"/>
      <c r="I55" s="32"/>
    </row>
    <row r="56" spans="1:9" ht="18.75" x14ac:dyDescent="0.3">
      <c r="A56" s="9" t="s">
        <v>120</v>
      </c>
      <c r="D56" s="2">
        <f>'Facility Detail'!$B$1155</f>
        <v>2013</v>
      </c>
      <c r="E56" s="2">
        <f>D56+1</f>
        <v>2014</v>
      </c>
      <c r="F56" s="2">
        <f>E56+1</f>
        <v>2015</v>
      </c>
      <c r="G56" s="2">
        <f>F56+1</f>
        <v>2016</v>
      </c>
      <c r="H56" s="2">
        <f>G56+1</f>
        <v>2017</v>
      </c>
      <c r="I56" s="32"/>
    </row>
    <row r="57" spans="1:9" x14ac:dyDescent="0.25">
      <c r="B57" s="71" t="str">
        <f>( 'Facility Detail'!$B$1155) &amp; " Surplus Applied to " &amp; ( 'Facility Detail'!$B$1155 + 1 )</f>
        <v>2013 Surplus Applied to 2014</v>
      </c>
      <c r="C57" s="33"/>
      <c r="D57" s="3">
        <f>D43+D48-D54</f>
        <v>308445</v>
      </c>
      <c r="E57" s="59">
        <f>D57</f>
        <v>308445</v>
      </c>
      <c r="F57" s="135"/>
      <c r="G57" s="135"/>
      <c r="H57" s="136"/>
      <c r="I57" s="32"/>
    </row>
    <row r="58" spans="1:9" x14ac:dyDescent="0.25">
      <c r="B58" s="71" t="str">
        <f xml:space="preserve"> ( 'Facility Detail'!$B$1155 + 1 ) &amp; " Surplus Applied to " &amp; ( 'Facility Detail'!$B$1155 )</f>
        <v>2014 Surplus Applied to 2013</v>
      </c>
      <c r="C58" s="33"/>
      <c r="D58" s="157">
        <f>E58</f>
        <v>0</v>
      </c>
      <c r="E58" s="10">
        <v>0</v>
      </c>
      <c r="F58" s="131"/>
      <c r="G58" s="131"/>
      <c r="H58" s="137"/>
      <c r="I58" s="32"/>
    </row>
    <row r="59" spans="1:9" x14ac:dyDescent="0.25">
      <c r="B59" s="140" t="str">
        <f xml:space="preserve"> ( 'Facility Detail'!$B$1155 + 1 ) &amp; " Surplus Applied to " &amp; ( 'Facility Detail'!$B$1155 + 2 )</f>
        <v>2014 Surplus Applied to 2015</v>
      </c>
      <c r="C59" s="33"/>
      <c r="D59" s="132"/>
      <c r="E59" s="10">
        <f>E43+E48-E54</f>
        <v>4527</v>
      </c>
      <c r="F59" s="65">
        <f>+E59</f>
        <v>4527</v>
      </c>
      <c r="G59" s="131"/>
      <c r="H59" s="137"/>
      <c r="I59" s="32"/>
    </row>
    <row r="60" spans="1:9" x14ac:dyDescent="0.25">
      <c r="B60" s="140" t="str">
        <f xml:space="preserve"> ( 'Facility Detail'!$B$1155 + 2 ) &amp; " Surplus Applied to " &amp; ( 'Facility Detail'!$B$1155 + 1 )</f>
        <v>2015 Surplus Applied to 2014</v>
      </c>
      <c r="C60" s="33"/>
      <c r="D60" s="132"/>
      <c r="E60" s="65">
        <f>F60</f>
        <v>0</v>
      </c>
      <c r="F60" s="10">
        <v>0</v>
      </c>
      <c r="G60" s="131"/>
      <c r="H60" s="137"/>
      <c r="I60" s="32"/>
    </row>
    <row r="61" spans="1:9" x14ac:dyDescent="0.25">
      <c r="B61" s="140" t="s">
        <v>170</v>
      </c>
      <c r="C61" s="33"/>
      <c r="D61" s="132"/>
      <c r="E61" s="131"/>
      <c r="F61" s="10">
        <f>F43+F48-F54</f>
        <v>469503</v>
      </c>
      <c r="G61" s="65">
        <f>+F61</f>
        <v>469503</v>
      </c>
      <c r="H61" s="137"/>
      <c r="I61" s="32"/>
    </row>
    <row r="62" spans="1:9" x14ac:dyDescent="0.25">
      <c r="B62" s="140" t="s">
        <v>171</v>
      </c>
      <c r="C62" s="33"/>
      <c r="D62" s="132"/>
      <c r="E62" s="131"/>
      <c r="F62" s="65">
        <f>G62</f>
        <v>0</v>
      </c>
      <c r="G62" s="10">
        <v>0</v>
      </c>
      <c r="H62" s="137"/>
      <c r="I62" s="32"/>
    </row>
    <row r="63" spans="1:9" x14ac:dyDescent="0.25">
      <c r="B63" s="140" t="s">
        <v>172</v>
      </c>
      <c r="C63" s="33"/>
      <c r="D63" s="132"/>
      <c r="E63" s="131"/>
      <c r="F63" s="131"/>
      <c r="G63" s="10">
        <f>G43+G48-G54</f>
        <v>564671</v>
      </c>
      <c r="H63" s="60">
        <f>+G63</f>
        <v>564671</v>
      </c>
      <c r="I63" s="32"/>
    </row>
    <row r="64" spans="1:9" x14ac:dyDescent="0.25">
      <c r="B64" s="140" t="s">
        <v>173</v>
      </c>
      <c r="C64" s="33"/>
      <c r="D64" s="133"/>
      <c r="E64" s="134"/>
      <c r="F64" s="134"/>
      <c r="G64" s="61">
        <f>H64</f>
        <v>0</v>
      </c>
      <c r="H64" s="51">
        <v>0</v>
      </c>
      <c r="I64" s="32"/>
    </row>
    <row r="65" spans="1:13" x14ac:dyDescent="0.25">
      <c r="B65" s="141" t="s">
        <v>37</v>
      </c>
      <c r="D65" s="7">
        <f xml:space="preserve"> D58 - D57</f>
        <v>-308445</v>
      </c>
      <c r="E65" s="7">
        <f xml:space="preserve"> E57 + E60 - E59 - E58</f>
        <v>303918</v>
      </c>
      <c r="F65" s="7">
        <f>F59 - F60 - F61 + F62</f>
        <v>-464976</v>
      </c>
      <c r="G65" s="7">
        <f>G61  - G62 - G63  + G64</f>
        <v>-95168</v>
      </c>
      <c r="H65" s="7">
        <f>H63 - H64</f>
        <v>564671</v>
      </c>
      <c r="I65" s="32"/>
    </row>
    <row r="66" spans="1:13" x14ac:dyDescent="0.25">
      <c r="B66" s="142"/>
      <c r="D66" s="7"/>
      <c r="E66" s="7"/>
      <c r="F66" s="7"/>
      <c r="G66" s="7"/>
      <c r="H66" s="7"/>
      <c r="I66" s="32"/>
    </row>
    <row r="67" spans="1:13" x14ac:dyDescent="0.25">
      <c r="B67" s="68" t="s">
        <v>32</v>
      </c>
      <c r="C67" s="66"/>
      <c r="D67" s="90"/>
      <c r="E67" s="91"/>
      <c r="F67" s="129"/>
      <c r="G67" s="129"/>
      <c r="H67" s="92"/>
      <c r="I67" s="32"/>
    </row>
    <row r="68" spans="1:13" x14ac:dyDescent="0.25">
      <c r="B68" s="142"/>
      <c r="D68" s="7"/>
      <c r="E68" s="7"/>
      <c r="F68" s="7"/>
      <c r="G68" s="7"/>
      <c r="H68" s="7"/>
      <c r="I68" s="32"/>
    </row>
    <row r="69" spans="1:13" ht="18.75" x14ac:dyDescent="0.3">
      <c r="A69" s="45" t="s">
        <v>46</v>
      </c>
      <c r="B69" s="143"/>
      <c r="C69" s="66"/>
      <c r="D69" s="130">
        <f xml:space="preserve"> D43 + D48 - D54 + D65 + D67</f>
        <v>0</v>
      </c>
      <c r="E69" s="130">
        <f xml:space="preserve"> E43 + E48 - E54 + E65 + E67</f>
        <v>308445</v>
      </c>
      <c r="F69" s="130">
        <f xml:space="preserve"> F43 + F48 - F54 + F65 + F67</f>
        <v>4527</v>
      </c>
      <c r="G69" s="130">
        <f xml:space="preserve"> G43 + G48 - G54 + G65 + G67</f>
        <v>469503</v>
      </c>
      <c r="H69" s="49">
        <f xml:space="preserve"> H43 + H48 - H54 + H65 + H67</f>
        <v>599812</v>
      </c>
      <c r="I69" s="32"/>
    </row>
    <row r="70" spans="1:13" s="143" customFormat="1" x14ac:dyDescent="0.25">
      <c r="B70" s="142"/>
      <c r="C70" s="151"/>
      <c r="E70" s="152"/>
      <c r="F70" s="152"/>
      <c r="G70" s="32"/>
      <c r="H70" s="32"/>
      <c r="I70" s="32"/>
      <c r="L70" s="192"/>
    </row>
    <row r="71" spans="1:13" x14ac:dyDescent="0.25">
      <c r="B71" s="143"/>
      <c r="I71" s="33"/>
    </row>
    <row r="72" spans="1:13" x14ac:dyDescent="0.25">
      <c r="B72" s="23"/>
      <c r="C72" s="33"/>
      <c r="D72" s="33"/>
      <c r="E72" s="33"/>
      <c r="F72" s="33"/>
      <c r="G72" s="33"/>
      <c r="H72" s="33"/>
      <c r="I72" s="33"/>
    </row>
    <row r="73" spans="1:13" ht="21" x14ac:dyDescent="0.35">
      <c r="A73" s="13" t="s">
        <v>4</v>
      </c>
      <c r="B73" s="144"/>
      <c r="C73" s="46" t="str">
        <f>B5</f>
        <v>Hopkins Ridge</v>
      </c>
      <c r="D73" s="47"/>
      <c r="E73" s="23"/>
      <c r="F73" s="23"/>
    </row>
    <row r="74" spans="1:13" x14ac:dyDescent="0.25">
      <c r="B74" s="143"/>
    </row>
    <row r="75" spans="1:13" ht="18.75" x14ac:dyDescent="0.3">
      <c r="A75" s="9" t="s">
        <v>41</v>
      </c>
      <c r="B75" s="145"/>
      <c r="D75" s="2">
        <f>'Facility Detail'!$B$1155</f>
        <v>2013</v>
      </c>
      <c r="E75" s="2">
        <f>D75+1</f>
        <v>2014</v>
      </c>
      <c r="F75" s="2">
        <f>E75+1</f>
        <v>2015</v>
      </c>
      <c r="G75" s="139">
        <f>F75+1</f>
        <v>2016</v>
      </c>
      <c r="H75" s="139">
        <f>G75+1</f>
        <v>2017</v>
      </c>
      <c r="I75" s="25"/>
    </row>
    <row r="76" spans="1:13" x14ac:dyDescent="0.25">
      <c r="B76" s="140" t="str">
        <f>"Total MWh Produced / Purchased from " &amp; C73</f>
        <v>Total MWh Produced / Purchased from Hopkins Ridge</v>
      </c>
      <c r="C76" s="66"/>
      <c r="D76" s="3">
        <v>389463</v>
      </c>
      <c r="E76" s="4">
        <v>423662</v>
      </c>
      <c r="F76" s="4">
        <v>348166</v>
      </c>
      <c r="G76" s="4">
        <v>398058</v>
      </c>
      <c r="H76" s="5">
        <v>10500</v>
      </c>
      <c r="I76" s="24"/>
      <c r="L76" s="192">
        <v>11005.407999999999</v>
      </c>
      <c r="M76" s="194">
        <v>42736</v>
      </c>
    </row>
    <row r="77" spans="1:13" x14ac:dyDescent="0.25">
      <c r="B77" s="140" t="s">
        <v>45</v>
      </c>
      <c r="C77" s="66"/>
      <c r="D77" s="155">
        <v>1</v>
      </c>
      <c r="E77" s="154">
        <v>1</v>
      </c>
      <c r="F77" s="154">
        <v>1</v>
      </c>
      <c r="G77" s="154">
        <v>1</v>
      </c>
      <c r="H77" s="156">
        <v>1</v>
      </c>
      <c r="I77" s="24"/>
      <c r="L77" s="192">
        <v>32978.432000000001</v>
      </c>
      <c r="M77" s="194">
        <v>42767</v>
      </c>
    </row>
    <row r="78" spans="1:13" x14ac:dyDescent="0.25">
      <c r="B78" s="140" t="s">
        <v>40</v>
      </c>
      <c r="C78" s="66"/>
      <c r="D78" s="146">
        <v>1</v>
      </c>
      <c r="E78" s="52">
        <v>1</v>
      </c>
      <c r="F78" s="52">
        <v>1</v>
      </c>
      <c r="G78" s="52">
        <v>1</v>
      </c>
      <c r="H78" s="53">
        <v>1</v>
      </c>
      <c r="I78" s="24"/>
      <c r="L78" s="192">
        <v>43642.720000000001</v>
      </c>
      <c r="M78" s="194">
        <v>42795</v>
      </c>
    </row>
    <row r="79" spans="1:13" x14ac:dyDescent="0.25">
      <c r="B79" s="68" t="s">
        <v>42</v>
      </c>
      <c r="C79" s="69"/>
      <c r="D79" s="41">
        <f>D76*D77*D78</f>
        <v>389463</v>
      </c>
      <c r="E79" s="153">
        <f>E76*E77*E78</f>
        <v>423662</v>
      </c>
      <c r="F79" s="153">
        <f>F76*F77*F78</f>
        <v>348166</v>
      </c>
      <c r="G79" s="153">
        <f>G76*G77*G78</f>
        <v>398058</v>
      </c>
      <c r="H79" s="153">
        <f>H76*H77*H78</f>
        <v>10500</v>
      </c>
      <c r="I79" s="24"/>
      <c r="L79" s="193">
        <f>SUM(L76:L78)</f>
        <v>87626.559999999998</v>
      </c>
    </row>
    <row r="80" spans="1:13" x14ac:dyDescent="0.25">
      <c r="B80" s="23"/>
      <c r="C80" s="33"/>
      <c r="D80" s="40"/>
      <c r="E80" s="40"/>
      <c r="F80" s="40"/>
      <c r="G80" s="40"/>
      <c r="H80" s="40"/>
      <c r="I80" s="24"/>
    </row>
    <row r="81" spans="1:9" ht="18.75" x14ac:dyDescent="0.3">
      <c r="A81" s="48" t="s">
        <v>139</v>
      </c>
      <c r="B81" s="143"/>
      <c r="C81" s="33"/>
      <c r="D81" s="2">
        <f>'Facility Detail'!$B$1155</f>
        <v>2013</v>
      </c>
      <c r="E81" s="2">
        <f>D81+1</f>
        <v>2014</v>
      </c>
      <c r="F81" s="2">
        <f>E81+1</f>
        <v>2015</v>
      </c>
      <c r="G81" s="2">
        <f>F81+1</f>
        <v>2016</v>
      </c>
      <c r="H81" s="2">
        <f>G81+1</f>
        <v>2017</v>
      </c>
      <c r="I81" s="24"/>
    </row>
    <row r="82" spans="1:9" x14ac:dyDescent="0.25">
      <c r="B82" s="140" t="s">
        <v>30</v>
      </c>
      <c r="C82" s="66"/>
      <c r="D82" s="54">
        <f>IF( $F5 = "Eligible",D79 * 'Facility Detail'!$B$1152, 0 )</f>
        <v>0</v>
      </c>
      <c r="E82" s="11">
        <f>IF( $F5 = "Eligible",E79 * 'Facility Detail'!$B$1152, 0 )</f>
        <v>0</v>
      </c>
      <c r="F82" s="127">
        <f>IF( $F5 = "Eligible",F79 * 'Facility Detail'!$B$1152, 0 )</f>
        <v>0</v>
      </c>
      <c r="G82" s="127">
        <f>IF( $F5 = "Eligible",G79 * 'Facility Detail'!$B$1152, 0 )</f>
        <v>0</v>
      </c>
      <c r="H82" s="12">
        <f>IF( $F5 = "Eligible",H79 * 'Facility Detail'!$B$1152, 0 )</f>
        <v>0</v>
      </c>
      <c r="I82" s="24"/>
    </row>
    <row r="83" spans="1:9" x14ac:dyDescent="0.25">
      <c r="B83" s="140" t="s">
        <v>6</v>
      </c>
      <c r="C83" s="66"/>
      <c r="D83" s="55">
        <f>IF( $G5 = "Eligible", D79, 0 )</f>
        <v>0</v>
      </c>
      <c r="E83" s="56">
        <f>IF( $G5 = "Eligible", E79, 0 )</f>
        <v>0</v>
      </c>
      <c r="F83" s="128">
        <f>IF( $G5 = "Eligible", F79, 0 )</f>
        <v>0</v>
      </c>
      <c r="G83" s="128">
        <f>IF( $G5 = "Eligible", G79, 0 )</f>
        <v>0</v>
      </c>
      <c r="H83" s="57">
        <f>IF( $G5 = "Eligible", H79, 0 )</f>
        <v>0</v>
      </c>
      <c r="I83" s="24"/>
    </row>
    <row r="84" spans="1:9" x14ac:dyDescent="0.25">
      <c r="B84" s="68" t="s">
        <v>141</v>
      </c>
      <c r="C84" s="69"/>
      <c r="D84" s="43">
        <f>SUM(D82:D83)</f>
        <v>0</v>
      </c>
      <c r="E84" s="44">
        <f>SUM(E82:E83)</f>
        <v>0</v>
      </c>
      <c r="F84" s="44">
        <f>SUM(F82:F83)</f>
        <v>0</v>
      </c>
      <c r="G84" s="44">
        <f>SUM(G82:G83)</f>
        <v>0</v>
      </c>
      <c r="H84" s="44">
        <f>SUM(H82:H83)</f>
        <v>0</v>
      </c>
      <c r="I84" s="24"/>
    </row>
    <row r="85" spans="1:9" x14ac:dyDescent="0.25">
      <c r="B85" s="23"/>
      <c r="C85" s="33"/>
      <c r="D85" s="42"/>
      <c r="E85" s="34"/>
      <c r="F85" s="34"/>
      <c r="G85" s="34"/>
      <c r="H85" s="34"/>
      <c r="I85" s="24"/>
    </row>
    <row r="86" spans="1:9" ht="18.75" x14ac:dyDescent="0.3">
      <c r="A86" s="45" t="s">
        <v>50</v>
      </c>
      <c r="B86" s="143"/>
      <c r="C86" s="33"/>
      <c r="D86" s="2">
        <f>'Facility Detail'!$B$1155</f>
        <v>2013</v>
      </c>
      <c r="E86" s="2">
        <f>D86+1</f>
        <v>2014</v>
      </c>
      <c r="F86" s="2">
        <f>E86+1</f>
        <v>2015</v>
      </c>
      <c r="G86" s="2">
        <f>F86+1</f>
        <v>2016</v>
      </c>
      <c r="H86" s="2">
        <f>G86+1</f>
        <v>2017</v>
      </c>
      <c r="I86" s="24"/>
    </row>
    <row r="87" spans="1:9" x14ac:dyDescent="0.25">
      <c r="B87" s="140" t="s">
        <v>67</v>
      </c>
      <c r="C87" s="66"/>
      <c r="D87" s="161">
        <v>166117</v>
      </c>
      <c r="E87" s="4">
        <v>423662</v>
      </c>
      <c r="F87" s="4">
        <v>109781</v>
      </c>
      <c r="G87" s="4">
        <v>0</v>
      </c>
      <c r="H87" s="5">
        <v>0</v>
      </c>
      <c r="I87" s="24"/>
    </row>
    <row r="88" spans="1:9" x14ac:dyDescent="0.25">
      <c r="B88" s="83" t="s">
        <v>43</v>
      </c>
      <c r="C88" s="73"/>
      <c r="D88" s="82"/>
      <c r="E88" s="162"/>
      <c r="F88" s="162"/>
      <c r="G88" s="162"/>
      <c r="H88" s="163"/>
      <c r="I88" s="24"/>
    </row>
    <row r="89" spans="1:9" x14ac:dyDescent="0.25">
      <c r="B89" s="83" t="s">
        <v>109</v>
      </c>
      <c r="C89" s="81"/>
      <c r="D89" s="58"/>
      <c r="E89" s="164"/>
      <c r="F89" s="164"/>
      <c r="G89" s="164"/>
      <c r="H89" s="165"/>
      <c r="I89" s="24"/>
    </row>
    <row r="90" spans="1:9" x14ac:dyDescent="0.25">
      <c r="B90" s="141" t="s">
        <v>110</v>
      </c>
      <c r="D90" s="7">
        <f>SUM(D87:D89)</f>
        <v>166117</v>
      </c>
      <c r="E90" s="7">
        <f>SUM(E87:E89)</f>
        <v>423662</v>
      </c>
      <c r="F90" s="7">
        <f>SUM(F87:F89)</f>
        <v>109781</v>
      </c>
      <c r="G90" s="7">
        <f>SUM(G87:G89)</f>
        <v>0</v>
      </c>
      <c r="H90" s="7">
        <f>SUM(H87:H89)</f>
        <v>0</v>
      </c>
      <c r="I90" s="32"/>
    </row>
    <row r="91" spans="1:9" x14ac:dyDescent="0.25">
      <c r="B91" s="142"/>
      <c r="D91" s="7"/>
      <c r="E91" s="7"/>
      <c r="F91" s="7"/>
      <c r="G91" s="7"/>
      <c r="H91" s="7"/>
      <c r="I91" s="32"/>
    </row>
    <row r="92" spans="1:9" ht="18.75" x14ac:dyDescent="0.3">
      <c r="A92" s="9" t="s">
        <v>120</v>
      </c>
      <c r="B92" s="143"/>
      <c r="D92" s="2">
        <f>'Facility Detail'!$B$1155</f>
        <v>2013</v>
      </c>
      <c r="E92" s="2">
        <f>D92+1</f>
        <v>2014</v>
      </c>
      <c r="F92" s="2">
        <f>E92+1</f>
        <v>2015</v>
      </c>
      <c r="G92" s="2">
        <f>F92+1</f>
        <v>2016</v>
      </c>
      <c r="H92" s="2">
        <f>G92+1</f>
        <v>2017</v>
      </c>
      <c r="I92" s="32"/>
    </row>
    <row r="93" spans="1:9" x14ac:dyDescent="0.25">
      <c r="B93" s="71" t="str">
        <f>( 'Facility Detail'!$B$1155) &amp; " Surplus Applied to " &amp; ( 'Facility Detail'!$B$1155 + 1 )</f>
        <v>2013 Surplus Applied to 2014</v>
      </c>
      <c r="C93" s="33"/>
      <c r="D93" s="3">
        <f>D79+D84-D90</f>
        <v>223346</v>
      </c>
      <c r="E93" s="59">
        <f>D93</f>
        <v>223346</v>
      </c>
      <c r="F93" s="135"/>
      <c r="G93" s="135"/>
      <c r="H93" s="136"/>
      <c r="I93" s="32"/>
    </row>
    <row r="94" spans="1:9" x14ac:dyDescent="0.25">
      <c r="B94" s="71" t="str">
        <f xml:space="preserve"> ( 'Facility Detail'!$B$1155 + 1 ) &amp; " Surplus Applied to " &amp; ( 'Facility Detail'!$B$1155 )</f>
        <v>2014 Surplus Applied to 2013</v>
      </c>
      <c r="C94" s="33"/>
      <c r="D94" s="157">
        <f>E94</f>
        <v>0</v>
      </c>
      <c r="E94" s="10">
        <v>0</v>
      </c>
      <c r="F94" s="131"/>
      <c r="G94" s="131"/>
      <c r="H94" s="137"/>
      <c r="I94" s="32"/>
    </row>
    <row r="95" spans="1:9" x14ac:dyDescent="0.25">
      <c r="B95" s="140" t="str">
        <f xml:space="preserve"> ( 'Facility Detail'!$B$1155 + 1 ) &amp; " Surplus Applied to " &amp; ( 'Facility Detail'!$B$1155 + 2 )</f>
        <v>2014 Surplus Applied to 2015</v>
      </c>
      <c r="C95" s="33"/>
      <c r="D95" s="132"/>
      <c r="E95" s="10">
        <f>E79+E84-E90</f>
        <v>0</v>
      </c>
      <c r="F95" s="65">
        <f>+E95</f>
        <v>0</v>
      </c>
      <c r="G95" s="131"/>
      <c r="H95" s="137"/>
      <c r="I95" s="32"/>
    </row>
    <row r="96" spans="1:9" x14ac:dyDescent="0.25">
      <c r="B96" s="140" t="str">
        <f xml:space="preserve"> ( 'Facility Detail'!$B$1155 + 2 ) &amp; " Surplus Applied to " &amp; ( 'Facility Detail'!$B$1155 + 1 )</f>
        <v>2015 Surplus Applied to 2014</v>
      </c>
      <c r="C96" s="33"/>
      <c r="D96" s="132"/>
      <c r="E96" s="65">
        <f>F96</f>
        <v>0</v>
      </c>
      <c r="F96" s="10">
        <v>0</v>
      </c>
      <c r="G96" s="131"/>
      <c r="H96" s="137"/>
      <c r="I96" s="32"/>
    </row>
    <row r="97" spans="1:12" x14ac:dyDescent="0.25">
      <c r="B97" s="140" t="s">
        <v>170</v>
      </c>
      <c r="C97" s="33"/>
      <c r="D97" s="132"/>
      <c r="E97" s="131"/>
      <c r="F97" s="10">
        <f>F79+F84-F90</f>
        <v>238385</v>
      </c>
      <c r="G97" s="65">
        <f>+F97</f>
        <v>238385</v>
      </c>
      <c r="H97" s="137"/>
      <c r="I97" s="32"/>
    </row>
    <row r="98" spans="1:12" x14ac:dyDescent="0.25">
      <c r="B98" s="140" t="s">
        <v>171</v>
      </c>
      <c r="C98" s="33"/>
      <c r="D98" s="132"/>
      <c r="E98" s="131"/>
      <c r="F98" s="65">
        <f>G98</f>
        <v>0</v>
      </c>
      <c r="G98" s="10">
        <v>0</v>
      </c>
      <c r="H98" s="137"/>
      <c r="I98" s="32"/>
    </row>
    <row r="99" spans="1:12" x14ac:dyDescent="0.25">
      <c r="B99" s="140" t="s">
        <v>172</v>
      </c>
      <c r="C99" s="33"/>
      <c r="D99" s="132"/>
      <c r="E99" s="131"/>
      <c r="F99" s="131"/>
      <c r="G99" s="10">
        <f>G79+G84-G90</f>
        <v>398058</v>
      </c>
      <c r="H99" s="60">
        <f>+G99</f>
        <v>398058</v>
      </c>
      <c r="I99" s="32"/>
    </row>
    <row r="100" spans="1:12" x14ac:dyDescent="0.25">
      <c r="B100" s="140" t="s">
        <v>173</v>
      </c>
      <c r="C100" s="33"/>
      <c r="D100" s="133"/>
      <c r="E100" s="134"/>
      <c r="F100" s="134"/>
      <c r="G100" s="61">
        <f>H100</f>
        <v>0</v>
      </c>
      <c r="H100" s="51">
        <v>0</v>
      </c>
      <c r="I100" s="32"/>
    </row>
    <row r="101" spans="1:12" x14ac:dyDescent="0.25">
      <c r="B101" s="141" t="s">
        <v>37</v>
      </c>
      <c r="D101" s="7">
        <f xml:space="preserve"> D94 - D93</f>
        <v>-223346</v>
      </c>
      <c r="E101" s="7">
        <f xml:space="preserve"> E93 + E96 - E95 - E94</f>
        <v>223346</v>
      </c>
      <c r="F101" s="7">
        <f>F95 - F96 - F97 + F98</f>
        <v>-238385</v>
      </c>
      <c r="G101" s="7">
        <f>G97  - G98 - G99  + G100</f>
        <v>-159673</v>
      </c>
      <c r="H101" s="7">
        <f>H99 - H100</f>
        <v>398058</v>
      </c>
      <c r="I101" s="32"/>
    </row>
    <row r="102" spans="1:12" x14ac:dyDescent="0.25">
      <c r="B102" s="142"/>
      <c r="D102" s="7"/>
      <c r="E102" s="7"/>
      <c r="F102" s="7"/>
      <c r="G102" s="7"/>
      <c r="H102" s="7"/>
      <c r="I102" s="32"/>
    </row>
    <row r="103" spans="1:12" x14ac:dyDescent="0.25">
      <c r="B103" s="68" t="s">
        <v>32</v>
      </c>
      <c r="C103" s="66"/>
      <c r="D103" s="90"/>
      <c r="E103" s="91"/>
      <c r="F103" s="129"/>
      <c r="G103" s="129"/>
      <c r="H103" s="92"/>
      <c r="I103" s="32"/>
    </row>
    <row r="104" spans="1:12" x14ac:dyDescent="0.25">
      <c r="B104" s="142"/>
      <c r="D104" s="7"/>
      <c r="E104" s="7"/>
      <c r="F104" s="7"/>
      <c r="G104" s="7"/>
      <c r="H104" s="7"/>
      <c r="I104" s="32"/>
    </row>
    <row r="105" spans="1:12" ht="18.75" x14ac:dyDescent="0.3">
      <c r="A105" s="45" t="s">
        <v>46</v>
      </c>
      <c r="B105" s="143"/>
      <c r="C105" s="66"/>
      <c r="D105" s="130"/>
      <c r="E105" s="130">
        <f>E79+E84-E90+E101+E103</f>
        <v>223346</v>
      </c>
      <c r="F105" s="130">
        <f xml:space="preserve"> F79 + F84 - F90 + F101 + F103</f>
        <v>0</v>
      </c>
      <c r="G105" s="130">
        <f xml:space="preserve"> G79 + G84 - G90 + G101 + G103</f>
        <v>238385</v>
      </c>
      <c r="H105" s="49">
        <f xml:space="preserve"> H79 + H84 - H90 + H101 + H103</f>
        <v>408558</v>
      </c>
      <c r="I105" s="32"/>
    </row>
    <row r="106" spans="1:12" x14ac:dyDescent="0.25">
      <c r="B106" s="142"/>
      <c r="C106" s="147"/>
      <c r="E106" s="7"/>
      <c r="F106" s="7"/>
      <c r="G106" s="32"/>
      <c r="H106" s="32"/>
      <c r="I106" s="32"/>
    </row>
    <row r="107" spans="1:12" s="33" customFormat="1" x14ac:dyDescent="0.25">
      <c r="B107" s="23"/>
      <c r="L107" s="195"/>
    </row>
    <row r="108" spans="1:12" x14ac:dyDescent="0.25">
      <c r="A108" s="33"/>
      <c r="B108" s="23"/>
      <c r="C108" s="33"/>
      <c r="D108" s="33"/>
      <c r="E108" s="33"/>
      <c r="F108" s="33"/>
      <c r="G108" s="33"/>
      <c r="H108" s="33"/>
      <c r="I108" s="33"/>
    </row>
    <row r="109" spans="1:12" x14ac:dyDescent="0.25">
      <c r="B109" s="23"/>
      <c r="C109" s="33"/>
      <c r="D109" s="33"/>
      <c r="E109" s="33"/>
      <c r="F109" s="33"/>
      <c r="G109" s="33"/>
      <c r="H109" s="33"/>
      <c r="I109" s="33"/>
    </row>
    <row r="110" spans="1:12" ht="21" x14ac:dyDescent="0.35">
      <c r="A110" s="13" t="s">
        <v>4</v>
      </c>
      <c r="B110" s="144"/>
      <c r="C110" s="46" t="str">
        <f>B6</f>
        <v>Klondike III</v>
      </c>
      <c r="D110" s="47"/>
      <c r="E110" s="23" t="s">
        <v>183</v>
      </c>
      <c r="F110" s="23"/>
    </row>
    <row r="111" spans="1:12" x14ac:dyDescent="0.25">
      <c r="B111" s="143"/>
    </row>
    <row r="112" spans="1:12" ht="18.75" x14ac:dyDescent="0.3">
      <c r="A112" s="9" t="s">
        <v>41</v>
      </c>
      <c r="B112" s="145"/>
      <c r="D112" s="2">
        <f>'Facility Detail'!$B$1155</f>
        <v>2013</v>
      </c>
      <c r="E112" s="2">
        <f>D112+1</f>
        <v>2014</v>
      </c>
      <c r="F112" s="2">
        <f>E112+1</f>
        <v>2015</v>
      </c>
      <c r="G112" s="139">
        <f>F112+1</f>
        <v>2016</v>
      </c>
      <c r="H112" s="139">
        <f>G112+1</f>
        <v>2017</v>
      </c>
      <c r="I112" s="25"/>
    </row>
    <row r="113" spans="1:13" x14ac:dyDescent="0.25">
      <c r="B113" s="140" t="str">
        <f>"Total MWh Produced / Purchased from " &amp; C110</f>
        <v>Total MWh Produced / Purchased from Klondike III</v>
      </c>
      <c r="C113" s="66"/>
      <c r="D113" s="3">
        <v>135860</v>
      </c>
      <c r="E113" s="4">
        <v>133571</v>
      </c>
      <c r="F113" s="4">
        <v>121605</v>
      </c>
      <c r="G113" s="4">
        <v>127238</v>
      </c>
      <c r="H113" s="5">
        <f>ROUND(L116,0)</f>
        <v>16349</v>
      </c>
      <c r="I113" s="24"/>
      <c r="L113" s="192">
        <v>2467</v>
      </c>
      <c r="M113" s="194">
        <v>42736</v>
      </c>
    </row>
    <row r="114" spans="1:13" x14ac:dyDescent="0.25">
      <c r="B114" s="140" t="s">
        <v>45</v>
      </c>
      <c r="C114" s="66"/>
      <c r="D114" s="155">
        <v>1</v>
      </c>
      <c r="E114" s="154">
        <v>1</v>
      </c>
      <c r="F114" s="154">
        <v>1</v>
      </c>
      <c r="G114" s="154">
        <v>1</v>
      </c>
      <c r="H114" s="156">
        <v>1</v>
      </c>
      <c r="I114" s="24"/>
      <c r="L114" s="192">
        <v>5293</v>
      </c>
      <c r="M114" s="194">
        <v>42767</v>
      </c>
    </row>
    <row r="115" spans="1:13" x14ac:dyDescent="0.25">
      <c r="B115" s="140" t="s">
        <v>40</v>
      </c>
      <c r="C115" s="66"/>
      <c r="D115" s="146">
        <v>1</v>
      </c>
      <c r="E115" s="52">
        <v>1</v>
      </c>
      <c r="F115" s="52">
        <v>1</v>
      </c>
      <c r="G115" s="52">
        <v>1</v>
      </c>
      <c r="H115" s="53">
        <v>1</v>
      </c>
      <c r="I115" s="24"/>
      <c r="L115" s="192">
        <v>8589</v>
      </c>
      <c r="M115" s="194">
        <v>42795</v>
      </c>
    </row>
    <row r="116" spans="1:13" x14ac:dyDescent="0.25">
      <c r="B116" s="68" t="s">
        <v>42</v>
      </c>
      <c r="C116" s="69"/>
      <c r="D116" s="41">
        <f xml:space="preserve"> D113 * D114 * D115</f>
        <v>135860</v>
      </c>
      <c r="E116" s="153">
        <f xml:space="preserve"> E113 * E114 * E115</f>
        <v>133571</v>
      </c>
      <c r="F116" s="153">
        <f xml:space="preserve"> F113 * F114 * F115</f>
        <v>121605</v>
      </c>
      <c r="G116" s="153">
        <f xml:space="preserve"> G113 * G114 * G115</f>
        <v>127238</v>
      </c>
      <c r="H116" s="153">
        <f xml:space="preserve"> H113 * H114 * H115</f>
        <v>16349</v>
      </c>
      <c r="I116" s="24"/>
      <c r="L116" s="193">
        <f>SUM(L113:L115)</f>
        <v>16349</v>
      </c>
    </row>
    <row r="117" spans="1:13" x14ac:dyDescent="0.25">
      <c r="B117" s="23"/>
      <c r="C117" s="33"/>
      <c r="D117" s="40"/>
      <c r="E117" s="40"/>
      <c r="F117" s="40"/>
      <c r="G117" s="40"/>
      <c r="H117" s="40"/>
      <c r="I117" s="24"/>
    </row>
    <row r="118" spans="1:13" ht="18.75" x14ac:dyDescent="0.3">
      <c r="A118" s="48" t="s">
        <v>139</v>
      </c>
      <c r="B118" s="143"/>
      <c r="C118" s="33"/>
      <c r="D118" s="2">
        <f>'Facility Detail'!$B$1155</f>
        <v>2013</v>
      </c>
      <c r="E118" s="2">
        <f>D118+1</f>
        <v>2014</v>
      </c>
      <c r="F118" s="2">
        <f>E118+1</f>
        <v>2015</v>
      </c>
      <c r="G118" s="2">
        <f>F118+1</f>
        <v>2016</v>
      </c>
      <c r="H118" s="2">
        <f>G118+1</f>
        <v>2017</v>
      </c>
      <c r="I118" s="24"/>
    </row>
    <row r="119" spans="1:13" x14ac:dyDescent="0.25">
      <c r="B119" s="140" t="s">
        <v>30</v>
      </c>
      <c r="C119" s="66"/>
      <c r="D119" s="54">
        <f>IF( $F6 = "Eligible", D116 * 'Facility Detail'!$B$1152, 0 )</f>
        <v>0</v>
      </c>
      <c r="E119" s="11">
        <f>IF( $F6 = "Eligible", E116 * 'Facility Detail'!$B$1152, 0 )</f>
        <v>0</v>
      </c>
      <c r="F119" s="127">
        <f>IF( $F6 = "Eligible", F116 * 'Facility Detail'!$B$1152, 0 )</f>
        <v>0</v>
      </c>
      <c r="G119" s="127">
        <f>IF( $F6 = "Eligible", G116 * 'Facility Detail'!$B$1152, 0 )</f>
        <v>0</v>
      </c>
      <c r="H119" s="12">
        <f>IF( $F6 = "Eligible", H116 * 'Facility Detail'!$B$1152, 0 )</f>
        <v>0</v>
      </c>
      <c r="I119" s="24"/>
    </row>
    <row r="120" spans="1:13" x14ac:dyDescent="0.25">
      <c r="B120" s="140" t="s">
        <v>6</v>
      </c>
      <c r="C120" s="66"/>
      <c r="D120" s="55">
        <f>IF( $G6 = "Eligible", D116, 0 )</f>
        <v>0</v>
      </c>
      <c r="E120" s="56">
        <f>IF( $G6 = "Eligible", E116, 0 )</f>
        <v>0</v>
      </c>
      <c r="F120" s="128">
        <f>IF( $G6 = "Eligible", F116, 0 )</f>
        <v>0</v>
      </c>
      <c r="G120" s="128">
        <f>IF( $G6 = "Eligible", G116, 0 )</f>
        <v>0</v>
      </c>
      <c r="H120" s="57">
        <f>IF( $G6 = "Eligible", H116, 0 )</f>
        <v>0</v>
      </c>
      <c r="I120" s="24"/>
    </row>
    <row r="121" spans="1:13" x14ac:dyDescent="0.25">
      <c r="B121" s="68" t="s">
        <v>141</v>
      </c>
      <c r="C121" s="69"/>
      <c r="D121" s="43">
        <f>SUM(D119:D120)</f>
        <v>0</v>
      </c>
      <c r="E121" s="44">
        <f>SUM(E119:E120)</f>
        <v>0</v>
      </c>
      <c r="F121" s="44">
        <f>SUM(F119:F120)</f>
        <v>0</v>
      </c>
      <c r="G121" s="44">
        <f>SUM(G119:G120)</f>
        <v>0</v>
      </c>
      <c r="H121" s="44">
        <f>SUM(H119:H120)</f>
        <v>0</v>
      </c>
      <c r="I121" s="24"/>
    </row>
    <row r="122" spans="1:13" x14ac:dyDescent="0.25">
      <c r="B122" s="23"/>
      <c r="C122" s="33"/>
      <c r="D122" s="42"/>
      <c r="E122" s="34"/>
      <c r="F122" s="34"/>
      <c r="G122" s="34"/>
      <c r="H122" s="34"/>
      <c r="I122" s="24"/>
    </row>
    <row r="123" spans="1:13" ht="18.75" x14ac:dyDescent="0.3">
      <c r="A123" s="45" t="s">
        <v>50</v>
      </c>
      <c r="B123" s="143"/>
      <c r="C123" s="33"/>
      <c r="D123" s="2">
        <f>'Facility Detail'!$B$1155</f>
        <v>2013</v>
      </c>
      <c r="E123" s="2">
        <f>D123+1</f>
        <v>2014</v>
      </c>
      <c r="F123" s="2">
        <f>E123+1</f>
        <v>2015</v>
      </c>
      <c r="G123" s="2">
        <f>F123+1</f>
        <v>2016</v>
      </c>
      <c r="H123" s="2">
        <f>G123+1</f>
        <v>2017</v>
      </c>
      <c r="I123" s="24"/>
    </row>
    <row r="124" spans="1:13" x14ac:dyDescent="0.25">
      <c r="B124" s="140" t="s">
        <v>67</v>
      </c>
      <c r="C124" s="66"/>
      <c r="D124" s="161">
        <v>68465</v>
      </c>
      <c r="E124" s="4">
        <v>133571</v>
      </c>
      <c r="F124" s="4">
        <v>60697</v>
      </c>
      <c r="G124" s="4">
        <v>0</v>
      </c>
      <c r="H124" s="5">
        <v>0</v>
      </c>
      <c r="I124" s="24"/>
    </row>
    <row r="125" spans="1:13" x14ac:dyDescent="0.25">
      <c r="B125" s="83" t="s">
        <v>43</v>
      </c>
      <c r="C125" s="73"/>
      <c r="D125" s="82"/>
      <c r="E125" s="162"/>
      <c r="F125" s="162"/>
      <c r="G125" s="162"/>
      <c r="H125" s="163"/>
      <c r="I125" s="24"/>
    </row>
    <row r="126" spans="1:13" x14ac:dyDescent="0.25">
      <c r="B126" s="83" t="s">
        <v>109</v>
      </c>
      <c r="C126" s="81"/>
      <c r="D126" s="58"/>
      <c r="E126" s="164"/>
      <c r="F126" s="164"/>
      <c r="G126" s="164"/>
      <c r="H126" s="165"/>
      <c r="I126" s="24"/>
    </row>
    <row r="127" spans="1:13" x14ac:dyDescent="0.25">
      <c r="B127" s="141" t="s">
        <v>110</v>
      </c>
      <c r="D127" s="7">
        <f>SUM(D124:D126)</f>
        <v>68465</v>
      </c>
      <c r="E127" s="7">
        <f>SUM(E124:E126)</f>
        <v>133571</v>
      </c>
      <c r="F127" s="7">
        <f>SUM(F124:F126)</f>
        <v>60697</v>
      </c>
      <c r="G127" s="7">
        <f>SUM(G124:G126)</f>
        <v>0</v>
      </c>
      <c r="H127" s="7">
        <f>SUM(H124:H126)</f>
        <v>0</v>
      </c>
      <c r="I127" s="32"/>
    </row>
    <row r="128" spans="1:13" x14ac:dyDescent="0.25">
      <c r="B128" s="142"/>
      <c r="D128" s="7"/>
      <c r="E128" s="7"/>
      <c r="F128" s="7"/>
      <c r="G128" s="7"/>
      <c r="H128" s="7"/>
      <c r="I128" s="32"/>
    </row>
    <row r="129" spans="1:9" ht="18.75" x14ac:dyDescent="0.3">
      <c r="A129" s="9" t="s">
        <v>120</v>
      </c>
      <c r="B129" s="143"/>
      <c r="D129" s="2">
        <f>'Facility Detail'!$B$1155</f>
        <v>2013</v>
      </c>
      <c r="E129" s="2">
        <f>D129+1</f>
        <v>2014</v>
      </c>
      <c r="F129" s="2">
        <f>E129+1</f>
        <v>2015</v>
      </c>
      <c r="G129" s="2">
        <f>F129+1</f>
        <v>2016</v>
      </c>
      <c r="H129" s="2">
        <f>G129+1</f>
        <v>2017</v>
      </c>
      <c r="I129" s="32"/>
    </row>
    <row r="130" spans="1:9" x14ac:dyDescent="0.25">
      <c r="B130" s="71" t="str">
        <f>( 'Facility Detail'!$B$1155) &amp; " Surplus Applied to " &amp; ( 'Facility Detail'!$B$1155 + 1 )</f>
        <v>2013 Surplus Applied to 2014</v>
      </c>
      <c r="C130" s="33"/>
      <c r="D130" s="3">
        <f>D116+D121-D127</f>
        <v>67395</v>
      </c>
      <c r="E130" s="59">
        <f>D130</f>
        <v>67395</v>
      </c>
      <c r="F130" s="135"/>
      <c r="G130" s="135"/>
      <c r="H130" s="136"/>
      <c r="I130" s="32"/>
    </row>
    <row r="131" spans="1:9" x14ac:dyDescent="0.25">
      <c r="B131" s="71" t="str">
        <f xml:space="preserve"> ( 'Facility Detail'!$B$1155 + 1 ) &amp; " Surplus Applied to " &amp; ( 'Facility Detail'!$B$1155 )</f>
        <v>2014 Surplus Applied to 2013</v>
      </c>
      <c r="C131" s="33"/>
      <c r="D131" s="157">
        <f>E131</f>
        <v>0</v>
      </c>
      <c r="E131" s="10">
        <v>0</v>
      </c>
      <c r="F131" s="131"/>
      <c r="G131" s="131"/>
      <c r="H131" s="137"/>
      <c r="I131" s="32"/>
    </row>
    <row r="132" spans="1:9" x14ac:dyDescent="0.25">
      <c r="B132" s="140" t="str">
        <f xml:space="preserve"> ( 'Facility Detail'!$B$1155 + 1 ) &amp; " Surplus Applied to " &amp; ( 'Facility Detail'!$B$1155 + 2 )</f>
        <v>2014 Surplus Applied to 2015</v>
      </c>
      <c r="C132" s="33"/>
      <c r="D132" s="132"/>
      <c r="E132" s="10">
        <f>E116+E121-E127</f>
        <v>0</v>
      </c>
      <c r="F132" s="65">
        <f>+E132</f>
        <v>0</v>
      </c>
      <c r="G132" s="131"/>
      <c r="H132" s="137"/>
      <c r="I132" s="32"/>
    </row>
    <row r="133" spans="1:9" x14ac:dyDescent="0.25">
      <c r="B133" s="140" t="str">
        <f xml:space="preserve"> ( 'Facility Detail'!$B$1155 + 2 ) &amp; " Surplus Applied to " &amp; ( 'Facility Detail'!$B$1155 + 1 )</f>
        <v>2015 Surplus Applied to 2014</v>
      </c>
      <c r="C133" s="33"/>
      <c r="D133" s="132"/>
      <c r="E133" s="65">
        <f>F133</f>
        <v>0</v>
      </c>
      <c r="F133" s="10">
        <v>0</v>
      </c>
      <c r="G133" s="131"/>
      <c r="H133" s="137"/>
      <c r="I133" s="32"/>
    </row>
    <row r="134" spans="1:9" x14ac:dyDescent="0.25">
      <c r="B134" s="140" t="s">
        <v>170</v>
      </c>
      <c r="C134" s="33"/>
      <c r="D134" s="132"/>
      <c r="E134" s="131"/>
      <c r="F134" s="10">
        <f>F116+F121-F127</f>
        <v>60908</v>
      </c>
      <c r="G134" s="65">
        <f>+F134</f>
        <v>60908</v>
      </c>
      <c r="H134" s="137"/>
      <c r="I134" s="32"/>
    </row>
    <row r="135" spans="1:9" x14ac:dyDescent="0.25">
      <c r="B135" s="140" t="s">
        <v>171</v>
      </c>
      <c r="C135" s="33"/>
      <c r="D135" s="132"/>
      <c r="E135" s="131"/>
      <c r="F135" s="65">
        <f>G135</f>
        <v>0</v>
      </c>
      <c r="G135" s="10">
        <v>0</v>
      </c>
      <c r="H135" s="137"/>
      <c r="I135" s="32"/>
    </row>
    <row r="136" spans="1:9" x14ac:dyDescent="0.25">
      <c r="B136" s="140" t="s">
        <v>172</v>
      </c>
      <c r="C136" s="33"/>
      <c r="D136" s="132"/>
      <c r="E136" s="131"/>
      <c r="F136" s="131"/>
      <c r="G136" s="10">
        <f>G116+G121-G127</f>
        <v>127238</v>
      </c>
      <c r="H136" s="60">
        <f>+G136</f>
        <v>127238</v>
      </c>
      <c r="I136" s="32"/>
    </row>
    <row r="137" spans="1:9" x14ac:dyDescent="0.25">
      <c r="B137" s="140" t="s">
        <v>173</v>
      </c>
      <c r="C137" s="33"/>
      <c r="D137" s="133"/>
      <c r="E137" s="134"/>
      <c r="F137" s="134"/>
      <c r="G137" s="61">
        <f>H137</f>
        <v>0</v>
      </c>
      <c r="H137" s="51">
        <v>0</v>
      </c>
      <c r="I137" s="32"/>
    </row>
    <row r="138" spans="1:9" x14ac:dyDescent="0.25">
      <c r="B138" s="141" t="s">
        <v>37</v>
      </c>
      <c r="D138" s="7">
        <f xml:space="preserve"> D131 - D130</f>
        <v>-67395</v>
      </c>
      <c r="E138" s="7">
        <f xml:space="preserve"> E130 + E133 - E132 - E131</f>
        <v>67395</v>
      </c>
      <c r="F138" s="7">
        <f>F132 - F133 - F134 + F135</f>
        <v>-60908</v>
      </c>
      <c r="G138" s="7">
        <f>G134  - G135 - G136  + G137</f>
        <v>-66330</v>
      </c>
      <c r="H138" s="7">
        <f>H136 - H137</f>
        <v>127238</v>
      </c>
      <c r="I138" s="32"/>
    </row>
    <row r="139" spans="1:9" x14ac:dyDescent="0.25">
      <c r="B139" s="142"/>
      <c r="D139" s="7"/>
      <c r="E139" s="7"/>
      <c r="F139" s="7"/>
      <c r="G139" s="7"/>
      <c r="H139" s="7"/>
      <c r="I139" s="32"/>
    </row>
    <row r="140" spans="1:9" x14ac:dyDescent="0.25">
      <c r="B140" s="68" t="s">
        <v>32</v>
      </c>
      <c r="C140" s="66"/>
      <c r="D140" s="90"/>
      <c r="E140" s="91"/>
      <c r="F140" s="129"/>
      <c r="G140" s="129"/>
      <c r="H140" s="92"/>
      <c r="I140" s="32"/>
    </row>
    <row r="141" spans="1:9" x14ac:dyDescent="0.25">
      <c r="B141" s="142"/>
      <c r="D141" s="7"/>
      <c r="E141" s="7"/>
      <c r="F141" s="7"/>
      <c r="G141" s="7"/>
      <c r="H141" s="7"/>
      <c r="I141" s="32"/>
    </row>
    <row r="142" spans="1:9" ht="18.75" x14ac:dyDescent="0.3">
      <c r="A142" s="45" t="s">
        <v>46</v>
      </c>
      <c r="B142" s="143"/>
      <c r="C142" s="66"/>
      <c r="D142" s="130">
        <f xml:space="preserve"> D116 + D121 - D127 + D138 + D140</f>
        <v>0</v>
      </c>
      <c r="E142" s="130">
        <f>E116+E121-E127+E138+E140</f>
        <v>67395</v>
      </c>
      <c r="F142" s="130">
        <f xml:space="preserve"> F116 + F121 - F127 + F138 + F140</f>
        <v>0</v>
      </c>
      <c r="G142" s="130">
        <f xml:space="preserve"> G116 + G121 - G127 + G138 + G140</f>
        <v>60908</v>
      </c>
      <c r="H142" s="49">
        <f xml:space="preserve"> H116 + H121 - H127 + H138 + H140</f>
        <v>143587</v>
      </c>
      <c r="I142" s="32"/>
    </row>
    <row r="143" spans="1:9" x14ac:dyDescent="0.25">
      <c r="B143" s="142"/>
      <c r="C143" s="147"/>
      <c r="E143" s="7"/>
      <c r="F143" s="7"/>
      <c r="G143" s="32"/>
      <c r="H143" s="32"/>
      <c r="I143" s="32"/>
    </row>
    <row r="144" spans="1:9" x14ac:dyDescent="0.25">
      <c r="B144" s="143"/>
      <c r="I144" s="33"/>
    </row>
    <row r="145" spans="1:9" x14ac:dyDescent="0.25">
      <c r="B145" s="23"/>
      <c r="C145" s="33"/>
      <c r="D145" s="33"/>
      <c r="E145" s="33"/>
      <c r="F145" s="33"/>
      <c r="G145" s="33"/>
      <c r="H145" s="33"/>
      <c r="I145" s="33"/>
    </row>
    <row r="146" spans="1:9" ht="21" x14ac:dyDescent="0.35">
      <c r="A146" s="13" t="s">
        <v>4</v>
      </c>
      <c r="B146" s="144"/>
      <c r="C146" s="46" t="str">
        <f>B7</f>
        <v>Wild Horse Phase II</v>
      </c>
      <c r="D146" s="47"/>
      <c r="E146" s="23"/>
      <c r="F146" s="23"/>
    </row>
    <row r="147" spans="1:9" x14ac:dyDescent="0.25">
      <c r="B147" s="143"/>
    </row>
    <row r="148" spans="1:9" ht="18.75" x14ac:dyDescent="0.3">
      <c r="A148" s="9" t="s">
        <v>41</v>
      </c>
      <c r="B148" s="145"/>
      <c r="D148" s="2">
        <f>'Facility Detail'!$B$1155</f>
        <v>2013</v>
      </c>
      <c r="E148" s="2">
        <f>D148+1</f>
        <v>2014</v>
      </c>
      <c r="F148" s="2">
        <f>E148+1</f>
        <v>2015</v>
      </c>
      <c r="G148" s="139">
        <f>F148+1</f>
        <v>2016</v>
      </c>
      <c r="H148" s="139">
        <f>G148+1</f>
        <v>2017</v>
      </c>
      <c r="I148" s="25"/>
    </row>
    <row r="149" spans="1:9" x14ac:dyDescent="0.25">
      <c r="B149" s="140" t="str">
        <f>"Total MWh Produced / Purchased from " &amp; C146</f>
        <v>Total MWh Produced / Purchased from Wild Horse Phase II</v>
      </c>
      <c r="C149" s="66"/>
      <c r="D149" s="3">
        <v>106755</v>
      </c>
      <c r="E149" s="4">
        <v>105180</v>
      </c>
      <c r="F149" s="4">
        <v>98693</v>
      </c>
      <c r="G149" s="4">
        <v>108686</v>
      </c>
      <c r="H149" s="5">
        <v>6763</v>
      </c>
      <c r="I149" s="24"/>
    </row>
    <row r="150" spans="1:9" x14ac:dyDescent="0.25">
      <c r="B150" s="140" t="s">
        <v>45</v>
      </c>
      <c r="C150" s="66"/>
      <c r="D150" s="155">
        <v>1</v>
      </c>
      <c r="E150" s="154">
        <v>1</v>
      </c>
      <c r="F150" s="154">
        <v>1</v>
      </c>
      <c r="G150" s="154">
        <v>1</v>
      </c>
      <c r="H150" s="156">
        <v>1</v>
      </c>
      <c r="I150" s="24"/>
    </row>
    <row r="151" spans="1:9" x14ac:dyDescent="0.25">
      <c r="B151" s="140" t="s">
        <v>40</v>
      </c>
      <c r="C151" s="66"/>
      <c r="D151" s="146">
        <v>1</v>
      </c>
      <c r="E151" s="52">
        <v>1</v>
      </c>
      <c r="F151" s="52">
        <v>1</v>
      </c>
      <c r="G151" s="52">
        <v>1</v>
      </c>
      <c r="H151" s="53">
        <v>1</v>
      </c>
      <c r="I151" s="24"/>
    </row>
    <row r="152" spans="1:9" x14ac:dyDescent="0.25">
      <c r="B152" s="68" t="s">
        <v>42</v>
      </c>
      <c r="C152" s="69"/>
      <c r="D152" s="41">
        <f xml:space="preserve"> D149 * D150 * D151</f>
        <v>106755</v>
      </c>
      <c r="E152" s="153">
        <f xml:space="preserve"> E149 * E150 * E151</f>
        <v>105180</v>
      </c>
      <c r="F152" s="153">
        <f xml:space="preserve"> F149 * F150 * F151</f>
        <v>98693</v>
      </c>
      <c r="G152" s="153">
        <f xml:space="preserve"> G149 * G150 * G151</f>
        <v>108686</v>
      </c>
      <c r="H152" s="153">
        <f xml:space="preserve"> H149 * H150 * H151</f>
        <v>6763</v>
      </c>
      <c r="I152" s="24"/>
    </row>
    <row r="153" spans="1:9" x14ac:dyDescent="0.25">
      <c r="B153" s="23"/>
      <c r="C153" s="33"/>
      <c r="D153" s="40"/>
      <c r="E153" s="40"/>
      <c r="F153" s="40"/>
      <c r="G153" s="40"/>
      <c r="H153" s="40"/>
      <c r="I153" s="24"/>
    </row>
    <row r="154" spans="1:9" ht="18.75" x14ac:dyDescent="0.3">
      <c r="A154" s="48" t="s">
        <v>139</v>
      </c>
      <c r="B154" s="143"/>
      <c r="C154" s="33"/>
      <c r="D154" s="2">
        <f>'Facility Detail'!$B$1155</f>
        <v>2013</v>
      </c>
      <c r="E154" s="2">
        <f>D154+1</f>
        <v>2014</v>
      </c>
      <c r="F154" s="2">
        <f>E154+1</f>
        <v>2015</v>
      </c>
      <c r="G154" s="2">
        <f>F154+1</f>
        <v>2016</v>
      </c>
      <c r="H154" s="2">
        <f>G154+1</f>
        <v>2017</v>
      </c>
      <c r="I154" s="24"/>
    </row>
    <row r="155" spans="1:9" x14ac:dyDescent="0.25">
      <c r="B155" s="140" t="s">
        <v>30</v>
      </c>
      <c r="C155" s="66"/>
      <c r="D155" s="54">
        <f>IF( $F7 = "Eligible",D152 * 'Facility Detail'!$B$1152, 0 )</f>
        <v>21351</v>
      </c>
      <c r="E155" s="11">
        <f>IF( $F7 = "Eligible",E152 * 'Facility Detail'!$B$1152, 0 )</f>
        <v>21036</v>
      </c>
      <c r="F155" s="127">
        <f>IF( $F7 = "Eligible",F152 * 'Facility Detail'!$B$1152, 0 )</f>
        <v>19738.600000000002</v>
      </c>
      <c r="G155" s="127">
        <f>IF( $F7 = "Eligible",G152 * 'Facility Detail'!$B$1152, 0 )</f>
        <v>21737.200000000001</v>
      </c>
      <c r="H155" s="12">
        <f>IF( $F7 = "Eligible",H152 * 'Facility Detail'!$B$1152, 0 )</f>
        <v>1352.6000000000001</v>
      </c>
      <c r="I155" s="24"/>
    </row>
    <row r="156" spans="1:9" x14ac:dyDescent="0.25">
      <c r="B156" s="140" t="s">
        <v>6</v>
      </c>
      <c r="C156" s="66"/>
      <c r="D156" s="55">
        <f>IF( $G7 = "Eligible", D152, 0 )</f>
        <v>0</v>
      </c>
      <c r="E156" s="56">
        <f>IF( $G7 = "Eligible", E152, 0 )</f>
        <v>0</v>
      </c>
      <c r="F156" s="128">
        <f>IF( $G7 = "Eligible", F152, 0 )</f>
        <v>0</v>
      </c>
      <c r="G156" s="128">
        <f>IF( $G7 = "Eligible", G152, 0 )</f>
        <v>0</v>
      </c>
      <c r="H156" s="57">
        <f>IF( $G7 = "Eligible", H152, 0 )</f>
        <v>0</v>
      </c>
      <c r="I156" s="24"/>
    </row>
    <row r="157" spans="1:9" x14ac:dyDescent="0.25">
      <c r="B157" s="68" t="s">
        <v>141</v>
      </c>
      <c r="C157" s="69"/>
      <c r="D157" s="43">
        <f>SUM(D155:D156)</f>
        <v>21351</v>
      </c>
      <c r="E157" s="44">
        <f>SUM(E155:E156)</f>
        <v>21036</v>
      </c>
      <c r="F157" s="44">
        <f>SUM(F155:F156)</f>
        <v>19738.600000000002</v>
      </c>
      <c r="G157" s="44">
        <f>SUM(G155:G156)</f>
        <v>21737.200000000001</v>
      </c>
      <c r="H157" s="44">
        <f>SUM(H155:H156)</f>
        <v>1352.6000000000001</v>
      </c>
      <c r="I157" s="24"/>
    </row>
    <row r="158" spans="1:9" x14ac:dyDescent="0.25">
      <c r="B158" s="23"/>
      <c r="C158" s="33"/>
      <c r="D158" s="42"/>
      <c r="E158" s="34"/>
      <c r="F158" s="34"/>
      <c r="G158" s="34"/>
      <c r="H158" s="34"/>
      <c r="I158" s="24"/>
    </row>
    <row r="159" spans="1:9" ht="18.75" x14ac:dyDescent="0.3">
      <c r="A159" s="45" t="s">
        <v>50</v>
      </c>
      <c r="B159" s="143"/>
      <c r="C159" s="33"/>
      <c r="D159" s="2">
        <f>'Facility Detail'!$B$1155</f>
        <v>2013</v>
      </c>
      <c r="E159" s="2">
        <f>D159+1</f>
        <v>2014</v>
      </c>
      <c r="F159" s="2">
        <f>E159+1</f>
        <v>2015</v>
      </c>
      <c r="G159" s="2">
        <f>F159+1</f>
        <v>2016</v>
      </c>
      <c r="H159" s="2">
        <f>G159+1</f>
        <v>2017</v>
      </c>
      <c r="I159" s="24"/>
    </row>
    <row r="160" spans="1:9" x14ac:dyDescent="0.25">
      <c r="B160" s="140" t="s">
        <v>67</v>
      </c>
      <c r="C160" s="66"/>
      <c r="D160" s="161">
        <v>47386</v>
      </c>
      <c r="E160" s="4">
        <v>98496</v>
      </c>
      <c r="F160" s="4">
        <v>10000</v>
      </c>
      <c r="G160" s="4">
        <v>0</v>
      </c>
      <c r="H160" s="5">
        <v>0</v>
      </c>
      <c r="I160" s="24"/>
    </row>
    <row r="161" spans="1:9" x14ac:dyDescent="0.25">
      <c r="B161" s="83" t="s">
        <v>43</v>
      </c>
      <c r="C161" s="73"/>
      <c r="D161" s="82"/>
      <c r="E161" s="162"/>
      <c r="F161" s="162"/>
      <c r="G161" s="162"/>
      <c r="H161" s="163"/>
      <c r="I161" s="24"/>
    </row>
    <row r="162" spans="1:9" x14ac:dyDescent="0.25">
      <c r="B162" s="83" t="s">
        <v>109</v>
      </c>
      <c r="C162" s="81"/>
      <c r="D162" s="58">
        <f>D160*0.2</f>
        <v>9477.2000000000007</v>
      </c>
      <c r="E162" s="164">
        <f>E160*0.2</f>
        <v>19699.2</v>
      </c>
      <c r="F162" s="164">
        <f>F160*0.2</f>
        <v>2000</v>
      </c>
      <c r="G162" s="164"/>
      <c r="H162" s="165"/>
      <c r="I162" s="24"/>
    </row>
    <row r="163" spans="1:9" x14ac:dyDescent="0.25">
      <c r="B163" s="141" t="s">
        <v>110</v>
      </c>
      <c r="D163" s="7">
        <f>SUM(D160:D162)</f>
        <v>56863.199999999997</v>
      </c>
      <c r="E163" s="7">
        <f>SUM(E160:E162)</f>
        <v>118195.2</v>
      </c>
      <c r="F163" s="7">
        <f>SUM(F160:F162)</f>
        <v>12000</v>
      </c>
      <c r="G163" s="7">
        <f>SUM(G160:G162)</f>
        <v>0</v>
      </c>
      <c r="H163" s="7">
        <f>SUM(H160:H162)</f>
        <v>0</v>
      </c>
      <c r="I163" s="32"/>
    </row>
    <row r="164" spans="1:9" x14ac:dyDescent="0.25">
      <c r="B164" s="142"/>
      <c r="D164" s="7"/>
      <c r="E164" s="7"/>
      <c r="F164" s="7"/>
      <c r="G164" s="7"/>
      <c r="H164" s="7"/>
      <c r="I164" s="32"/>
    </row>
    <row r="165" spans="1:9" ht="18.75" x14ac:dyDescent="0.3">
      <c r="A165" s="9" t="s">
        <v>120</v>
      </c>
      <c r="B165" s="143"/>
      <c r="D165" s="2">
        <f>'Facility Detail'!$B$1155</f>
        <v>2013</v>
      </c>
      <c r="E165" s="2">
        <f>D165+1</f>
        <v>2014</v>
      </c>
      <c r="F165" s="2">
        <f>E165+1</f>
        <v>2015</v>
      </c>
      <c r="G165" s="2">
        <f>F165+1</f>
        <v>2016</v>
      </c>
      <c r="H165" s="2">
        <f>G165+1</f>
        <v>2017</v>
      </c>
      <c r="I165" s="32"/>
    </row>
    <row r="166" spans="1:9" x14ac:dyDescent="0.25">
      <c r="B166" s="71" t="str">
        <f>( 'Facility Detail'!$B$1155) &amp; " Surplus Applied to " &amp; ( 'Facility Detail'!$B$1155 + 1 )</f>
        <v>2013 Surplus Applied to 2014</v>
      </c>
      <c r="C166" s="33"/>
      <c r="D166" s="3">
        <f>D152+D157-D163</f>
        <v>71242.8</v>
      </c>
      <c r="E166" s="59">
        <f>D166</f>
        <v>71242.8</v>
      </c>
      <c r="F166" s="135"/>
      <c r="G166" s="135"/>
      <c r="H166" s="136"/>
      <c r="I166" s="32"/>
    </row>
    <row r="167" spans="1:9" x14ac:dyDescent="0.25">
      <c r="B167" s="71" t="str">
        <f xml:space="preserve"> ( 'Facility Detail'!$B$1155 + 1 ) &amp; " Surplus Applied to " &amp; ( 'Facility Detail'!$B$1155 )</f>
        <v>2014 Surplus Applied to 2013</v>
      </c>
      <c r="C167" s="33"/>
      <c r="D167" s="157">
        <f>E167</f>
        <v>0</v>
      </c>
      <c r="E167" s="10">
        <v>0</v>
      </c>
      <c r="F167" s="131"/>
      <c r="G167" s="131"/>
      <c r="H167" s="137"/>
      <c r="I167" s="32"/>
    </row>
    <row r="168" spans="1:9" x14ac:dyDescent="0.25">
      <c r="B168" s="140" t="str">
        <f xml:space="preserve"> ( 'Facility Detail'!$B$1155 + 1 ) &amp; " Surplus Applied to " &amp; ( 'Facility Detail'!$B$1155 + 2 )</f>
        <v>2014 Surplus Applied to 2015</v>
      </c>
      <c r="C168" s="33"/>
      <c r="D168" s="132"/>
      <c r="E168" s="10">
        <f>E152+E157-E163</f>
        <v>8020.8000000000029</v>
      </c>
      <c r="F168" s="65">
        <f>+E168</f>
        <v>8020.8000000000029</v>
      </c>
      <c r="G168" s="131"/>
      <c r="H168" s="137"/>
      <c r="I168" s="32"/>
    </row>
    <row r="169" spans="1:9" x14ac:dyDescent="0.25">
      <c r="B169" s="140" t="str">
        <f xml:space="preserve"> ( 'Facility Detail'!$B$1155 + 2 ) &amp; " Surplus Applied to " &amp; ( 'Facility Detail'!$B$1155 + 1 )</f>
        <v>2015 Surplus Applied to 2014</v>
      </c>
      <c r="C169" s="33"/>
      <c r="D169" s="132"/>
      <c r="E169" s="65">
        <f>F169</f>
        <v>0</v>
      </c>
      <c r="F169" s="10">
        <v>0</v>
      </c>
      <c r="G169" s="131"/>
      <c r="H169" s="137"/>
      <c r="I169" s="32"/>
    </row>
    <row r="170" spans="1:9" x14ac:dyDescent="0.25">
      <c r="B170" s="140" t="s">
        <v>170</v>
      </c>
      <c r="C170" s="33"/>
      <c r="D170" s="132"/>
      <c r="E170" s="131"/>
      <c r="F170" s="10">
        <f>F152+F157-F163</f>
        <v>106431.6</v>
      </c>
      <c r="G170" s="65">
        <f>+F170</f>
        <v>106431.6</v>
      </c>
      <c r="H170" s="137"/>
      <c r="I170" s="32"/>
    </row>
    <row r="171" spans="1:9" x14ac:dyDescent="0.25">
      <c r="B171" s="140" t="s">
        <v>171</v>
      </c>
      <c r="C171" s="33"/>
      <c r="D171" s="132"/>
      <c r="E171" s="131"/>
      <c r="F171" s="65">
        <f>G171</f>
        <v>0</v>
      </c>
      <c r="G171" s="10">
        <v>0</v>
      </c>
      <c r="H171" s="137"/>
      <c r="I171" s="32"/>
    </row>
    <row r="172" spans="1:9" x14ac:dyDescent="0.25">
      <c r="B172" s="140" t="s">
        <v>172</v>
      </c>
      <c r="C172" s="33"/>
      <c r="D172" s="132"/>
      <c r="E172" s="131"/>
      <c r="F172" s="131"/>
      <c r="G172" s="10">
        <f>G152+G157-G163</f>
        <v>130423.2</v>
      </c>
      <c r="H172" s="60">
        <f>+G172</f>
        <v>130423.2</v>
      </c>
      <c r="I172" s="32"/>
    </row>
    <row r="173" spans="1:9" x14ac:dyDescent="0.25">
      <c r="B173" s="140" t="s">
        <v>173</v>
      </c>
      <c r="C173" s="33"/>
      <c r="D173" s="133"/>
      <c r="E173" s="134"/>
      <c r="F173" s="134"/>
      <c r="G173" s="61">
        <f>H173</f>
        <v>0</v>
      </c>
      <c r="H173" s="51">
        <v>0</v>
      </c>
      <c r="I173" s="32"/>
    </row>
    <row r="174" spans="1:9" x14ac:dyDescent="0.25">
      <c r="B174" s="141" t="s">
        <v>37</v>
      </c>
      <c r="D174" s="7">
        <f xml:space="preserve"> D167 - D166</f>
        <v>-71242.8</v>
      </c>
      <c r="E174" s="7">
        <f xml:space="preserve"> E166 + E169 - E168 - E167</f>
        <v>63222</v>
      </c>
      <c r="F174" s="7">
        <f>F168 - F169 - F170 + F171</f>
        <v>-98410.8</v>
      </c>
      <c r="G174" s="7">
        <f>G170  - G171 - G172  + G173</f>
        <v>-23991.599999999991</v>
      </c>
      <c r="H174" s="7">
        <f>H172 - H173</f>
        <v>130423.2</v>
      </c>
      <c r="I174" s="32"/>
    </row>
    <row r="175" spans="1:9" x14ac:dyDescent="0.25">
      <c r="B175" s="142"/>
      <c r="D175" s="7"/>
      <c r="E175" s="7"/>
      <c r="F175" s="7"/>
      <c r="G175" s="7"/>
      <c r="H175" s="7"/>
      <c r="I175" s="32"/>
    </row>
    <row r="176" spans="1:9" x14ac:dyDescent="0.25">
      <c r="B176" s="68" t="s">
        <v>32</v>
      </c>
      <c r="C176" s="66"/>
      <c r="D176" s="90"/>
      <c r="E176" s="91"/>
      <c r="F176" s="129"/>
      <c r="G176" s="129"/>
      <c r="H176" s="92"/>
      <c r="I176" s="32"/>
    </row>
    <row r="177" spans="1:12" x14ac:dyDescent="0.25">
      <c r="B177" s="142"/>
      <c r="D177" s="7"/>
      <c r="E177" s="7"/>
      <c r="F177" s="7"/>
      <c r="G177" s="7"/>
      <c r="H177" s="7"/>
      <c r="I177" s="32"/>
    </row>
    <row r="178" spans="1:12" ht="18.75" x14ac:dyDescent="0.3">
      <c r="A178" s="45" t="s">
        <v>46</v>
      </c>
      <c r="B178" s="143"/>
      <c r="C178" s="66"/>
      <c r="D178" s="130">
        <f xml:space="preserve"> D152 + D157 - D163 + D174 + D176</f>
        <v>0</v>
      </c>
      <c r="E178" s="130">
        <f>E152+E157-E163+E174+E176</f>
        <v>71242.8</v>
      </c>
      <c r="F178" s="130">
        <f xml:space="preserve"> F152 + F157 - F163 + F174 + F176</f>
        <v>8020.8000000000029</v>
      </c>
      <c r="G178" s="130">
        <f xml:space="preserve"> G152 + G157 - G163 + G174 + G176</f>
        <v>106431.6</v>
      </c>
      <c r="H178" s="49">
        <f xml:space="preserve"> H152 + H157 - H163 + H174 + H176</f>
        <v>138538.79999999999</v>
      </c>
      <c r="I178" s="32"/>
    </row>
    <row r="179" spans="1:12" x14ac:dyDescent="0.25">
      <c r="B179" s="142"/>
      <c r="C179" s="147" t="s">
        <v>168</v>
      </c>
      <c r="E179" s="7">
        <v>65090</v>
      </c>
      <c r="F179" s="7"/>
      <c r="G179" s="32"/>
      <c r="H179" s="32"/>
      <c r="I179" s="32"/>
    </row>
    <row r="180" spans="1:12" s="33" customFormat="1" x14ac:dyDescent="0.25">
      <c r="B180" s="23"/>
      <c r="L180" s="195"/>
    </row>
    <row r="181" spans="1:12" x14ac:dyDescent="0.25">
      <c r="A181" s="33"/>
      <c r="B181" s="23"/>
      <c r="C181" s="33"/>
      <c r="D181" s="33"/>
      <c r="E181" s="33"/>
      <c r="F181" s="33"/>
      <c r="G181" s="33"/>
      <c r="H181" s="33"/>
      <c r="I181" s="33"/>
    </row>
    <row r="182" spans="1:12" x14ac:dyDescent="0.25">
      <c r="B182" s="23"/>
      <c r="C182" s="33"/>
      <c r="D182" s="33"/>
      <c r="E182" s="33"/>
      <c r="F182" s="33"/>
      <c r="G182" s="33"/>
      <c r="H182" s="33"/>
      <c r="I182" s="33"/>
    </row>
    <row r="183" spans="1:12" ht="21" x14ac:dyDescent="0.35">
      <c r="A183" s="13" t="s">
        <v>4</v>
      </c>
      <c r="B183" s="144"/>
      <c r="C183" s="46" t="str">
        <f>B8</f>
        <v>Hopkins Ridge Phase II</v>
      </c>
      <c r="D183" s="47"/>
      <c r="E183" s="23"/>
      <c r="F183" s="23"/>
    </row>
    <row r="184" spans="1:12" x14ac:dyDescent="0.25">
      <c r="B184" s="143"/>
    </row>
    <row r="185" spans="1:12" ht="18.75" x14ac:dyDescent="0.3">
      <c r="A185" s="9" t="s">
        <v>41</v>
      </c>
      <c r="B185" s="145"/>
      <c r="D185" s="2">
        <f>'Facility Detail'!$B$1155</f>
        <v>2013</v>
      </c>
      <c r="E185" s="2">
        <f>D185+1</f>
        <v>2014</v>
      </c>
      <c r="F185" s="2">
        <f>E185+1</f>
        <v>2015</v>
      </c>
      <c r="G185" s="139">
        <f>F185+1</f>
        <v>2016</v>
      </c>
      <c r="H185" s="139">
        <f>G185+1</f>
        <v>2017</v>
      </c>
      <c r="I185" s="25"/>
    </row>
    <row r="186" spans="1:12" x14ac:dyDescent="0.25">
      <c r="B186" s="140" t="str">
        <f>"Total MWh Produced / Purchased from " &amp; C183</f>
        <v>Total MWh Produced / Purchased from Hopkins Ridge Phase II</v>
      </c>
      <c r="C186" s="66"/>
      <c r="D186" s="3">
        <v>17136</v>
      </c>
      <c r="E186" s="4">
        <v>18641</v>
      </c>
      <c r="F186" s="4">
        <v>16614</v>
      </c>
      <c r="G186" s="4">
        <v>19184</v>
      </c>
      <c r="H186" s="5">
        <v>506</v>
      </c>
      <c r="I186" s="24"/>
    </row>
    <row r="187" spans="1:12" x14ac:dyDescent="0.25">
      <c r="B187" s="140" t="s">
        <v>45</v>
      </c>
      <c r="C187" s="66"/>
      <c r="D187" s="155">
        <v>1</v>
      </c>
      <c r="E187" s="154">
        <v>1</v>
      </c>
      <c r="F187" s="154">
        <v>1</v>
      </c>
      <c r="G187" s="154">
        <v>1</v>
      </c>
      <c r="H187" s="156">
        <v>1</v>
      </c>
      <c r="I187" s="24"/>
    </row>
    <row r="188" spans="1:12" x14ac:dyDescent="0.25">
      <c r="B188" s="140" t="s">
        <v>40</v>
      </c>
      <c r="C188" s="66"/>
      <c r="D188" s="146">
        <v>1</v>
      </c>
      <c r="E188" s="52">
        <v>1</v>
      </c>
      <c r="F188" s="52">
        <v>1</v>
      </c>
      <c r="G188" s="52">
        <v>1</v>
      </c>
      <c r="H188" s="53">
        <v>1</v>
      </c>
      <c r="I188" s="24"/>
    </row>
    <row r="189" spans="1:12" x14ac:dyDescent="0.25">
      <c r="B189" s="68" t="s">
        <v>42</v>
      </c>
      <c r="C189" s="69"/>
      <c r="D189" s="41">
        <f xml:space="preserve"> D186 * D187 * D188</f>
        <v>17136</v>
      </c>
      <c r="E189" s="153">
        <f xml:space="preserve"> E186 * E187 * E188</f>
        <v>18641</v>
      </c>
      <c r="F189" s="153">
        <f xml:space="preserve"> F186 * F187 * F188</f>
        <v>16614</v>
      </c>
      <c r="G189" s="153">
        <f xml:space="preserve"> G186 * G187 * G188</f>
        <v>19184</v>
      </c>
      <c r="H189" s="153">
        <f xml:space="preserve"> H186 * H187 * H188</f>
        <v>506</v>
      </c>
      <c r="I189" s="24"/>
    </row>
    <row r="190" spans="1:12" x14ac:dyDescent="0.25">
      <c r="B190" s="23"/>
      <c r="C190" s="33"/>
      <c r="D190" s="40"/>
      <c r="E190" s="40"/>
      <c r="F190" s="40"/>
      <c r="G190" s="40"/>
      <c r="H190" s="40"/>
      <c r="I190" s="24"/>
    </row>
    <row r="191" spans="1:12" ht="18.75" x14ac:dyDescent="0.3">
      <c r="A191" s="48" t="s">
        <v>139</v>
      </c>
      <c r="B191" s="143"/>
      <c r="C191" s="33"/>
      <c r="D191" s="2">
        <f>'Facility Detail'!$B$1155</f>
        <v>2013</v>
      </c>
      <c r="E191" s="2">
        <f>D191+1</f>
        <v>2014</v>
      </c>
      <c r="F191" s="2">
        <f>E191+1</f>
        <v>2015</v>
      </c>
      <c r="G191" s="2">
        <f>F191+1</f>
        <v>2016</v>
      </c>
      <c r="H191" s="2">
        <f>G191+1</f>
        <v>2017</v>
      </c>
      <c r="I191" s="24"/>
    </row>
    <row r="192" spans="1:12" x14ac:dyDescent="0.25">
      <c r="B192" s="140" t="s">
        <v>30</v>
      </c>
      <c r="C192" s="66"/>
      <c r="D192" s="54">
        <f>IF( $F8 = "Eligible", D189 * 'Facility Detail'!$B$1152, 0 )</f>
        <v>0</v>
      </c>
      <c r="E192" s="11">
        <f>IF( $F8 = "Eligible", E189 * 'Facility Detail'!$B$1152, 0 )</f>
        <v>0</v>
      </c>
      <c r="F192" s="127">
        <f>IF( $F8 = "Eligible", F189 * 'Facility Detail'!$B$1152, 0 )</f>
        <v>0</v>
      </c>
      <c r="G192" s="127">
        <f>IF( $F8 = "Eligible", G189 * 'Facility Detail'!$B$1152, 0 )</f>
        <v>0</v>
      </c>
      <c r="H192" s="12">
        <f>IF( $F8 = "Eligible", H189 * 'Facility Detail'!$B$1152, 0 )</f>
        <v>0</v>
      </c>
      <c r="I192" s="24"/>
    </row>
    <row r="193" spans="1:9" x14ac:dyDescent="0.25">
      <c r="B193" s="140" t="s">
        <v>6</v>
      </c>
      <c r="C193" s="66"/>
      <c r="D193" s="55">
        <f>IF( $G8 = "Eligible", D189, 0 )</f>
        <v>0</v>
      </c>
      <c r="E193" s="56">
        <f>IF( $G8 = "Eligible", E189, 0 )</f>
        <v>0</v>
      </c>
      <c r="F193" s="128">
        <f>IF( $G8 = "Eligible", F189, 0 )</f>
        <v>0</v>
      </c>
      <c r="G193" s="128">
        <f>IF( $G8 = "Eligible", G189, 0 )</f>
        <v>0</v>
      </c>
      <c r="H193" s="57">
        <f>IF( $G8 = "Eligible", H189, 0 )</f>
        <v>0</v>
      </c>
      <c r="I193" s="24"/>
    </row>
    <row r="194" spans="1:9" x14ac:dyDescent="0.25">
      <c r="B194" s="68" t="s">
        <v>141</v>
      </c>
      <c r="C194" s="69"/>
      <c r="D194" s="43">
        <f>SUM(D192:D193)</f>
        <v>0</v>
      </c>
      <c r="E194" s="44">
        <f>SUM(E192:E193)</f>
        <v>0</v>
      </c>
      <c r="F194" s="44">
        <f>SUM(F192:F193)</f>
        <v>0</v>
      </c>
      <c r="G194" s="44">
        <f>SUM(G192:G193)</f>
        <v>0</v>
      </c>
      <c r="H194" s="44">
        <f>SUM(H192:H193)</f>
        <v>0</v>
      </c>
      <c r="I194" s="24"/>
    </row>
    <row r="195" spans="1:9" x14ac:dyDescent="0.25">
      <c r="B195" s="23"/>
      <c r="C195" s="33"/>
      <c r="D195" s="42"/>
      <c r="E195" s="34"/>
      <c r="F195" s="34"/>
      <c r="G195" s="34"/>
      <c r="H195" s="34"/>
      <c r="I195" s="24"/>
    </row>
    <row r="196" spans="1:9" ht="18.75" x14ac:dyDescent="0.3">
      <c r="A196" s="45" t="s">
        <v>50</v>
      </c>
      <c r="B196" s="143"/>
      <c r="C196" s="33"/>
      <c r="D196" s="2">
        <f>'Facility Detail'!$B$1155</f>
        <v>2013</v>
      </c>
      <c r="E196" s="2">
        <f>D196+1</f>
        <v>2014</v>
      </c>
      <c r="F196" s="2">
        <f>E196+1</f>
        <v>2015</v>
      </c>
      <c r="G196" s="2">
        <f>F196+1</f>
        <v>2016</v>
      </c>
      <c r="H196" s="2">
        <f>G196+1</f>
        <v>2017</v>
      </c>
      <c r="I196" s="24"/>
    </row>
    <row r="197" spans="1:9" x14ac:dyDescent="0.25">
      <c r="B197" s="140" t="s">
        <v>67</v>
      </c>
      <c r="C197" s="66"/>
      <c r="D197" s="161">
        <v>7309</v>
      </c>
      <c r="E197" s="4">
        <v>18641</v>
      </c>
      <c r="F197" s="4">
        <v>1735</v>
      </c>
      <c r="G197" s="4">
        <v>0</v>
      </c>
      <c r="H197" s="5">
        <v>0</v>
      </c>
      <c r="I197" s="24"/>
    </row>
    <row r="198" spans="1:9" x14ac:dyDescent="0.25">
      <c r="B198" s="83" t="s">
        <v>43</v>
      </c>
      <c r="C198" s="73"/>
      <c r="D198" s="82"/>
      <c r="E198" s="162"/>
      <c r="F198" s="162"/>
      <c r="G198" s="162"/>
      <c r="H198" s="163"/>
      <c r="I198" s="24"/>
    </row>
    <row r="199" spans="1:9" x14ac:dyDescent="0.25">
      <c r="B199" s="83" t="s">
        <v>109</v>
      </c>
      <c r="C199" s="81"/>
      <c r="D199" s="58"/>
      <c r="E199" s="164"/>
      <c r="F199" s="164"/>
      <c r="G199" s="164"/>
      <c r="H199" s="165"/>
      <c r="I199" s="24"/>
    </row>
    <row r="200" spans="1:9" x14ac:dyDescent="0.25">
      <c r="B200" s="141" t="s">
        <v>110</v>
      </c>
      <c r="D200" s="7">
        <f>SUM(D197:D199)</f>
        <v>7309</v>
      </c>
      <c r="E200" s="7">
        <f>SUM(E197:E199)</f>
        <v>18641</v>
      </c>
      <c r="F200" s="7">
        <f>SUM(F197:F199)</f>
        <v>1735</v>
      </c>
      <c r="G200" s="7">
        <f>SUM(G197:G199)</f>
        <v>0</v>
      </c>
      <c r="H200" s="7">
        <f>SUM(H197:H199)</f>
        <v>0</v>
      </c>
      <c r="I200" s="32"/>
    </row>
    <row r="201" spans="1:9" x14ac:dyDescent="0.25">
      <c r="B201" s="142"/>
      <c r="D201" s="7"/>
      <c r="E201" s="7"/>
      <c r="F201" s="7"/>
      <c r="G201" s="7"/>
      <c r="H201" s="7"/>
      <c r="I201" s="32"/>
    </row>
    <row r="202" spans="1:9" ht="18.75" x14ac:dyDescent="0.3">
      <c r="A202" s="9" t="s">
        <v>120</v>
      </c>
      <c r="B202" s="143"/>
      <c r="D202" s="2">
        <f>'Facility Detail'!$B$1155</f>
        <v>2013</v>
      </c>
      <c r="E202" s="2">
        <f>D202+1</f>
        <v>2014</v>
      </c>
      <c r="F202" s="2">
        <f>E202+1</f>
        <v>2015</v>
      </c>
      <c r="G202" s="2">
        <f>F202+1</f>
        <v>2016</v>
      </c>
      <c r="H202" s="2">
        <f>G202+1</f>
        <v>2017</v>
      </c>
      <c r="I202" s="32"/>
    </row>
    <row r="203" spans="1:9" x14ac:dyDescent="0.25">
      <c r="B203" s="71" t="str">
        <f>( 'Facility Detail'!$B$1155) &amp; " Surplus Applied to " &amp; ( 'Facility Detail'!$B$1155 + 1 )</f>
        <v>2013 Surplus Applied to 2014</v>
      </c>
      <c r="C203" s="33"/>
      <c r="D203" s="3">
        <f>D189+D194-D200</f>
        <v>9827</v>
      </c>
      <c r="E203" s="59">
        <f>D203</f>
        <v>9827</v>
      </c>
      <c r="F203" s="135"/>
      <c r="G203" s="135"/>
      <c r="H203" s="136"/>
      <c r="I203" s="32"/>
    </row>
    <row r="204" spans="1:9" x14ac:dyDescent="0.25">
      <c r="B204" s="71" t="str">
        <f xml:space="preserve"> ( 'Facility Detail'!$B$1155 + 1 ) &amp; " Surplus Applied to " &amp; ( 'Facility Detail'!$B$1155 )</f>
        <v>2014 Surplus Applied to 2013</v>
      </c>
      <c r="C204" s="33"/>
      <c r="D204" s="157">
        <f>E204</f>
        <v>0</v>
      </c>
      <c r="E204" s="10">
        <v>0</v>
      </c>
      <c r="F204" s="131"/>
      <c r="G204" s="131"/>
      <c r="H204" s="137"/>
      <c r="I204" s="32"/>
    </row>
    <row r="205" spans="1:9" x14ac:dyDescent="0.25">
      <c r="B205" s="140" t="str">
        <f xml:space="preserve"> ( 'Facility Detail'!$B$1155 + 1 ) &amp; " Surplus Applied to " &amp; ( 'Facility Detail'!$B$1155 + 2 )</f>
        <v>2014 Surplus Applied to 2015</v>
      </c>
      <c r="C205" s="33"/>
      <c r="D205" s="132"/>
      <c r="E205" s="10">
        <f>E189+E194-E200</f>
        <v>0</v>
      </c>
      <c r="F205" s="65">
        <f>+E205</f>
        <v>0</v>
      </c>
      <c r="G205" s="131"/>
      <c r="H205" s="137"/>
      <c r="I205" s="32"/>
    </row>
    <row r="206" spans="1:9" x14ac:dyDescent="0.25">
      <c r="B206" s="140" t="str">
        <f xml:space="preserve"> ( 'Facility Detail'!$B$1155 + 2 ) &amp; " Surplus Applied to " &amp; ( 'Facility Detail'!$B$1155 + 1 )</f>
        <v>2015 Surplus Applied to 2014</v>
      </c>
      <c r="C206" s="33"/>
      <c r="D206" s="132"/>
      <c r="E206" s="65">
        <f>F206</f>
        <v>0</v>
      </c>
      <c r="F206" s="10">
        <v>0</v>
      </c>
      <c r="G206" s="131"/>
      <c r="H206" s="137"/>
      <c r="I206" s="32"/>
    </row>
    <row r="207" spans="1:9" x14ac:dyDescent="0.25">
      <c r="B207" s="140" t="s">
        <v>170</v>
      </c>
      <c r="C207" s="33"/>
      <c r="D207" s="132"/>
      <c r="E207" s="131"/>
      <c r="F207" s="10">
        <f>F189+F194-F200</f>
        <v>14879</v>
      </c>
      <c r="G207" s="65">
        <f>+F207</f>
        <v>14879</v>
      </c>
      <c r="H207" s="137"/>
      <c r="I207" s="32"/>
    </row>
    <row r="208" spans="1:9" x14ac:dyDescent="0.25">
      <c r="B208" s="140" t="s">
        <v>171</v>
      </c>
      <c r="C208" s="33"/>
      <c r="D208" s="132"/>
      <c r="E208" s="131"/>
      <c r="F208" s="65">
        <f>G208</f>
        <v>0</v>
      </c>
      <c r="G208" s="10">
        <v>0</v>
      </c>
      <c r="H208" s="137"/>
      <c r="I208" s="32"/>
    </row>
    <row r="209" spans="1:13" x14ac:dyDescent="0.25">
      <c r="B209" s="140" t="s">
        <v>172</v>
      </c>
      <c r="C209" s="33"/>
      <c r="D209" s="132"/>
      <c r="E209" s="131"/>
      <c r="F209" s="131"/>
      <c r="G209" s="10">
        <f>G189+G194-G200</f>
        <v>19184</v>
      </c>
      <c r="H209" s="60">
        <f>+G209</f>
        <v>19184</v>
      </c>
      <c r="I209" s="32"/>
    </row>
    <row r="210" spans="1:13" x14ac:dyDescent="0.25">
      <c r="B210" s="140" t="s">
        <v>173</v>
      </c>
      <c r="C210" s="33"/>
      <c r="D210" s="133"/>
      <c r="E210" s="134"/>
      <c r="F210" s="134"/>
      <c r="G210" s="61">
        <f>H210</f>
        <v>0</v>
      </c>
      <c r="H210" s="51">
        <v>0</v>
      </c>
      <c r="I210" s="32"/>
    </row>
    <row r="211" spans="1:13" x14ac:dyDescent="0.25">
      <c r="B211" s="141" t="s">
        <v>37</v>
      </c>
      <c r="D211" s="7">
        <f xml:space="preserve"> D204 - D203</f>
        <v>-9827</v>
      </c>
      <c r="E211" s="7">
        <f xml:space="preserve"> E203 + E206 - E205 - E204</f>
        <v>9827</v>
      </c>
      <c r="F211" s="7">
        <f>F205 - F206 - F207 + F208</f>
        <v>-14879</v>
      </c>
      <c r="G211" s="7">
        <f>G207  - G208 - G209  + G210</f>
        <v>-4305</v>
      </c>
      <c r="H211" s="7">
        <f>H209 - H210</f>
        <v>19184</v>
      </c>
      <c r="I211" s="32"/>
    </row>
    <row r="212" spans="1:13" x14ac:dyDescent="0.25">
      <c r="B212" s="142"/>
      <c r="D212" s="7"/>
      <c r="E212" s="7"/>
      <c r="F212" s="7"/>
      <c r="G212" s="7"/>
      <c r="H212" s="7"/>
      <c r="I212" s="32"/>
    </row>
    <row r="213" spans="1:13" x14ac:dyDescent="0.25">
      <c r="B213" s="68" t="s">
        <v>32</v>
      </c>
      <c r="C213" s="66"/>
      <c r="D213" s="90"/>
      <c r="E213" s="91"/>
      <c r="F213" s="129"/>
      <c r="G213" s="129"/>
      <c r="H213" s="92"/>
      <c r="I213" s="32"/>
    </row>
    <row r="214" spans="1:13" x14ac:dyDescent="0.25">
      <c r="B214" s="142"/>
      <c r="D214" s="7"/>
      <c r="E214" s="7"/>
      <c r="F214" s="7"/>
      <c r="G214" s="7"/>
      <c r="H214" s="7"/>
      <c r="I214" s="32"/>
    </row>
    <row r="215" spans="1:13" ht="18.75" x14ac:dyDescent="0.3">
      <c r="A215" s="45" t="s">
        <v>46</v>
      </c>
      <c r="B215" s="143"/>
      <c r="C215" s="66"/>
      <c r="D215" s="130">
        <f xml:space="preserve"> D189 + D194 - D200 + D211 + D213</f>
        <v>0</v>
      </c>
      <c r="E215" s="130">
        <f>E189+E194-E200+E211+E213</f>
        <v>9827</v>
      </c>
      <c r="F215" s="130">
        <f xml:space="preserve"> F189 + F194 - F200 + F211 + F213</f>
        <v>0</v>
      </c>
      <c r="G215" s="130">
        <f xml:space="preserve"> G189 + G194 - G200 + G211 + G213</f>
        <v>14879</v>
      </c>
      <c r="H215" s="49">
        <f xml:space="preserve"> H189 + H194 - H200 + H211 + H213</f>
        <v>19690</v>
      </c>
      <c r="I215" s="32"/>
    </row>
    <row r="216" spans="1:13" x14ac:dyDescent="0.25">
      <c r="B216" s="142"/>
      <c r="C216" s="147"/>
      <c r="E216" s="7"/>
      <c r="F216" s="7"/>
      <c r="G216" s="32"/>
      <c r="H216" s="32"/>
      <c r="I216" s="32"/>
    </row>
    <row r="217" spans="1:13" x14ac:dyDescent="0.25">
      <c r="B217" s="143"/>
      <c r="I217" s="33"/>
    </row>
    <row r="218" spans="1:13" s="33" customFormat="1" x14ac:dyDescent="0.25">
      <c r="B218" s="23"/>
      <c r="L218" s="195"/>
    </row>
    <row r="219" spans="1:13" x14ac:dyDescent="0.25">
      <c r="B219" s="23"/>
      <c r="C219" s="33"/>
      <c r="D219" s="33"/>
      <c r="E219" s="33"/>
      <c r="F219" s="33"/>
      <c r="G219" s="33"/>
      <c r="H219" s="33"/>
      <c r="I219" s="33"/>
    </row>
    <row r="220" spans="1:13" ht="21" x14ac:dyDescent="0.35">
      <c r="A220" s="13" t="s">
        <v>4</v>
      </c>
      <c r="B220" s="144"/>
      <c r="C220" s="46" t="str">
        <f>B9</f>
        <v>Lower Snake River - Dodge Junction</v>
      </c>
      <c r="D220" s="47"/>
      <c r="E220" s="23"/>
      <c r="F220" s="23"/>
    </row>
    <row r="221" spans="1:13" x14ac:dyDescent="0.25">
      <c r="B221" s="143"/>
    </row>
    <row r="222" spans="1:13" ht="18.75" x14ac:dyDescent="0.3">
      <c r="A222" s="9" t="s">
        <v>41</v>
      </c>
      <c r="B222" s="145"/>
      <c r="D222" s="2">
        <f>'Facility Detail'!$B$1155</f>
        <v>2013</v>
      </c>
      <c r="E222" s="2">
        <f>D222+1</f>
        <v>2014</v>
      </c>
      <c r="F222" s="2">
        <f>E222+1</f>
        <v>2015</v>
      </c>
      <c r="G222" s="139">
        <f>F222+1</f>
        <v>2016</v>
      </c>
      <c r="H222" s="139">
        <f>G222+1</f>
        <v>2017</v>
      </c>
      <c r="I222" s="25"/>
    </row>
    <row r="223" spans="1:13" x14ac:dyDescent="0.25">
      <c r="B223" s="140" t="str">
        <f>"Total MWh Produced / Purchased from " &amp; C220</f>
        <v>Total MWh Produced / Purchased from Lower Snake River - Dodge Junction</v>
      </c>
      <c r="C223" s="66"/>
      <c r="D223" s="3">
        <v>470881</v>
      </c>
      <c r="E223" s="4">
        <v>500349</v>
      </c>
      <c r="F223" s="4">
        <v>421560</v>
      </c>
      <c r="G223" s="4">
        <v>500734</v>
      </c>
      <c r="H223" s="5">
        <v>11277</v>
      </c>
      <c r="I223" s="24"/>
      <c r="L223" s="192">
        <v>11322.4</v>
      </c>
      <c r="M223" s="194">
        <v>42736</v>
      </c>
    </row>
    <row r="224" spans="1:13" x14ac:dyDescent="0.25">
      <c r="B224" s="140" t="s">
        <v>45</v>
      </c>
      <c r="C224" s="66"/>
      <c r="D224" s="155">
        <v>1</v>
      </c>
      <c r="E224" s="154">
        <v>1</v>
      </c>
      <c r="F224" s="154">
        <v>1</v>
      </c>
      <c r="G224" s="154">
        <v>1</v>
      </c>
      <c r="H224" s="156">
        <v>1</v>
      </c>
      <c r="I224" s="24"/>
      <c r="L224" s="192">
        <v>36076.9</v>
      </c>
      <c r="M224" s="194">
        <v>42767</v>
      </c>
    </row>
    <row r="225" spans="1:13" x14ac:dyDescent="0.25">
      <c r="B225" s="140" t="s">
        <v>40</v>
      </c>
      <c r="C225" s="66"/>
      <c r="D225" s="146">
        <v>1</v>
      </c>
      <c r="E225" s="52">
        <v>1</v>
      </c>
      <c r="F225" s="52">
        <v>1</v>
      </c>
      <c r="G225" s="52">
        <v>1</v>
      </c>
      <c r="H225" s="53">
        <v>1</v>
      </c>
      <c r="I225" s="24"/>
      <c r="L225" s="192">
        <v>54051.1</v>
      </c>
      <c r="M225" s="194">
        <v>42795</v>
      </c>
    </row>
    <row r="226" spans="1:13" x14ac:dyDescent="0.25">
      <c r="B226" s="68" t="s">
        <v>42</v>
      </c>
      <c r="C226" s="69"/>
      <c r="D226" s="41">
        <f xml:space="preserve"> D223 * D224 * D225</f>
        <v>470881</v>
      </c>
      <c r="E226" s="153">
        <f xml:space="preserve"> E223 * E224 * E225</f>
        <v>500349</v>
      </c>
      <c r="F226" s="153">
        <f xml:space="preserve"> F223 * F224 * F225</f>
        <v>421560</v>
      </c>
      <c r="G226" s="153">
        <f xml:space="preserve"> G223 * G224 * G225</f>
        <v>500734</v>
      </c>
      <c r="H226" s="153">
        <f xml:space="preserve"> H223 * H224 * H225</f>
        <v>11277</v>
      </c>
      <c r="I226" s="24"/>
      <c r="L226" s="193">
        <f>SUM(L223:L225)</f>
        <v>101450.4</v>
      </c>
    </row>
    <row r="227" spans="1:13" x14ac:dyDescent="0.25">
      <c r="B227" s="23"/>
      <c r="C227" s="33"/>
      <c r="D227" s="40"/>
      <c r="E227" s="40"/>
      <c r="F227" s="40"/>
      <c r="G227" s="40"/>
      <c r="H227" s="40"/>
      <c r="I227" s="24"/>
    </row>
    <row r="228" spans="1:13" ht="18.75" x14ac:dyDescent="0.3">
      <c r="A228" s="48" t="s">
        <v>139</v>
      </c>
      <c r="B228" s="143"/>
      <c r="C228" s="33"/>
      <c r="D228" s="2">
        <f>'Facility Detail'!$B$1155</f>
        <v>2013</v>
      </c>
      <c r="E228" s="2">
        <f>D228+1</f>
        <v>2014</v>
      </c>
      <c r="F228" s="2">
        <f>E228+1</f>
        <v>2015</v>
      </c>
      <c r="G228" s="2">
        <f>F228+1</f>
        <v>2016</v>
      </c>
      <c r="H228" s="2">
        <f>G228+1</f>
        <v>2017</v>
      </c>
      <c r="I228" s="24"/>
    </row>
    <row r="229" spans="1:13" x14ac:dyDescent="0.25">
      <c r="B229" s="140" t="s">
        <v>30</v>
      </c>
      <c r="C229" s="66"/>
      <c r="D229" s="54">
        <f>IF( $F9 = "Eligible", D226 * 'Facility Detail'!$B$1152, 0 )</f>
        <v>94176.200000000012</v>
      </c>
      <c r="E229" s="11">
        <f>IF( $F9 = "Eligible", E226 * 'Facility Detail'!$B$1152, 0 )</f>
        <v>100069.8</v>
      </c>
      <c r="F229" s="127">
        <f>IF( $F9 = "Eligible", F226 * 'Facility Detail'!$B$1152, 0 )</f>
        <v>84312</v>
      </c>
      <c r="G229" s="127">
        <f>IF( $F9 = "Eligible", G226 * 'Facility Detail'!$B$1152, 0 )</f>
        <v>100146.8</v>
      </c>
      <c r="H229" s="12">
        <f>IF( $F9 = "Eligible", H226 * 'Facility Detail'!$B$1152, 0 )</f>
        <v>2255.4</v>
      </c>
      <c r="I229" s="24"/>
    </row>
    <row r="230" spans="1:13" x14ac:dyDescent="0.25">
      <c r="B230" s="140" t="s">
        <v>6</v>
      </c>
      <c r="C230" s="66"/>
      <c r="D230" s="55">
        <f>IF( $G9 = "Eligible", D226, 0 )</f>
        <v>0</v>
      </c>
      <c r="E230" s="56">
        <f>IF( $G9 = "Eligible", E226, 0 )</f>
        <v>0</v>
      </c>
      <c r="F230" s="128">
        <f>IF( $G9 = "Eligible", F226, 0 )</f>
        <v>0</v>
      </c>
      <c r="G230" s="128">
        <f>IF( $G9 = "Eligible", G226, 0 )</f>
        <v>0</v>
      </c>
      <c r="H230" s="57">
        <f>IF( $G9 = "Eligible", H226, 0 )</f>
        <v>0</v>
      </c>
      <c r="I230" s="24"/>
    </row>
    <row r="231" spans="1:13" x14ac:dyDescent="0.25">
      <c r="B231" s="68" t="s">
        <v>141</v>
      </c>
      <c r="C231" s="69"/>
      <c r="D231" s="43">
        <f>SUM(D229:D230)</f>
        <v>94176.200000000012</v>
      </c>
      <c r="E231" s="44">
        <f>SUM(E229:E230)</f>
        <v>100069.8</v>
      </c>
      <c r="F231" s="44">
        <f>SUM(F229:F230)</f>
        <v>84312</v>
      </c>
      <c r="G231" s="44">
        <f>SUM(G229:G230)</f>
        <v>100146.8</v>
      </c>
      <c r="H231" s="44">
        <f>SUM(H229:H230)</f>
        <v>2255.4</v>
      </c>
      <c r="I231" s="24"/>
    </row>
    <row r="232" spans="1:13" x14ac:dyDescent="0.25">
      <c r="B232" s="23"/>
      <c r="C232" s="33"/>
      <c r="D232" s="42"/>
      <c r="E232" s="34"/>
      <c r="F232" s="34"/>
      <c r="G232" s="34"/>
      <c r="H232" s="34"/>
      <c r="I232" s="24"/>
    </row>
    <row r="233" spans="1:13" ht="18.75" x14ac:dyDescent="0.3">
      <c r="A233" s="45" t="s">
        <v>50</v>
      </c>
      <c r="B233" s="143"/>
      <c r="C233" s="33"/>
      <c r="D233" s="2">
        <f>'Facility Detail'!$B$1155</f>
        <v>2013</v>
      </c>
      <c r="E233" s="2">
        <f>D233+1</f>
        <v>2014</v>
      </c>
      <c r="F233" s="2">
        <f>E233+1</f>
        <v>2015</v>
      </c>
      <c r="G233" s="2">
        <f>F233+1</f>
        <v>2016</v>
      </c>
      <c r="H233" s="2">
        <f>G233+1</f>
        <v>2017</v>
      </c>
      <c r="I233" s="24"/>
    </row>
    <row r="234" spans="1:13" x14ac:dyDescent="0.25">
      <c r="B234" s="140" t="s">
        <v>67</v>
      </c>
      <c r="C234" s="66"/>
      <c r="D234" s="161">
        <v>201751</v>
      </c>
      <c r="E234" s="4">
        <v>230247</v>
      </c>
      <c r="F234" s="4">
        <v>0</v>
      </c>
      <c r="G234" s="4">
        <v>0</v>
      </c>
      <c r="H234" s="5">
        <v>0</v>
      </c>
      <c r="I234" s="24"/>
    </row>
    <row r="235" spans="1:13" x14ac:dyDescent="0.25">
      <c r="B235" s="83" t="s">
        <v>43</v>
      </c>
      <c r="C235" s="73"/>
      <c r="D235" s="82"/>
      <c r="E235" s="162"/>
      <c r="F235" s="162"/>
      <c r="G235" s="162"/>
      <c r="H235" s="163"/>
      <c r="I235" s="24"/>
    </row>
    <row r="236" spans="1:13" x14ac:dyDescent="0.25">
      <c r="B236" s="83" t="s">
        <v>109</v>
      </c>
      <c r="C236" s="81"/>
      <c r="D236" s="58">
        <f>D234*0.2</f>
        <v>40350.200000000004</v>
      </c>
      <c r="E236" s="164">
        <f>E234*0.2</f>
        <v>46049.4</v>
      </c>
      <c r="F236" s="164">
        <f>F234*0.2</f>
        <v>0</v>
      </c>
      <c r="G236" s="164"/>
      <c r="H236" s="165"/>
      <c r="I236" s="24"/>
    </row>
    <row r="237" spans="1:13" x14ac:dyDescent="0.25">
      <c r="B237" s="141" t="s">
        <v>110</v>
      </c>
      <c r="D237" s="7">
        <f>SUM(D234:D236)</f>
        <v>242101.2</v>
      </c>
      <c r="E237" s="7">
        <f>SUM(E234:E236)</f>
        <v>276296.40000000002</v>
      </c>
      <c r="F237" s="7">
        <f>SUM(F234:F236)</f>
        <v>0</v>
      </c>
      <c r="G237" s="7">
        <f>SUM(G234:G236)</f>
        <v>0</v>
      </c>
      <c r="H237" s="7">
        <f>SUM(H234:H236)</f>
        <v>0</v>
      </c>
      <c r="I237" s="32"/>
    </row>
    <row r="238" spans="1:13" x14ac:dyDescent="0.25">
      <c r="B238" s="142"/>
      <c r="D238" s="7"/>
      <c r="E238" s="7"/>
      <c r="F238" s="7"/>
      <c r="G238" s="7"/>
      <c r="H238" s="7"/>
      <c r="I238" s="32"/>
    </row>
    <row r="239" spans="1:13" ht="18.75" x14ac:dyDescent="0.3">
      <c r="A239" s="9" t="s">
        <v>120</v>
      </c>
      <c r="B239" s="143"/>
      <c r="D239" s="2">
        <f>'Facility Detail'!$B$1155</f>
        <v>2013</v>
      </c>
      <c r="E239" s="2">
        <f>D239+1</f>
        <v>2014</v>
      </c>
      <c r="F239" s="2">
        <f>E239+1</f>
        <v>2015</v>
      </c>
      <c r="G239" s="2">
        <f>F239+1</f>
        <v>2016</v>
      </c>
      <c r="H239" s="2">
        <f>G239+1</f>
        <v>2017</v>
      </c>
      <c r="I239" s="32"/>
    </row>
    <row r="240" spans="1:13" x14ac:dyDescent="0.25">
      <c r="B240" s="71" t="str">
        <f>( 'Facility Detail'!$B$1155) &amp; " Surplus Applied to " &amp; ( 'Facility Detail'!$B$1155 + 1 )</f>
        <v>2013 Surplus Applied to 2014</v>
      </c>
      <c r="C240" s="33"/>
      <c r="D240" s="3">
        <f>D226+D231-D237</f>
        <v>322955.99999999994</v>
      </c>
      <c r="E240" s="59">
        <f>D240</f>
        <v>322955.99999999994</v>
      </c>
      <c r="F240" s="135"/>
      <c r="G240" s="135"/>
      <c r="H240" s="136"/>
      <c r="I240" s="32"/>
    </row>
    <row r="241" spans="1:12" x14ac:dyDescent="0.25">
      <c r="B241" s="71" t="str">
        <f xml:space="preserve"> ( 'Facility Detail'!$B$1155 + 1 ) &amp; " Surplus Applied to " &amp; ( 'Facility Detail'!$B$1155 )</f>
        <v>2014 Surplus Applied to 2013</v>
      </c>
      <c r="C241" s="33"/>
      <c r="D241" s="157">
        <f>E241</f>
        <v>0</v>
      </c>
      <c r="E241" s="10">
        <v>0</v>
      </c>
      <c r="F241" s="131"/>
      <c r="G241" s="131"/>
      <c r="H241" s="137"/>
      <c r="I241" s="32"/>
    </row>
    <row r="242" spans="1:12" x14ac:dyDescent="0.25">
      <c r="B242" s="140" t="str">
        <f xml:space="preserve"> ( 'Facility Detail'!$B$1155 + 1 ) &amp; " Surplus Applied to " &amp; ( 'Facility Detail'!$B$1155 + 2 )</f>
        <v>2014 Surplus Applied to 2015</v>
      </c>
      <c r="C242" s="33"/>
      <c r="D242" s="132"/>
      <c r="E242" s="10">
        <f>E226+E231-E237</f>
        <v>324122.40000000002</v>
      </c>
      <c r="F242" s="65">
        <f>+E242</f>
        <v>324122.40000000002</v>
      </c>
      <c r="G242" s="131"/>
      <c r="H242" s="137"/>
      <c r="I242" s="32"/>
    </row>
    <row r="243" spans="1:12" x14ac:dyDescent="0.25">
      <c r="B243" s="140" t="str">
        <f xml:space="preserve"> ( 'Facility Detail'!$B$1155 + 2 ) &amp; " Surplus Applied to " &amp; ( 'Facility Detail'!$B$1155 + 1 )</f>
        <v>2015 Surplus Applied to 2014</v>
      </c>
      <c r="C243" s="33"/>
      <c r="D243" s="132"/>
      <c r="E243" s="65">
        <f>F243</f>
        <v>0</v>
      </c>
      <c r="F243" s="10">
        <v>0</v>
      </c>
      <c r="G243" s="131"/>
      <c r="H243" s="137"/>
      <c r="I243" s="32"/>
    </row>
    <row r="244" spans="1:12" x14ac:dyDescent="0.25">
      <c r="B244" s="140" t="s">
        <v>170</v>
      </c>
      <c r="C244" s="33"/>
      <c r="D244" s="132"/>
      <c r="E244" s="131"/>
      <c r="F244" s="10">
        <f>F226+F231-F237</f>
        <v>505872</v>
      </c>
      <c r="G244" s="65">
        <f>+F244</f>
        <v>505872</v>
      </c>
      <c r="H244" s="137"/>
      <c r="I244" s="32"/>
    </row>
    <row r="245" spans="1:12" x14ac:dyDescent="0.25">
      <c r="B245" s="140" t="s">
        <v>171</v>
      </c>
      <c r="C245" s="33"/>
      <c r="D245" s="132"/>
      <c r="E245" s="131"/>
      <c r="F245" s="65">
        <f>G245</f>
        <v>0</v>
      </c>
      <c r="G245" s="10">
        <v>0</v>
      </c>
      <c r="H245" s="137"/>
      <c r="I245" s="32"/>
    </row>
    <row r="246" spans="1:12" x14ac:dyDescent="0.25">
      <c r="B246" s="140" t="s">
        <v>172</v>
      </c>
      <c r="C246" s="33"/>
      <c r="D246" s="132"/>
      <c r="E246" s="131"/>
      <c r="F246" s="131"/>
      <c r="G246" s="10">
        <f>G226+G231-G237</f>
        <v>600880.80000000005</v>
      </c>
      <c r="H246" s="60">
        <f>+G246</f>
        <v>600880.80000000005</v>
      </c>
      <c r="I246" s="32"/>
    </row>
    <row r="247" spans="1:12" x14ac:dyDescent="0.25">
      <c r="B247" s="140" t="s">
        <v>173</v>
      </c>
      <c r="C247" s="33"/>
      <c r="D247" s="133"/>
      <c r="E247" s="134"/>
      <c r="F247" s="134"/>
      <c r="G247" s="61">
        <f>H247</f>
        <v>0</v>
      </c>
      <c r="H247" s="51">
        <v>0</v>
      </c>
      <c r="I247" s="32"/>
    </row>
    <row r="248" spans="1:12" x14ac:dyDescent="0.25">
      <c r="B248" s="141" t="s">
        <v>37</v>
      </c>
      <c r="D248" s="7">
        <f xml:space="preserve"> D241 - D240</f>
        <v>-322955.99999999994</v>
      </c>
      <c r="E248" s="7">
        <f xml:space="preserve"> E240 + E243 - E242 - E241</f>
        <v>-1166.4000000000815</v>
      </c>
      <c r="F248" s="7">
        <f>F242 - F243 - F244 + F245</f>
        <v>-181749.59999999998</v>
      </c>
      <c r="G248" s="7">
        <f>G244  - G245 - G246  + G247</f>
        <v>-95008.800000000047</v>
      </c>
      <c r="H248" s="7">
        <f>H246 - H247</f>
        <v>600880.80000000005</v>
      </c>
      <c r="I248" s="32"/>
    </row>
    <row r="249" spans="1:12" x14ac:dyDescent="0.25">
      <c r="B249" s="142"/>
      <c r="D249" s="7"/>
      <c r="E249" s="7"/>
      <c r="F249" s="7"/>
      <c r="G249" s="7"/>
      <c r="H249" s="7"/>
      <c r="I249" s="32"/>
    </row>
    <row r="250" spans="1:12" x14ac:dyDescent="0.25">
      <c r="B250" s="68" t="s">
        <v>32</v>
      </c>
      <c r="C250" s="66"/>
      <c r="D250" s="90"/>
      <c r="E250" s="91"/>
      <c r="F250" s="129"/>
      <c r="G250" s="129"/>
      <c r="H250" s="92"/>
      <c r="I250" s="32"/>
    </row>
    <row r="251" spans="1:12" x14ac:dyDescent="0.25">
      <c r="B251" s="142"/>
      <c r="D251" s="7"/>
      <c r="E251" s="7"/>
      <c r="F251" s="7"/>
      <c r="G251" s="7"/>
      <c r="H251" s="7"/>
      <c r="I251" s="32"/>
    </row>
    <row r="252" spans="1:12" ht="18.75" x14ac:dyDescent="0.3">
      <c r="A252" s="45" t="s">
        <v>46</v>
      </c>
      <c r="B252" s="143"/>
      <c r="C252" s="66"/>
      <c r="D252" s="130">
        <f xml:space="preserve"> D226 + D231 - D237 + D248 + D250</f>
        <v>0</v>
      </c>
      <c r="E252" s="130">
        <f>E226+E231-E237+E248+E250</f>
        <v>322955.99999999994</v>
      </c>
      <c r="F252" s="130">
        <f xml:space="preserve"> F226 + F231 - F237 + F248 + F250</f>
        <v>324122.40000000002</v>
      </c>
      <c r="G252" s="130">
        <f xml:space="preserve"> G226 + G231 - G237 + G248 + G250</f>
        <v>505872</v>
      </c>
      <c r="H252" s="49">
        <f xml:space="preserve"> H226 + H231 - H237 + H248 + H250</f>
        <v>614413.20000000007</v>
      </c>
      <c r="I252" s="32"/>
    </row>
    <row r="253" spans="1:12" x14ac:dyDescent="0.25">
      <c r="B253" s="142"/>
      <c r="C253" s="147" t="s">
        <v>185</v>
      </c>
      <c r="E253" s="7">
        <v>280655</v>
      </c>
      <c r="F253" s="7">
        <v>323934</v>
      </c>
      <c r="G253" s="32"/>
      <c r="H253" s="32"/>
      <c r="I253" s="32"/>
    </row>
    <row r="254" spans="1:12" s="33" customFormat="1" x14ac:dyDescent="0.25">
      <c r="B254" s="23"/>
      <c r="C254" s="147"/>
      <c r="L254" s="195"/>
    </row>
    <row r="255" spans="1:12" x14ac:dyDescent="0.25">
      <c r="A255" s="33"/>
      <c r="B255" s="23"/>
      <c r="C255" s="33"/>
      <c r="D255" s="33"/>
      <c r="E255" s="33"/>
      <c r="F255" s="33"/>
      <c r="G255" s="33"/>
      <c r="H255" s="33"/>
      <c r="I255" s="33"/>
    </row>
    <row r="256" spans="1:12" x14ac:dyDescent="0.25">
      <c r="B256" s="23"/>
      <c r="C256" s="33"/>
      <c r="D256" s="33"/>
      <c r="E256" s="33"/>
      <c r="F256" s="33"/>
      <c r="G256" s="33"/>
      <c r="H256" s="33"/>
      <c r="I256" s="33"/>
    </row>
    <row r="257" spans="1:13" ht="21" x14ac:dyDescent="0.35">
      <c r="A257" s="13"/>
      <c r="B257" s="144"/>
      <c r="C257" s="46" t="str">
        <f>B10</f>
        <v>Lower Snake River - Phalen Gulch</v>
      </c>
      <c r="D257" s="47"/>
      <c r="E257" s="23"/>
      <c r="F257" s="23"/>
    </row>
    <row r="258" spans="1:13" x14ac:dyDescent="0.25">
      <c r="B258" s="143"/>
    </row>
    <row r="259" spans="1:13" ht="18.75" x14ac:dyDescent="0.3">
      <c r="A259" s="9" t="s">
        <v>41</v>
      </c>
      <c r="B259" s="145"/>
      <c r="D259" s="2">
        <f>'Facility Detail'!$B$1155</f>
        <v>2013</v>
      </c>
      <c r="E259" s="2">
        <f>D259+1</f>
        <v>2014</v>
      </c>
      <c r="F259" s="2">
        <f>E259+1</f>
        <v>2015</v>
      </c>
      <c r="G259" s="139">
        <f>F259+1</f>
        <v>2016</v>
      </c>
      <c r="H259" s="139">
        <f>G259+1</f>
        <v>2017</v>
      </c>
      <c r="I259" s="25"/>
    </row>
    <row r="260" spans="1:13" x14ac:dyDescent="0.25">
      <c r="B260" s="140" t="str">
        <f>"Total MWh Produced / Purchased from " &amp; C257</f>
        <v>Total MWh Produced / Purchased from Lower Snake River - Phalen Gulch</v>
      </c>
      <c r="C260" s="66"/>
      <c r="D260" s="3">
        <v>345197</v>
      </c>
      <c r="E260" s="4">
        <v>379323</v>
      </c>
      <c r="F260" s="4">
        <v>314175</v>
      </c>
      <c r="G260" s="4">
        <v>367953</v>
      </c>
      <c r="H260" s="5">
        <v>7758</v>
      </c>
      <c r="I260" s="24"/>
      <c r="L260" s="192">
        <v>7789.5</v>
      </c>
      <c r="M260" s="194">
        <v>42736</v>
      </c>
    </row>
    <row r="261" spans="1:13" x14ac:dyDescent="0.25">
      <c r="B261" s="140" t="s">
        <v>45</v>
      </c>
      <c r="C261" s="66"/>
      <c r="D261" s="155">
        <v>1</v>
      </c>
      <c r="E261" s="154">
        <v>1</v>
      </c>
      <c r="F261" s="154">
        <v>1</v>
      </c>
      <c r="G261" s="154">
        <v>1</v>
      </c>
      <c r="H261" s="156">
        <v>1</v>
      </c>
      <c r="I261" s="24"/>
      <c r="L261" s="192">
        <v>25250.2</v>
      </c>
      <c r="M261" s="194">
        <v>42767</v>
      </c>
    </row>
    <row r="262" spans="1:13" x14ac:dyDescent="0.25">
      <c r="B262" s="140" t="s">
        <v>40</v>
      </c>
      <c r="C262" s="66"/>
      <c r="D262" s="146">
        <v>1</v>
      </c>
      <c r="E262" s="52">
        <v>1</v>
      </c>
      <c r="F262" s="52">
        <v>1</v>
      </c>
      <c r="G262" s="52">
        <v>1</v>
      </c>
      <c r="H262" s="53">
        <v>1</v>
      </c>
      <c r="I262" s="24"/>
      <c r="L262" s="192">
        <v>40115.9</v>
      </c>
      <c r="M262" s="194">
        <v>42795</v>
      </c>
    </row>
    <row r="263" spans="1:13" x14ac:dyDescent="0.25">
      <c r="B263" s="68" t="s">
        <v>42</v>
      </c>
      <c r="C263" s="69"/>
      <c r="D263" s="41">
        <f xml:space="preserve"> D260 * D261 * D262</f>
        <v>345197</v>
      </c>
      <c r="E263" s="153">
        <f xml:space="preserve"> E260 * E261 * E262</f>
        <v>379323</v>
      </c>
      <c r="F263" s="153">
        <f xml:space="preserve"> F260 * F261 * F262</f>
        <v>314175</v>
      </c>
      <c r="G263" s="153">
        <f xml:space="preserve"> G260 * G261 * G262</f>
        <v>367953</v>
      </c>
      <c r="H263" s="153">
        <f xml:space="preserve"> H260 * H261 * H262</f>
        <v>7758</v>
      </c>
      <c r="I263" s="24"/>
      <c r="L263" s="193">
        <f>SUM(L260:L262)</f>
        <v>73155.600000000006</v>
      </c>
    </row>
    <row r="264" spans="1:13" x14ac:dyDescent="0.25">
      <c r="B264" s="23"/>
      <c r="C264" s="33"/>
      <c r="D264" s="40"/>
      <c r="E264" s="40"/>
      <c r="F264" s="40"/>
      <c r="G264" s="40"/>
      <c r="H264" s="40"/>
      <c r="I264" s="24"/>
    </row>
    <row r="265" spans="1:13" ht="18.75" x14ac:dyDescent="0.3">
      <c r="A265" s="48" t="s">
        <v>139</v>
      </c>
      <c r="B265" s="143"/>
      <c r="C265" s="33"/>
      <c r="D265" s="2">
        <f>'Facility Detail'!$B$1155</f>
        <v>2013</v>
      </c>
      <c r="E265" s="2">
        <f>D265+1</f>
        <v>2014</v>
      </c>
      <c r="F265" s="2">
        <f>E265+1</f>
        <v>2015</v>
      </c>
      <c r="G265" s="2">
        <f>F265+1</f>
        <v>2016</v>
      </c>
      <c r="H265" s="2">
        <f>G265+1</f>
        <v>2017</v>
      </c>
      <c r="I265" s="24"/>
    </row>
    <row r="266" spans="1:13" x14ac:dyDescent="0.25">
      <c r="B266" s="140" t="s">
        <v>30</v>
      </c>
      <c r="C266" s="66"/>
      <c r="D266" s="54">
        <f>IF( $F10 = "Eligible", D263 * 'Facility Detail'!$B$1152, 0 )</f>
        <v>69039.400000000009</v>
      </c>
      <c r="E266" s="11">
        <f>IF( $F10 = "Eligible", E263 * 'Facility Detail'!$B$1152, 0 )</f>
        <v>75864.600000000006</v>
      </c>
      <c r="F266" s="127">
        <f>IF( $F10 = "Eligible", F263 * 'Facility Detail'!$B$1152, 0 )</f>
        <v>62835</v>
      </c>
      <c r="G266" s="127">
        <f>IF( $F10 = "Eligible", G263 * 'Facility Detail'!$B$1152, 0 )</f>
        <v>73590.600000000006</v>
      </c>
      <c r="H266" s="127">
        <f>IF( $F10 = "Eligible", H263 * 'Facility Detail'!$B$1152, 0 )</f>
        <v>1551.6000000000001</v>
      </c>
      <c r="I266" s="24"/>
    </row>
    <row r="267" spans="1:13" x14ac:dyDescent="0.25">
      <c r="B267" s="140" t="s">
        <v>6</v>
      </c>
      <c r="C267" s="66"/>
      <c r="D267" s="55">
        <f>IF( $G10 = "Eligible", D263, 0 )</f>
        <v>0</v>
      </c>
      <c r="E267" s="56">
        <f>IF( $G10 = "Eligible", E263, 0 )</f>
        <v>0</v>
      </c>
      <c r="F267" s="128">
        <f>IF( $G10 = "Eligible", F263, 0 )</f>
        <v>0</v>
      </c>
      <c r="G267" s="128">
        <f>IF( $G10 = "Eligible", G263, 0 )</f>
        <v>0</v>
      </c>
      <c r="H267" s="57">
        <f>IF( $G10 = "Eligible", H263, 0 )</f>
        <v>0</v>
      </c>
      <c r="I267" s="24"/>
    </row>
    <row r="268" spans="1:13" x14ac:dyDescent="0.25">
      <c r="B268" s="68" t="s">
        <v>141</v>
      </c>
      <c r="C268" s="69"/>
      <c r="D268" s="43">
        <f>SUM(D266:D267)</f>
        <v>69039.400000000009</v>
      </c>
      <c r="E268" s="44">
        <f>SUM(E266:E267)</f>
        <v>75864.600000000006</v>
      </c>
      <c r="F268" s="44">
        <f>SUM(F266:F267)</f>
        <v>62835</v>
      </c>
      <c r="G268" s="44">
        <f>SUM(G266:G267)</f>
        <v>73590.600000000006</v>
      </c>
      <c r="H268" s="44">
        <f>SUM(H266:H267)</f>
        <v>1551.6000000000001</v>
      </c>
      <c r="I268" s="24"/>
    </row>
    <row r="269" spans="1:13" x14ac:dyDescent="0.25">
      <c r="B269" s="23"/>
      <c r="C269" s="33"/>
      <c r="D269" s="42"/>
      <c r="E269" s="34"/>
      <c r="F269" s="34"/>
      <c r="G269" s="34"/>
      <c r="H269" s="34"/>
      <c r="I269" s="24"/>
    </row>
    <row r="270" spans="1:13" ht="18.75" x14ac:dyDescent="0.3">
      <c r="A270" s="45" t="s">
        <v>50</v>
      </c>
      <c r="B270" s="143"/>
      <c r="C270" s="33"/>
      <c r="D270" s="2">
        <f>'Facility Detail'!$B$1155</f>
        <v>2013</v>
      </c>
      <c r="E270" s="2">
        <f>D270+1</f>
        <v>2014</v>
      </c>
      <c r="F270" s="2">
        <f>E270+1</f>
        <v>2015</v>
      </c>
      <c r="G270" s="2">
        <f>F270+1</f>
        <v>2016</v>
      </c>
      <c r="H270" s="2">
        <f>G270+1</f>
        <v>2017</v>
      </c>
      <c r="I270" s="24"/>
    </row>
    <row r="271" spans="1:13" x14ac:dyDescent="0.25">
      <c r="B271" s="140" t="s">
        <v>67</v>
      </c>
      <c r="C271" s="66"/>
      <c r="D271" s="161">
        <v>142210</v>
      </c>
      <c r="E271" s="4">
        <v>169808</v>
      </c>
      <c r="F271" s="4">
        <v>12732</v>
      </c>
      <c r="G271" s="4">
        <v>0</v>
      </c>
      <c r="H271" s="5">
        <v>0</v>
      </c>
      <c r="I271" s="24"/>
    </row>
    <row r="272" spans="1:13" x14ac:dyDescent="0.25">
      <c r="B272" s="83" t="s">
        <v>43</v>
      </c>
      <c r="C272" s="73"/>
      <c r="D272" s="82"/>
      <c r="E272" s="162"/>
      <c r="F272" s="162"/>
      <c r="G272" s="162"/>
      <c r="H272" s="163"/>
      <c r="I272" s="24"/>
    </row>
    <row r="273" spans="1:9" x14ac:dyDescent="0.25">
      <c r="B273" s="83" t="s">
        <v>109</v>
      </c>
      <c r="C273" s="81"/>
      <c r="D273" s="58">
        <f>D271*0.2</f>
        <v>28442</v>
      </c>
      <c r="E273" s="164">
        <f>E271*0.2</f>
        <v>33961.599999999999</v>
      </c>
      <c r="F273" s="164">
        <f>F271*0.2</f>
        <v>2546.4</v>
      </c>
      <c r="G273" s="164">
        <f t="shared" ref="G273:H273" si="0">G271*0.2</f>
        <v>0</v>
      </c>
      <c r="H273" s="164">
        <f t="shared" si="0"/>
        <v>0</v>
      </c>
      <c r="I273" s="24"/>
    </row>
    <row r="274" spans="1:9" x14ac:dyDescent="0.25">
      <c r="B274" s="141" t="s">
        <v>110</v>
      </c>
      <c r="D274" s="7">
        <f>SUM(D271:D273)</f>
        <v>170652</v>
      </c>
      <c r="E274" s="7">
        <f>SUM(E271:E273)</f>
        <v>203769.60000000001</v>
      </c>
      <c r="F274" s="7">
        <f>SUM(F271:F273)</f>
        <v>15278.4</v>
      </c>
      <c r="G274" s="7">
        <f>SUM(G271:G273)</f>
        <v>0</v>
      </c>
      <c r="H274" s="7">
        <f>SUM(H271:H273)</f>
        <v>0</v>
      </c>
      <c r="I274" s="32"/>
    </row>
    <row r="275" spans="1:9" x14ac:dyDescent="0.25">
      <c r="B275" s="142"/>
      <c r="D275" s="7"/>
      <c r="E275" s="7"/>
      <c r="F275" s="7"/>
      <c r="G275" s="7"/>
      <c r="H275" s="7"/>
      <c r="I275" s="32"/>
    </row>
    <row r="276" spans="1:9" ht="18.75" x14ac:dyDescent="0.3">
      <c r="A276" s="9" t="s">
        <v>120</v>
      </c>
      <c r="B276" s="143"/>
      <c r="D276" s="2">
        <f>'Facility Detail'!$B$1155</f>
        <v>2013</v>
      </c>
      <c r="E276" s="2">
        <f>D276+1</f>
        <v>2014</v>
      </c>
      <c r="F276" s="2">
        <f>E276+1</f>
        <v>2015</v>
      </c>
      <c r="G276" s="2">
        <f>F276+1</f>
        <v>2016</v>
      </c>
      <c r="H276" s="2">
        <f>G276+1</f>
        <v>2017</v>
      </c>
      <c r="I276" s="32"/>
    </row>
    <row r="277" spans="1:9" x14ac:dyDescent="0.25">
      <c r="B277" s="71" t="str">
        <f>( 'Facility Detail'!$B$1155) &amp; " Surplus Applied to " &amp; ( 'Facility Detail'!$B$1155 + 1 )</f>
        <v>2013 Surplus Applied to 2014</v>
      </c>
      <c r="C277" s="33"/>
      <c r="D277" s="3">
        <f>D263+D268-D274</f>
        <v>243584.40000000002</v>
      </c>
      <c r="E277" s="59">
        <f>D277</f>
        <v>243584.40000000002</v>
      </c>
      <c r="F277" s="135"/>
      <c r="G277" s="135"/>
      <c r="H277" s="136"/>
      <c r="I277" s="32"/>
    </row>
    <row r="278" spans="1:9" x14ac:dyDescent="0.25">
      <c r="B278" s="71" t="str">
        <f xml:space="preserve"> ( 'Facility Detail'!$B$1155 + 1 ) &amp; " Surplus Applied to " &amp; ( 'Facility Detail'!$B$1155 )</f>
        <v>2014 Surplus Applied to 2013</v>
      </c>
      <c r="C278" s="33"/>
      <c r="D278" s="157">
        <f>E278</f>
        <v>0</v>
      </c>
      <c r="E278" s="10">
        <v>0</v>
      </c>
      <c r="F278" s="131"/>
      <c r="G278" s="131"/>
      <c r="H278" s="137"/>
      <c r="I278" s="32"/>
    </row>
    <row r="279" spans="1:9" x14ac:dyDescent="0.25">
      <c r="B279" s="140" t="str">
        <f xml:space="preserve"> ( 'Facility Detail'!$B$1155 + 1 ) &amp; " Surplus Applied to " &amp; ( 'Facility Detail'!$B$1155 + 2 )</f>
        <v>2014 Surplus Applied to 2015</v>
      </c>
      <c r="C279" s="33"/>
      <c r="D279" s="132"/>
      <c r="E279" s="10">
        <f>E263+E268-E274</f>
        <v>251417.99999999997</v>
      </c>
      <c r="F279" s="65">
        <f>+E279</f>
        <v>251417.99999999997</v>
      </c>
      <c r="G279" s="131"/>
      <c r="H279" s="137"/>
      <c r="I279" s="32"/>
    </row>
    <row r="280" spans="1:9" x14ac:dyDescent="0.25">
      <c r="B280" s="140" t="str">
        <f xml:space="preserve"> ( 'Facility Detail'!$B$1155 + 2 ) &amp; " Surplus Applied to " &amp; ( 'Facility Detail'!$B$1155 + 1 )</f>
        <v>2015 Surplus Applied to 2014</v>
      </c>
      <c r="C280" s="33"/>
      <c r="D280" s="132"/>
      <c r="E280" s="65">
        <f>F280</f>
        <v>0</v>
      </c>
      <c r="F280" s="10">
        <v>0</v>
      </c>
      <c r="G280" s="131"/>
      <c r="H280" s="137"/>
      <c r="I280" s="32"/>
    </row>
    <row r="281" spans="1:9" x14ac:dyDescent="0.25">
      <c r="B281" s="140" t="s">
        <v>170</v>
      </c>
      <c r="C281" s="33"/>
      <c r="D281" s="132"/>
      <c r="E281" s="131"/>
      <c r="F281" s="10">
        <f>F263+F268-F274</f>
        <v>361731.6</v>
      </c>
      <c r="G281" s="65">
        <f>+F281</f>
        <v>361731.6</v>
      </c>
      <c r="H281" s="137"/>
      <c r="I281" s="32"/>
    </row>
    <row r="282" spans="1:9" x14ac:dyDescent="0.25">
      <c r="B282" s="140" t="s">
        <v>171</v>
      </c>
      <c r="C282" s="33"/>
      <c r="D282" s="132"/>
      <c r="E282" s="131"/>
      <c r="F282" s="65">
        <f>G282</f>
        <v>0</v>
      </c>
      <c r="G282" s="10">
        <v>0</v>
      </c>
      <c r="H282" s="137"/>
      <c r="I282" s="32"/>
    </row>
    <row r="283" spans="1:9" x14ac:dyDescent="0.25">
      <c r="B283" s="140" t="s">
        <v>172</v>
      </c>
      <c r="C283" s="33"/>
      <c r="D283" s="132"/>
      <c r="E283" s="131"/>
      <c r="F283" s="131"/>
      <c r="G283" s="10">
        <f>G263+G268-G274</f>
        <v>441543.6</v>
      </c>
      <c r="H283" s="60">
        <f>+G283</f>
        <v>441543.6</v>
      </c>
      <c r="I283" s="32"/>
    </row>
    <row r="284" spans="1:9" x14ac:dyDescent="0.25">
      <c r="B284" s="140" t="s">
        <v>173</v>
      </c>
      <c r="C284" s="33"/>
      <c r="D284" s="133"/>
      <c r="E284" s="134"/>
      <c r="F284" s="134"/>
      <c r="G284" s="61">
        <f>H284</f>
        <v>0</v>
      </c>
      <c r="H284" s="51">
        <v>0</v>
      </c>
      <c r="I284" s="32"/>
    </row>
    <row r="285" spans="1:9" x14ac:dyDescent="0.25">
      <c r="B285" s="141" t="s">
        <v>37</v>
      </c>
      <c r="D285" s="7">
        <f xml:space="preserve"> D278 - D277</f>
        <v>-243584.40000000002</v>
      </c>
      <c r="E285" s="7">
        <f xml:space="preserve"> E277 + E280 - E279 - E278</f>
        <v>-7833.5999999999476</v>
      </c>
      <c r="F285" s="7">
        <f>F279 - F280 - F281 + F282</f>
        <v>-110313.60000000001</v>
      </c>
      <c r="G285" s="7">
        <f>G281  - G282 - G283  + G284</f>
        <v>-79812</v>
      </c>
      <c r="H285" s="7">
        <f>H283 - H284</f>
        <v>441543.6</v>
      </c>
      <c r="I285" s="32"/>
    </row>
    <row r="286" spans="1:9" x14ac:dyDescent="0.25">
      <c r="B286" s="142"/>
      <c r="D286" s="7"/>
      <c r="E286" s="7"/>
      <c r="F286" s="7"/>
      <c r="G286" s="7"/>
      <c r="H286" s="7"/>
      <c r="I286" s="32"/>
    </row>
    <row r="287" spans="1:9" x14ac:dyDescent="0.25">
      <c r="B287" s="68" t="s">
        <v>32</v>
      </c>
      <c r="C287" s="66"/>
      <c r="D287" s="90"/>
      <c r="E287" s="91"/>
      <c r="F287" s="129"/>
      <c r="G287" s="129"/>
      <c r="H287" s="92"/>
      <c r="I287" s="32"/>
    </row>
    <row r="288" spans="1:9" x14ac:dyDescent="0.25">
      <c r="B288" s="142"/>
      <c r="D288" s="7"/>
      <c r="E288" s="7"/>
      <c r="F288" s="7"/>
      <c r="G288" s="7"/>
      <c r="H288" s="7"/>
      <c r="I288" s="32"/>
    </row>
    <row r="289" spans="1:12" ht="18.75" x14ac:dyDescent="0.3">
      <c r="A289" s="45" t="s">
        <v>46</v>
      </c>
      <c r="B289" s="143"/>
      <c r="C289" s="66"/>
      <c r="D289" s="130">
        <f xml:space="preserve"> D263 + D268 - D274 + D285 + D287</f>
        <v>0</v>
      </c>
      <c r="E289" s="130">
        <f>E263+E268-E274+E285+E287</f>
        <v>243584.40000000002</v>
      </c>
      <c r="F289" s="130">
        <f xml:space="preserve"> F263 + F268 - F274 + F285 + F287</f>
        <v>251417.99999999997</v>
      </c>
      <c r="G289" s="130">
        <f xml:space="preserve"> G263 + G268 - G274 + G285 + G287</f>
        <v>361731.6</v>
      </c>
      <c r="H289" s="49">
        <f xml:space="preserve"> H263 + H268 - H274 + H285 + H287</f>
        <v>450853.19999999995</v>
      </c>
      <c r="I289" s="32"/>
    </row>
    <row r="290" spans="1:12" x14ac:dyDescent="0.25">
      <c r="B290" s="142"/>
      <c r="C290" s="147" t="s">
        <v>185</v>
      </c>
      <c r="E290" s="7">
        <v>240619</v>
      </c>
      <c r="F290" s="7">
        <v>205228</v>
      </c>
      <c r="G290" s="32"/>
      <c r="H290" s="32"/>
      <c r="I290" s="32"/>
    </row>
    <row r="291" spans="1:12" x14ac:dyDescent="0.25">
      <c r="B291" s="143"/>
      <c r="C291" s="147"/>
      <c r="E291" s="7"/>
      <c r="I291" s="33"/>
    </row>
    <row r="292" spans="1:12" s="33" customFormat="1" x14ac:dyDescent="0.25">
      <c r="B292" s="23"/>
      <c r="L292" s="195"/>
    </row>
    <row r="293" spans="1:12" x14ac:dyDescent="0.25">
      <c r="B293" s="23"/>
      <c r="C293" s="33"/>
      <c r="D293" s="33"/>
      <c r="E293" s="33"/>
      <c r="F293" s="33"/>
      <c r="G293" s="33"/>
      <c r="H293" s="33"/>
      <c r="I293" s="33"/>
    </row>
    <row r="294" spans="1:12" ht="21" x14ac:dyDescent="0.35">
      <c r="A294" s="13" t="s">
        <v>4</v>
      </c>
      <c r="B294" s="144"/>
      <c r="C294" s="46" t="str">
        <f>B11</f>
        <v>Wanapum Fish Bypass</v>
      </c>
      <c r="D294" s="47"/>
      <c r="E294" s="23" t="s">
        <v>184</v>
      </c>
      <c r="F294" s="23"/>
    </row>
    <row r="295" spans="1:12" x14ac:dyDescent="0.25">
      <c r="B295" s="143"/>
    </row>
    <row r="296" spans="1:12" ht="18.75" x14ac:dyDescent="0.3">
      <c r="A296" s="9" t="s">
        <v>41</v>
      </c>
      <c r="B296" s="145"/>
      <c r="D296" s="2">
        <f>'Facility Detail'!$B$1155</f>
        <v>2013</v>
      </c>
      <c r="E296" s="2">
        <f>D296+1</f>
        <v>2014</v>
      </c>
      <c r="F296" s="2">
        <f>E296+1</f>
        <v>2015</v>
      </c>
      <c r="G296" s="139">
        <f>F296+1</f>
        <v>2016</v>
      </c>
      <c r="H296" s="139">
        <f>G296+1</f>
        <v>2017</v>
      </c>
      <c r="I296" s="25"/>
    </row>
    <row r="297" spans="1:12" x14ac:dyDescent="0.25">
      <c r="B297" s="140" t="str">
        <f>"Total MWh Produced / Purchased from " &amp; C294</f>
        <v>Total MWh Produced / Purchased from Wanapum Fish Bypass</v>
      </c>
      <c r="C297" s="66"/>
      <c r="D297" s="3"/>
      <c r="E297" s="4" t="s">
        <v>1</v>
      </c>
      <c r="F297" s="4" t="s">
        <v>1</v>
      </c>
      <c r="G297" s="4" t="s">
        <v>1</v>
      </c>
      <c r="H297" s="5" t="s">
        <v>1</v>
      </c>
      <c r="I297" s="24"/>
    </row>
    <row r="298" spans="1:12" x14ac:dyDescent="0.25">
      <c r="B298" s="140" t="s">
        <v>45</v>
      </c>
      <c r="C298" s="66"/>
      <c r="D298" s="155">
        <v>1</v>
      </c>
      <c r="E298" s="154">
        <v>1</v>
      </c>
      <c r="F298" s="154">
        <v>1</v>
      </c>
      <c r="G298" s="154">
        <v>1</v>
      </c>
      <c r="H298" s="156">
        <v>1</v>
      </c>
      <c r="I298" s="24"/>
    </row>
    <row r="299" spans="1:12" x14ac:dyDescent="0.25">
      <c r="B299" s="140" t="s">
        <v>40</v>
      </c>
      <c r="C299" s="66"/>
      <c r="D299" s="146">
        <v>1</v>
      </c>
      <c r="E299" s="52">
        <v>1</v>
      </c>
      <c r="F299" s="52">
        <v>1</v>
      </c>
      <c r="G299" s="52">
        <v>1</v>
      </c>
      <c r="H299" s="53">
        <v>1</v>
      </c>
      <c r="I299" s="24"/>
    </row>
    <row r="300" spans="1:12" x14ac:dyDescent="0.25">
      <c r="B300" s="68" t="s">
        <v>42</v>
      </c>
      <c r="C300" s="69"/>
      <c r="D300" s="41">
        <f xml:space="preserve"> D297 * D298 * D299</f>
        <v>0</v>
      </c>
      <c r="E300" s="153">
        <v>0</v>
      </c>
      <c r="F300" s="153">
        <v>0</v>
      </c>
      <c r="G300" s="153">
        <v>0</v>
      </c>
      <c r="H300" s="153">
        <v>0</v>
      </c>
      <c r="I300" s="24"/>
    </row>
    <row r="301" spans="1:12" x14ac:dyDescent="0.25">
      <c r="B301" s="23"/>
      <c r="C301" s="33"/>
      <c r="D301" s="40"/>
      <c r="E301" s="40"/>
      <c r="F301" s="40"/>
      <c r="G301" s="40"/>
      <c r="H301" s="40"/>
      <c r="I301" s="24"/>
    </row>
    <row r="302" spans="1:12" ht="18.75" x14ac:dyDescent="0.3">
      <c r="A302" s="48" t="s">
        <v>139</v>
      </c>
      <c r="B302" s="143"/>
      <c r="C302" s="33"/>
      <c r="D302" s="2">
        <f>'Facility Detail'!$B$1155</f>
        <v>2013</v>
      </c>
      <c r="E302" s="2">
        <f>D302+1</f>
        <v>2014</v>
      </c>
      <c r="F302" s="2">
        <f>E302+1</f>
        <v>2015</v>
      </c>
      <c r="G302" s="2">
        <f t="shared" ref="G302:H302" si="1">F302+1</f>
        <v>2016</v>
      </c>
      <c r="H302" s="2">
        <f t="shared" si="1"/>
        <v>2017</v>
      </c>
      <c r="I302" s="24"/>
    </row>
    <row r="303" spans="1:12" x14ac:dyDescent="0.25">
      <c r="B303" s="140" t="s">
        <v>30</v>
      </c>
      <c r="C303" s="66"/>
      <c r="D303" s="54">
        <f>IF( $F11 = "Eligible", D300 * 'Facility Detail'!$B$1152, 0 )</f>
        <v>0</v>
      </c>
      <c r="E303" s="11">
        <f>IF( $F11 = "Eligible", E300 * 'Facility Detail'!$B$1152, 0 )</f>
        <v>0</v>
      </c>
      <c r="F303" s="127">
        <f>IF( $F11 = "Eligible", F300 * 'Facility Detail'!$B$1152, 0 )</f>
        <v>0</v>
      </c>
      <c r="G303" s="127">
        <f>IF( $F11 = "Eligible", G300 * 'Facility Detail'!$B$1152, 0 )</f>
        <v>0</v>
      </c>
      <c r="H303" s="12">
        <f>IF( $F11 = "Eligible", H300 * 'Facility Detail'!$B$1152, 0 )</f>
        <v>0</v>
      </c>
      <c r="I303" s="24"/>
    </row>
    <row r="304" spans="1:12" x14ac:dyDescent="0.25">
      <c r="B304" s="140" t="s">
        <v>6</v>
      </c>
      <c r="C304" s="66"/>
      <c r="D304" s="55">
        <f>IF( $G11 = "Eligible", D300, 0 )</f>
        <v>0</v>
      </c>
      <c r="E304" s="56">
        <f>IF( $G11 = "Eligible", E300, 0 )</f>
        <v>0</v>
      </c>
      <c r="F304" s="128">
        <f>IF( $G11 = "Eligible", F300, 0 )</f>
        <v>0</v>
      </c>
      <c r="G304" s="128">
        <f>IF( $G11 = "Eligible", G300, 0 )</f>
        <v>0</v>
      </c>
      <c r="H304" s="57">
        <f>IF( $G11 = "Eligible", H300, 0 )</f>
        <v>0</v>
      </c>
      <c r="I304" s="24"/>
    </row>
    <row r="305" spans="1:9" x14ac:dyDescent="0.25">
      <c r="B305" s="68" t="s">
        <v>141</v>
      </c>
      <c r="C305" s="69"/>
      <c r="D305" s="43">
        <f>SUM(D303:D304)</f>
        <v>0</v>
      </c>
      <c r="E305" s="44">
        <f>SUM(E303:E304)</f>
        <v>0</v>
      </c>
      <c r="F305" s="44">
        <f>SUM(F303:F304)</f>
        <v>0</v>
      </c>
      <c r="G305" s="44">
        <f>SUM(G303:G304)</f>
        <v>0</v>
      </c>
      <c r="H305" s="44">
        <f>SUM(H303:H304)</f>
        <v>0</v>
      </c>
      <c r="I305" s="24"/>
    </row>
    <row r="306" spans="1:9" x14ac:dyDescent="0.25">
      <c r="B306" s="23"/>
      <c r="C306" s="33"/>
      <c r="D306" s="42"/>
      <c r="E306" s="34"/>
      <c r="F306" s="34"/>
      <c r="G306" s="34"/>
      <c r="H306" s="34"/>
      <c r="I306" s="24"/>
    </row>
    <row r="307" spans="1:9" ht="18.75" x14ac:dyDescent="0.3">
      <c r="A307" s="45" t="s">
        <v>50</v>
      </c>
      <c r="B307" s="143"/>
      <c r="C307" s="33"/>
      <c r="D307" s="2">
        <f>'Facility Detail'!$B$1155</f>
        <v>2013</v>
      </c>
      <c r="E307" s="2">
        <f>D307+1</f>
        <v>2014</v>
      </c>
      <c r="F307" s="2">
        <f>E307+1</f>
        <v>2015</v>
      </c>
      <c r="G307" s="2">
        <f t="shared" ref="G307:H307" si="2">F307+1</f>
        <v>2016</v>
      </c>
      <c r="H307" s="2">
        <f t="shared" si="2"/>
        <v>2017</v>
      </c>
      <c r="I307" s="24"/>
    </row>
    <row r="308" spans="1:9" x14ac:dyDescent="0.25">
      <c r="B308" s="140" t="s">
        <v>67</v>
      </c>
      <c r="C308" s="66"/>
      <c r="D308" s="161"/>
      <c r="E308" s="4"/>
      <c r="F308" s="4"/>
      <c r="G308" s="4"/>
      <c r="H308" s="5"/>
      <c r="I308" s="24"/>
    </row>
    <row r="309" spans="1:9" x14ac:dyDescent="0.25">
      <c r="B309" s="83" t="s">
        <v>43</v>
      </c>
      <c r="C309" s="73"/>
      <c r="D309" s="82"/>
      <c r="E309" s="162"/>
      <c r="F309" s="162"/>
      <c r="G309" s="162"/>
      <c r="H309" s="163"/>
      <c r="I309" s="24"/>
    </row>
    <row r="310" spans="1:9" x14ac:dyDescent="0.25">
      <c r="B310" s="83" t="s">
        <v>109</v>
      </c>
      <c r="C310" s="81"/>
      <c r="D310" s="58"/>
      <c r="E310" s="164"/>
      <c r="F310" s="164"/>
      <c r="G310" s="164"/>
      <c r="H310" s="165"/>
      <c r="I310" s="24"/>
    </row>
    <row r="311" spans="1:9" x14ac:dyDescent="0.25">
      <c r="B311" s="141" t="s">
        <v>110</v>
      </c>
      <c r="D311" s="7">
        <f>SUM(D308:D310)</f>
        <v>0</v>
      </c>
      <c r="E311" s="7">
        <f>SUM(E308:E310)</f>
        <v>0</v>
      </c>
      <c r="F311" s="7">
        <f>SUM(F308:F310)</f>
        <v>0</v>
      </c>
      <c r="G311" s="7">
        <f>SUM(G308:G310)</f>
        <v>0</v>
      </c>
      <c r="H311" s="7">
        <f>SUM(H308:H310)</f>
        <v>0</v>
      </c>
      <c r="I311" s="32"/>
    </row>
    <row r="312" spans="1:9" x14ac:dyDescent="0.25">
      <c r="B312" s="142"/>
      <c r="D312" s="7"/>
      <c r="E312" s="7"/>
      <c r="F312" s="7"/>
      <c r="G312" s="7"/>
      <c r="H312" s="7"/>
      <c r="I312" s="32"/>
    </row>
    <row r="313" spans="1:9" ht="18.75" x14ac:dyDescent="0.3">
      <c r="A313" s="9" t="s">
        <v>120</v>
      </c>
      <c r="B313" s="143"/>
      <c r="D313" s="2">
        <f>'Facility Detail'!$B$1155</f>
        <v>2013</v>
      </c>
      <c r="E313" s="2">
        <f>D313+1</f>
        <v>2014</v>
      </c>
      <c r="F313" s="2">
        <f>E313+1</f>
        <v>2015</v>
      </c>
      <c r="G313" s="2">
        <f t="shared" ref="G313:H313" si="3">F313+1</f>
        <v>2016</v>
      </c>
      <c r="H313" s="2">
        <f t="shared" si="3"/>
        <v>2017</v>
      </c>
      <c r="I313" s="32"/>
    </row>
    <row r="314" spans="1:9" x14ac:dyDescent="0.25">
      <c r="B314" s="71" t="str">
        <f>( 'Facility Detail'!$B$1155) &amp; " Surplus Applied to " &amp; ( 'Facility Detail'!$B$1155 + 1 )</f>
        <v>2013 Surplus Applied to 2014</v>
      </c>
      <c r="C314" s="33"/>
      <c r="D314" s="3">
        <f>D300+D305-D311</f>
        <v>0</v>
      </c>
      <c r="E314" s="59">
        <f>D314</f>
        <v>0</v>
      </c>
      <c r="F314" s="135"/>
      <c r="G314" s="135"/>
      <c r="H314" s="136"/>
      <c r="I314" s="32"/>
    </row>
    <row r="315" spans="1:9" x14ac:dyDescent="0.25">
      <c r="B315" s="71" t="str">
        <f xml:space="preserve"> ( 'Facility Detail'!$B$1155 + 1 ) &amp; " Surplus Applied to " &amp; ( 'Facility Detail'!$B$1155 )</f>
        <v>2014 Surplus Applied to 2013</v>
      </c>
      <c r="C315" s="33"/>
      <c r="D315" s="157">
        <f>E315</f>
        <v>0</v>
      </c>
      <c r="E315" s="10">
        <v>0</v>
      </c>
      <c r="F315" s="131"/>
      <c r="G315" s="131"/>
      <c r="H315" s="137"/>
      <c r="I315" s="32"/>
    </row>
    <row r="316" spans="1:9" x14ac:dyDescent="0.25">
      <c r="B316" s="140" t="str">
        <f xml:space="preserve"> ( 'Facility Detail'!$B$1155 + 1 ) &amp; " Surplus Applied to " &amp; ( 'Facility Detail'!$B$1155 + 2 )</f>
        <v>2014 Surplus Applied to 2015</v>
      </c>
      <c r="C316" s="33"/>
      <c r="D316" s="132"/>
      <c r="E316" s="10">
        <f>E300+E305-E311</f>
        <v>0</v>
      </c>
      <c r="F316" s="65">
        <f>+E316</f>
        <v>0</v>
      </c>
      <c r="G316" s="131"/>
      <c r="H316" s="137"/>
      <c r="I316" s="32"/>
    </row>
    <row r="317" spans="1:9" x14ac:dyDescent="0.25">
      <c r="B317" s="140" t="str">
        <f xml:space="preserve"> ( 'Facility Detail'!$B$1155 + 2 ) &amp; " Surplus Applied to " &amp; ( 'Facility Detail'!$B$1155 + 1 )</f>
        <v>2015 Surplus Applied to 2014</v>
      </c>
      <c r="C317" s="33"/>
      <c r="D317" s="132"/>
      <c r="E317" s="65">
        <f>F317</f>
        <v>0</v>
      </c>
      <c r="F317" s="10">
        <v>0</v>
      </c>
      <c r="G317" s="131"/>
      <c r="H317" s="137"/>
      <c r="I317" s="32"/>
    </row>
    <row r="318" spans="1:9" x14ac:dyDescent="0.25">
      <c r="B318" s="140" t="s">
        <v>170</v>
      </c>
      <c r="C318" s="33"/>
      <c r="D318" s="132"/>
      <c r="E318" s="131"/>
      <c r="F318" s="10">
        <f>F300+F305-F311</f>
        <v>0</v>
      </c>
      <c r="G318" s="65">
        <f>+F318</f>
        <v>0</v>
      </c>
      <c r="H318" s="137"/>
      <c r="I318" s="32"/>
    </row>
    <row r="319" spans="1:9" x14ac:dyDescent="0.25">
      <c r="B319" s="140" t="s">
        <v>171</v>
      </c>
      <c r="C319" s="33"/>
      <c r="D319" s="132"/>
      <c r="E319" s="131"/>
      <c r="F319" s="65">
        <f>G319</f>
        <v>0</v>
      </c>
      <c r="G319" s="10">
        <v>0</v>
      </c>
      <c r="H319" s="137"/>
      <c r="I319" s="32"/>
    </row>
    <row r="320" spans="1:9" x14ac:dyDescent="0.25">
      <c r="B320" s="140" t="s">
        <v>172</v>
      </c>
      <c r="C320" s="33"/>
      <c r="D320" s="132"/>
      <c r="E320" s="131"/>
      <c r="F320" s="131"/>
      <c r="G320" s="10">
        <f>G300+G305-G311</f>
        <v>0</v>
      </c>
      <c r="H320" s="60">
        <f>+G320</f>
        <v>0</v>
      </c>
      <c r="I320" s="32"/>
    </row>
    <row r="321" spans="1:13" x14ac:dyDescent="0.25">
      <c r="B321" s="140" t="s">
        <v>173</v>
      </c>
      <c r="C321" s="33"/>
      <c r="D321" s="133"/>
      <c r="E321" s="134"/>
      <c r="F321" s="134"/>
      <c r="G321" s="61">
        <f>H321</f>
        <v>0</v>
      </c>
      <c r="H321" s="51">
        <v>0</v>
      </c>
      <c r="I321" s="32"/>
    </row>
    <row r="322" spans="1:13" x14ac:dyDescent="0.25">
      <c r="B322" s="141" t="s">
        <v>37</v>
      </c>
      <c r="D322" s="7">
        <f xml:space="preserve"> D315 - D314</f>
        <v>0</v>
      </c>
      <c r="E322" s="7">
        <f xml:space="preserve"> E314 + E317 - E316 - E315</f>
        <v>0</v>
      </c>
      <c r="F322" s="7">
        <f>F316 - F317 - F318 + F319</f>
        <v>0</v>
      </c>
      <c r="G322" s="7">
        <f>G318  - G319 - G320  + G321</f>
        <v>0</v>
      </c>
      <c r="H322" s="7">
        <f>H320 - H321</f>
        <v>0</v>
      </c>
      <c r="I322" s="32"/>
    </row>
    <row r="323" spans="1:13" x14ac:dyDescent="0.25">
      <c r="B323" s="142"/>
      <c r="D323" s="7"/>
      <c r="E323" s="7"/>
      <c r="F323" s="7"/>
      <c r="G323" s="7"/>
      <c r="H323" s="7"/>
      <c r="I323" s="32"/>
    </row>
    <row r="324" spans="1:13" x14ac:dyDescent="0.25">
      <c r="B324" s="68" t="s">
        <v>32</v>
      </c>
      <c r="C324" s="66"/>
      <c r="D324" s="90"/>
      <c r="E324" s="91"/>
      <c r="F324" s="129"/>
      <c r="G324" s="129"/>
      <c r="H324" s="92"/>
      <c r="I324" s="32"/>
    </row>
    <row r="325" spans="1:13" x14ac:dyDescent="0.25">
      <c r="B325" s="142"/>
      <c r="D325" s="7"/>
      <c r="E325" s="7"/>
      <c r="F325" s="7"/>
      <c r="G325" s="7"/>
      <c r="H325" s="7"/>
      <c r="I325" s="32"/>
    </row>
    <row r="326" spans="1:13" ht="18.75" x14ac:dyDescent="0.3">
      <c r="A326" s="45" t="s">
        <v>46</v>
      </c>
      <c r="B326" s="143"/>
      <c r="C326" s="66"/>
      <c r="D326" s="130"/>
      <c r="E326" s="130">
        <f xml:space="preserve"> E300 + E305 - E311 + E322 + E324</f>
        <v>0</v>
      </c>
      <c r="F326" s="130">
        <f xml:space="preserve"> F300 + F305 - F311 + F322 + F324</f>
        <v>0</v>
      </c>
      <c r="G326" s="130">
        <f xml:space="preserve"> G300 + G305 - G311 + G322 + G324</f>
        <v>0</v>
      </c>
      <c r="H326" s="49">
        <f xml:space="preserve"> H300 + H305 - H311 + H322 + H324</f>
        <v>0</v>
      </c>
      <c r="I326" s="32"/>
    </row>
    <row r="327" spans="1:13" x14ac:dyDescent="0.25">
      <c r="A327" s="1" t="s">
        <v>169</v>
      </c>
      <c r="B327" s="142"/>
      <c r="D327" s="7"/>
      <c r="E327" s="7"/>
      <c r="F327" s="7"/>
      <c r="G327" s="32"/>
      <c r="H327" s="32"/>
      <c r="I327" s="32"/>
    </row>
    <row r="328" spans="1:13" x14ac:dyDescent="0.25">
      <c r="B328" s="143"/>
      <c r="I328" s="33"/>
    </row>
    <row r="329" spans="1:13" s="33" customFormat="1" x14ac:dyDescent="0.25">
      <c r="B329" s="23"/>
      <c r="L329" s="195"/>
    </row>
    <row r="330" spans="1:13" x14ac:dyDescent="0.25">
      <c r="B330" s="23"/>
      <c r="C330" s="33"/>
      <c r="D330" s="33"/>
      <c r="E330" s="33"/>
      <c r="F330" s="33"/>
      <c r="G330" s="33"/>
      <c r="H330" s="33"/>
      <c r="I330" s="33"/>
    </row>
    <row r="331" spans="1:13" ht="21" x14ac:dyDescent="0.35">
      <c r="A331" s="13" t="s">
        <v>4</v>
      </c>
      <c r="B331" s="144"/>
      <c r="C331" s="46" t="str">
        <f>B12</f>
        <v>Baker River Project</v>
      </c>
      <c r="D331" s="47"/>
      <c r="E331" s="23"/>
      <c r="F331" s="23"/>
    </row>
    <row r="332" spans="1:13" x14ac:dyDescent="0.25">
      <c r="B332" s="143"/>
    </row>
    <row r="333" spans="1:13" ht="18.75" x14ac:dyDescent="0.3">
      <c r="A333" s="9" t="s">
        <v>41</v>
      </c>
      <c r="B333" s="145"/>
      <c r="D333" s="2">
        <f>'Facility Detail'!$B$1155</f>
        <v>2013</v>
      </c>
      <c r="E333" s="2">
        <f>D333+1</f>
        <v>2014</v>
      </c>
      <c r="F333" s="2">
        <f>E333+1</f>
        <v>2015</v>
      </c>
      <c r="G333" s="139">
        <f>F333+1</f>
        <v>2016</v>
      </c>
      <c r="H333" s="139">
        <f>G333+1</f>
        <v>2017</v>
      </c>
      <c r="I333" s="25"/>
    </row>
    <row r="334" spans="1:13" x14ac:dyDescent="0.25">
      <c r="B334" s="140" t="str">
        <f>"Total MWh Produced / Purchased from " &amp; C331</f>
        <v>Total MWh Produced / Purchased from Baker River Project</v>
      </c>
      <c r="C334" s="66"/>
      <c r="D334" s="3">
        <v>0</v>
      </c>
      <c r="E334" s="4">
        <v>121480</v>
      </c>
      <c r="F334" s="4">
        <v>308611</v>
      </c>
      <c r="G334" s="4">
        <v>358833</v>
      </c>
      <c r="H334" s="5">
        <v>331411</v>
      </c>
      <c r="I334" s="24"/>
      <c r="L334" s="192">
        <v>18317.47752</v>
      </c>
      <c r="M334" s="194">
        <v>42736</v>
      </c>
    </row>
    <row r="335" spans="1:13" x14ac:dyDescent="0.25">
      <c r="B335" s="140" t="s">
        <v>45</v>
      </c>
      <c r="C335" s="66"/>
      <c r="D335" s="158">
        <v>0.28299999999999997</v>
      </c>
      <c r="E335" s="159">
        <v>0.28299999999999997</v>
      </c>
      <c r="F335" s="159">
        <v>0.28299999999999997</v>
      </c>
      <c r="G335" s="159">
        <v>0.28299999999999997</v>
      </c>
      <c r="H335" s="160">
        <v>0.28299999999999997</v>
      </c>
      <c r="I335" s="24"/>
      <c r="L335" s="192">
        <v>38083.91532</v>
      </c>
      <c r="M335" s="194">
        <v>42767</v>
      </c>
    </row>
    <row r="336" spans="1:13" x14ac:dyDescent="0.25">
      <c r="B336" s="140" t="s">
        <v>40</v>
      </c>
      <c r="C336" s="66"/>
      <c r="D336" s="146">
        <v>1</v>
      </c>
      <c r="E336" s="52">
        <v>1</v>
      </c>
      <c r="F336" s="52">
        <v>1</v>
      </c>
      <c r="G336" s="52">
        <v>1</v>
      </c>
      <c r="H336" s="53">
        <v>1</v>
      </c>
      <c r="I336" s="24"/>
      <c r="L336" s="192">
        <v>19818.046999999999</v>
      </c>
      <c r="M336" s="194">
        <v>42795</v>
      </c>
    </row>
    <row r="337" spans="1:12" x14ac:dyDescent="0.25">
      <c r="B337" s="68" t="s">
        <v>42</v>
      </c>
      <c r="C337" s="69"/>
      <c r="D337" s="41">
        <f xml:space="preserve"> D334 * D335 * D336</f>
        <v>0</v>
      </c>
      <c r="E337" s="153">
        <f xml:space="preserve"> E334 * E335 * E336</f>
        <v>34378.839999999997</v>
      </c>
      <c r="F337" s="153">
        <f xml:space="preserve"> F334 * F335 * F336</f>
        <v>87336.912999999986</v>
      </c>
      <c r="G337" s="153">
        <f xml:space="preserve"> G334 * G335 * G336</f>
        <v>101549.73899999999</v>
      </c>
      <c r="H337" s="153">
        <f xml:space="preserve"> H334 * H335 * H336</f>
        <v>93789.312999999995</v>
      </c>
      <c r="I337" s="24"/>
      <c r="L337" s="193">
        <f>SUM(L334:L336)</f>
        <v>76219.439840000006</v>
      </c>
    </row>
    <row r="338" spans="1:12" x14ac:dyDescent="0.25">
      <c r="B338" s="23"/>
      <c r="C338" s="33"/>
      <c r="D338" s="40"/>
      <c r="E338" s="40"/>
      <c r="F338" s="40"/>
      <c r="G338" s="40"/>
      <c r="H338" s="40"/>
      <c r="I338" s="24"/>
    </row>
    <row r="339" spans="1:12" ht="18.75" x14ac:dyDescent="0.3">
      <c r="A339" s="48" t="s">
        <v>139</v>
      </c>
      <c r="B339" s="143"/>
      <c r="C339" s="33"/>
      <c r="D339" s="2">
        <f>'Facility Detail'!$B$1155</f>
        <v>2013</v>
      </c>
      <c r="E339" s="2">
        <f>D339+1</f>
        <v>2014</v>
      </c>
      <c r="F339" s="2">
        <f>E339+1</f>
        <v>2015</v>
      </c>
      <c r="G339" s="2">
        <f>F339+1</f>
        <v>2016</v>
      </c>
      <c r="H339" s="2">
        <f>G339+1</f>
        <v>2017</v>
      </c>
      <c r="I339" s="24"/>
    </row>
    <row r="340" spans="1:12" x14ac:dyDescent="0.25">
      <c r="B340" s="140" t="s">
        <v>30</v>
      </c>
      <c r="C340" s="66"/>
      <c r="D340" s="54">
        <f>IF( $F12 = "Eligible", D337 * 'Facility Detail'!$B$1152, 0 )</f>
        <v>0</v>
      </c>
      <c r="E340" s="11">
        <f>IF( $F12 = "Eligible", E337 * 'Facility Detail'!$B$1152, 0 )</f>
        <v>0</v>
      </c>
      <c r="F340" s="127">
        <f>IF( $F12 = "Eligible", F337 * 'Facility Detail'!$B$1152, 0 )</f>
        <v>0</v>
      </c>
      <c r="G340" s="127">
        <f>IF( $F12 = "Eligible", G337 * 'Facility Detail'!$B$1152, 0 )</f>
        <v>0</v>
      </c>
      <c r="H340" s="12">
        <f>IF( $F12 = "Eligible", H337 * 'Facility Detail'!$B$1152, 0 )</f>
        <v>0</v>
      </c>
      <c r="I340" s="24"/>
    </row>
    <row r="341" spans="1:12" x14ac:dyDescent="0.25">
      <c r="B341" s="140" t="s">
        <v>6</v>
      </c>
      <c r="C341" s="66"/>
      <c r="D341" s="55">
        <f>IF( $G12 = "Eligible", D337, 0 )</f>
        <v>0</v>
      </c>
      <c r="E341" s="56">
        <f>IF( $G12 = "Eligible", E337, 0 )</f>
        <v>0</v>
      </c>
      <c r="F341" s="128">
        <f>IF( $G12 = "Eligible", F337, 0 )</f>
        <v>0</v>
      </c>
      <c r="G341" s="128">
        <f>IF( $G12 = "Eligible", G337, 0 )</f>
        <v>0</v>
      </c>
      <c r="H341" s="57">
        <f>IF( $G12 = "Eligible", H337, 0 )</f>
        <v>0</v>
      </c>
      <c r="I341" s="24"/>
    </row>
    <row r="342" spans="1:12" x14ac:dyDescent="0.25">
      <c r="B342" s="68" t="s">
        <v>141</v>
      </c>
      <c r="C342" s="69"/>
      <c r="D342" s="43">
        <f>SUM(D340:D341)</f>
        <v>0</v>
      </c>
      <c r="E342" s="44">
        <f>SUM(E340:E341)</f>
        <v>0</v>
      </c>
      <c r="F342" s="44">
        <f>SUM(F340:F341)</f>
        <v>0</v>
      </c>
      <c r="G342" s="44">
        <f>SUM(G340:G341)</f>
        <v>0</v>
      </c>
      <c r="H342" s="44">
        <f>SUM(H340:H341)</f>
        <v>0</v>
      </c>
      <c r="I342" s="24"/>
    </row>
    <row r="343" spans="1:12" x14ac:dyDescent="0.25">
      <c r="B343" s="23"/>
      <c r="C343" s="33"/>
      <c r="D343" s="42"/>
      <c r="E343" s="34"/>
      <c r="F343" s="34"/>
      <c r="G343" s="34"/>
      <c r="H343" s="34"/>
      <c r="I343" s="24"/>
    </row>
    <row r="344" spans="1:12" ht="18.75" x14ac:dyDescent="0.3">
      <c r="A344" s="45" t="s">
        <v>50</v>
      </c>
      <c r="B344" s="143"/>
      <c r="C344" s="33"/>
      <c r="D344" s="2">
        <f>'Facility Detail'!$B$1155</f>
        <v>2013</v>
      </c>
      <c r="E344" s="2">
        <f>D344+1</f>
        <v>2014</v>
      </c>
      <c r="F344" s="2">
        <f>E344+1</f>
        <v>2015</v>
      </c>
      <c r="G344" s="2">
        <f>F344+1</f>
        <v>2016</v>
      </c>
      <c r="H344" s="2">
        <f>G344+1</f>
        <v>2017</v>
      </c>
      <c r="I344" s="24"/>
    </row>
    <row r="345" spans="1:12" x14ac:dyDescent="0.25">
      <c r="B345" s="140" t="s">
        <v>67</v>
      </c>
      <c r="C345" s="66"/>
      <c r="D345" s="161"/>
      <c r="E345" s="4"/>
      <c r="F345" s="4"/>
      <c r="G345" s="4"/>
      <c r="H345" s="5"/>
      <c r="I345" s="24"/>
    </row>
    <row r="346" spans="1:12" x14ac:dyDescent="0.25">
      <c r="B346" s="83" t="s">
        <v>43</v>
      </c>
      <c r="C346" s="73"/>
      <c r="D346" s="82"/>
      <c r="E346" s="162"/>
      <c r="F346" s="162"/>
      <c r="G346" s="162"/>
      <c r="H346" s="163"/>
      <c r="I346" s="24"/>
    </row>
    <row r="347" spans="1:12" x14ac:dyDescent="0.25">
      <c r="B347" s="83" t="s">
        <v>109</v>
      </c>
      <c r="C347" s="81"/>
      <c r="D347" s="58"/>
      <c r="E347" s="164"/>
      <c r="F347" s="164"/>
      <c r="G347" s="164"/>
      <c r="H347" s="165"/>
      <c r="I347" s="24"/>
    </row>
    <row r="348" spans="1:12" x14ac:dyDescent="0.25">
      <c r="B348" s="141" t="s">
        <v>110</v>
      </c>
      <c r="D348" s="7">
        <f>SUM(D345:D347)</f>
        <v>0</v>
      </c>
      <c r="E348" s="7">
        <f>SUM(E345:E347)</f>
        <v>0</v>
      </c>
      <c r="F348" s="7">
        <f>SUM(F345:F347)</f>
        <v>0</v>
      </c>
      <c r="G348" s="7"/>
      <c r="H348" s="7"/>
      <c r="I348" s="32"/>
    </row>
    <row r="349" spans="1:12" x14ac:dyDescent="0.25">
      <c r="B349" s="142"/>
      <c r="D349" s="7"/>
      <c r="E349" s="7"/>
      <c r="F349" s="7"/>
      <c r="G349" s="7"/>
      <c r="H349" s="7"/>
      <c r="I349" s="32"/>
    </row>
    <row r="350" spans="1:12" ht="18.75" x14ac:dyDescent="0.3">
      <c r="A350" s="9" t="s">
        <v>120</v>
      </c>
      <c r="B350" s="143"/>
      <c r="D350" s="2">
        <f>'Facility Detail'!$B$1155</f>
        <v>2013</v>
      </c>
      <c r="E350" s="2">
        <f>D350+1</f>
        <v>2014</v>
      </c>
      <c r="F350" s="2">
        <f>E350+1</f>
        <v>2015</v>
      </c>
      <c r="G350" s="2">
        <f>F350+1</f>
        <v>2016</v>
      </c>
      <c r="H350" s="2">
        <f>G350+1</f>
        <v>2017</v>
      </c>
      <c r="I350" s="32"/>
    </row>
    <row r="351" spans="1:12" x14ac:dyDescent="0.25">
      <c r="B351" s="71" t="str">
        <f>( 'Facility Detail'!$B$1155) &amp; " Surplus Applied to " &amp; ( 'Facility Detail'!$B$1155 + 1 )</f>
        <v>2013 Surplus Applied to 2014</v>
      </c>
      <c r="C351" s="33"/>
      <c r="D351" s="3">
        <f>D337+D342-D348</f>
        <v>0</v>
      </c>
      <c r="E351" s="59">
        <f>D351</f>
        <v>0</v>
      </c>
      <c r="F351" s="135"/>
      <c r="G351" s="135"/>
      <c r="H351" s="136"/>
      <c r="I351" s="32"/>
    </row>
    <row r="352" spans="1:12" x14ac:dyDescent="0.25">
      <c r="B352" s="71" t="str">
        <f xml:space="preserve"> ( 'Facility Detail'!$B$1155 + 1 ) &amp; " Surplus Applied to " &amp; ( 'Facility Detail'!$B$1155 )</f>
        <v>2014 Surplus Applied to 2013</v>
      </c>
      <c r="C352" s="33"/>
      <c r="D352" s="157">
        <f>E352</f>
        <v>0</v>
      </c>
      <c r="E352" s="10">
        <v>0</v>
      </c>
      <c r="F352" s="131"/>
      <c r="G352" s="131"/>
      <c r="H352" s="137"/>
      <c r="I352" s="32"/>
    </row>
    <row r="353" spans="1:12" x14ac:dyDescent="0.25">
      <c r="B353" s="140" t="str">
        <f xml:space="preserve"> ( 'Facility Detail'!$B$1155 + 1 ) &amp; " Surplus Applied to " &amp; ( 'Facility Detail'!$B$1155 + 2 )</f>
        <v>2014 Surplus Applied to 2015</v>
      </c>
      <c r="C353" s="33"/>
      <c r="D353" s="132"/>
      <c r="E353" s="10">
        <v>0</v>
      </c>
      <c r="F353" s="65">
        <f>+E353</f>
        <v>0</v>
      </c>
      <c r="G353" s="131"/>
      <c r="H353" s="137"/>
      <c r="I353" s="32"/>
    </row>
    <row r="354" spans="1:12" x14ac:dyDescent="0.25">
      <c r="B354" s="140" t="str">
        <f xml:space="preserve"> ( 'Facility Detail'!$B$1155 + 2 ) &amp; " Surplus Applied to " &amp; ( 'Facility Detail'!$B$1155 + 1 )</f>
        <v>2015 Surplus Applied to 2014</v>
      </c>
      <c r="C354" s="33"/>
      <c r="D354" s="132"/>
      <c r="E354" s="65">
        <f>F354</f>
        <v>0</v>
      </c>
      <c r="F354" s="10">
        <v>0</v>
      </c>
      <c r="G354" s="131"/>
      <c r="H354" s="137"/>
      <c r="I354" s="32"/>
    </row>
    <row r="355" spans="1:12" x14ac:dyDescent="0.25">
      <c r="B355" s="140" t="s">
        <v>170</v>
      </c>
      <c r="C355" s="33"/>
      <c r="D355" s="132"/>
      <c r="E355" s="131"/>
      <c r="F355" s="10">
        <v>0</v>
      </c>
      <c r="G355" s="65">
        <f>+F355</f>
        <v>0</v>
      </c>
      <c r="H355" s="137"/>
      <c r="I355" s="32"/>
    </row>
    <row r="356" spans="1:12" x14ac:dyDescent="0.25">
      <c r="B356" s="140" t="s">
        <v>171</v>
      </c>
      <c r="C356" s="33"/>
      <c r="D356" s="132"/>
      <c r="E356" s="131"/>
      <c r="F356" s="65">
        <f>G356</f>
        <v>0</v>
      </c>
      <c r="G356" s="10">
        <v>0</v>
      </c>
      <c r="H356" s="137"/>
      <c r="I356" s="32"/>
    </row>
    <row r="357" spans="1:12" x14ac:dyDescent="0.25">
      <c r="B357" s="140" t="s">
        <v>172</v>
      </c>
      <c r="C357" s="33"/>
      <c r="D357" s="132"/>
      <c r="E357" s="131"/>
      <c r="F357" s="131"/>
      <c r="G357" s="10">
        <v>0</v>
      </c>
      <c r="H357" s="60">
        <f>+G357</f>
        <v>0</v>
      </c>
      <c r="I357" s="32"/>
    </row>
    <row r="358" spans="1:12" x14ac:dyDescent="0.25">
      <c r="B358" s="140" t="s">
        <v>173</v>
      </c>
      <c r="C358" s="33"/>
      <c r="D358" s="133"/>
      <c r="E358" s="134"/>
      <c r="F358" s="134"/>
      <c r="G358" s="61">
        <f>H358</f>
        <v>0</v>
      </c>
      <c r="H358" s="51">
        <v>0</v>
      </c>
      <c r="I358" s="32"/>
    </row>
    <row r="359" spans="1:12" x14ac:dyDescent="0.25">
      <c r="B359" s="141" t="s">
        <v>37</v>
      </c>
      <c r="D359" s="7">
        <f xml:space="preserve"> D352 - D351</f>
        <v>0</v>
      </c>
      <c r="E359" s="7">
        <f xml:space="preserve"> E351 + E354 - E353 - E352</f>
        <v>0</v>
      </c>
      <c r="F359" s="7">
        <f>F353 - F354 - F355 + F356</f>
        <v>0</v>
      </c>
      <c r="G359" s="7">
        <f>G355  - G356 - G357  + G358</f>
        <v>0</v>
      </c>
      <c r="H359" s="7">
        <f>H357 - H358</f>
        <v>0</v>
      </c>
      <c r="I359" s="32"/>
    </row>
    <row r="360" spans="1:12" x14ac:dyDescent="0.25">
      <c r="B360" s="142"/>
      <c r="D360" s="7"/>
      <c r="E360" s="7"/>
      <c r="F360" s="7"/>
      <c r="G360" s="7"/>
      <c r="H360" s="7"/>
      <c r="I360" s="32"/>
    </row>
    <row r="361" spans="1:12" x14ac:dyDescent="0.25">
      <c r="B361" s="68" t="s">
        <v>32</v>
      </c>
      <c r="C361" s="66"/>
      <c r="D361" s="90"/>
      <c r="E361" s="91"/>
      <c r="F361" s="129"/>
      <c r="G361" s="129"/>
      <c r="H361" s="92"/>
      <c r="I361" s="32"/>
    </row>
    <row r="362" spans="1:12" x14ac:dyDescent="0.25">
      <c r="B362" s="142"/>
      <c r="D362" s="7"/>
      <c r="E362" s="7"/>
      <c r="F362" s="7"/>
      <c r="G362" s="7"/>
      <c r="H362" s="7"/>
      <c r="I362" s="32"/>
    </row>
    <row r="363" spans="1:12" ht="18.75" x14ac:dyDescent="0.3">
      <c r="A363" s="45" t="s">
        <v>46</v>
      </c>
      <c r="B363" s="143"/>
      <c r="C363" s="66"/>
      <c r="D363" s="130">
        <f xml:space="preserve"> D337 + D342 - D348 + D359 + D361</f>
        <v>0</v>
      </c>
      <c r="E363" s="130">
        <f xml:space="preserve"> E337 + E342 - E348 + E359 + E361</f>
        <v>34378.839999999997</v>
      </c>
      <c r="F363" s="130">
        <f xml:space="preserve"> F337 + F342 - F348 + F359 + F361</f>
        <v>87336.912999999986</v>
      </c>
      <c r="G363" s="130">
        <f xml:space="preserve"> G337 + G342 - G348 + G359 + G361</f>
        <v>101549.73899999999</v>
      </c>
      <c r="H363" s="49">
        <f xml:space="preserve"> H337 + H342 - H348 + H359 + H361</f>
        <v>93789.312999999995</v>
      </c>
      <c r="I363" s="32"/>
    </row>
    <row r="364" spans="1:12" x14ac:dyDescent="0.25">
      <c r="B364" s="142"/>
      <c r="C364" s="147" t="s">
        <v>185</v>
      </c>
      <c r="D364" s="7"/>
      <c r="E364" s="7">
        <v>34379</v>
      </c>
      <c r="F364" s="7">
        <v>87337</v>
      </c>
      <c r="G364" s="7"/>
      <c r="H364" s="7"/>
      <c r="I364" s="32"/>
    </row>
    <row r="365" spans="1:12" x14ac:dyDescent="0.25">
      <c r="A365" s="1" t="s">
        <v>179</v>
      </c>
      <c r="B365" s="143"/>
      <c r="I365" s="33"/>
    </row>
    <row r="366" spans="1:12" s="33" customFormat="1" x14ac:dyDescent="0.25">
      <c r="B366" s="23"/>
      <c r="L366" s="195"/>
    </row>
    <row r="367" spans="1:12" x14ac:dyDescent="0.25">
      <c r="B367" s="23"/>
      <c r="C367" s="33"/>
      <c r="D367" s="33"/>
      <c r="E367" s="33"/>
      <c r="F367" s="33"/>
      <c r="G367" s="33"/>
      <c r="H367" s="33"/>
      <c r="I367" s="33"/>
    </row>
    <row r="368" spans="1:12" ht="21" x14ac:dyDescent="0.35">
      <c r="A368" s="13" t="s">
        <v>4</v>
      </c>
      <c r="B368" s="144"/>
      <c r="C368" s="46" t="str">
        <f>B13</f>
        <v>Snoqualmie Falls Project</v>
      </c>
      <c r="D368" s="47"/>
      <c r="E368" s="23"/>
      <c r="F368" s="23"/>
    </row>
    <row r="369" spans="1:13" x14ac:dyDescent="0.25">
      <c r="B369" s="143"/>
    </row>
    <row r="370" spans="1:13" ht="18.75" x14ac:dyDescent="0.3">
      <c r="A370" s="9" t="s">
        <v>41</v>
      </c>
      <c r="B370" s="145"/>
      <c r="D370" s="2">
        <f>'Facility Detail'!$B$1155</f>
        <v>2013</v>
      </c>
      <c r="E370" s="2">
        <f>D370+1</f>
        <v>2014</v>
      </c>
      <c r="F370" s="2">
        <f>E370+1</f>
        <v>2015</v>
      </c>
      <c r="G370" s="139">
        <f>F370+1</f>
        <v>2016</v>
      </c>
      <c r="H370" s="139">
        <f>G370+1</f>
        <v>2017</v>
      </c>
      <c r="I370" s="25"/>
    </row>
    <row r="371" spans="1:13" x14ac:dyDescent="0.25">
      <c r="B371" s="140" t="str">
        <f>"Total MWh Produced / Purchased from " &amp; C368</f>
        <v>Total MWh Produced / Purchased from Snoqualmie Falls Project</v>
      </c>
      <c r="C371" s="66"/>
      <c r="D371" s="3"/>
      <c r="E371" s="4">
        <v>170104</v>
      </c>
      <c r="F371" s="4">
        <v>118871</v>
      </c>
      <c r="G371" s="4">
        <v>205584</v>
      </c>
      <c r="H371" s="5">
        <v>241137</v>
      </c>
      <c r="I371" s="24"/>
      <c r="L371" s="192">
        <v>17018</v>
      </c>
      <c r="M371" s="194">
        <v>42736</v>
      </c>
    </row>
    <row r="372" spans="1:13" x14ac:dyDescent="0.25">
      <c r="B372" s="140" t="s">
        <v>45</v>
      </c>
      <c r="C372" s="66"/>
      <c r="D372" s="158"/>
      <c r="E372" s="159">
        <v>8.5000000000000006E-2</v>
      </c>
      <c r="F372" s="159">
        <v>8.5000000000000006E-2</v>
      </c>
      <c r="G372" s="159">
        <v>8.5000000000000006E-2</v>
      </c>
      <c r="H372" s="160">
        <v>8.5000000000000006E-2</v>
      </c>
      <c r="I372" s="24"/>
      <c r="L372" s="192">
        <v>20373.099999999999</v>
      </c>
      <c r="M372" s="194">
        <v>42767</v>
      </c>
    </row>
    <row r="373" spans="1:13" x14ac:dyDescent="0.25">
      <c r="B373" s="140" t="s">
        <v>40</v>
      </c>
      <c r="C373" s="66"/>
      <c r="D373" s="146"/>
      <c r="E373" s="52">
        <v>1</v>
      </c>
      <c r="F373" s="52">
        <v>1</v>
      </c>
      <c r="G373" s="52">
        <v>1</v>
      </c>
      <c r="H373" s="53">
        <v>1</v>
      </c>
      <c r="I373" s="24"/>
      <c r="L373" s="192">
        <v>23171.45045</v>
      </c>
      <c r="M373" s="194">
        <v>42795</v>
      </c>
    </row>
    <row r="374" spans="1:13" x14ac:dyDescent="0.25">
      <c r="B374" s="68" t="s">
        <v>42</v>
      </c>
      <c r="C374" s="69"/>
      <c r="D374" s="41">
        <f xml:space="preserve"> D371 * D372 * D373</f>
        <v>0</v>
      </c>
      <c r="E374" s="153">
        <f xml:space="preserve"> E371 * E372 * E373</f>
        <v>14458.84</v>
      </c>
      <c r="F374" s="153">
        <f xml:space="preserve"> F371 * F372 * F373</f>
        <v>10104.035</v>
      </c>
      <c r="G374" s="153">
        <f xml:space="preserve"> G371 * G372 * G373</f>
        <v>17474.640000000003</v>
      </c>
      <c r="H374" s="153">
        <f xml:space="preserve"> H371 * H372 * H373</f>
        <v>20496.645</v>
      </c>
      <c r="I374" s="24"/>
      <c r="L374" s="193">
        <f>SUM(L371:L373)</f>
        <v>60562.550449999995</v>
      </c>
    </row>
    <row r="375" spans="1:13" x14ac:dyDescent="0.25">
      <c r="B375" s="23"/>
      <c r="C375" s="33"/>
      <c r="D375" s="40"/>
      <c r="E375" s="40"/>
      <c r="F375" s="40"/>
      <c r="G375" s="40"/>
      <c r="H375" s="40"/>
      <c r="I375" s="24"/>
    </row>
    <row r="376" spans="1:13" ht="18.75" x14ac:dyDescent="0.3">
      <c r="A376" s="48" t="s">
        <v>139</v>
      </c>
      <c r="B376" s="143"/>
      <c r="C376" s="33"/>
      <c r="D376" s="2">
        <f>'Facility Detail'!$B$1155</f>
        <v>2013</v>
      </c>
      <c r="E376" s="2">
        <f>D376+1</f>
        <v>2014</v>
      </c>
      <c r="F376" s="2">
        <f>E376+1</f>
        <v>2015</v>
      </c>
      <c r="G376" s="2">
        <f>F376+1</f>
        <v>2016</v>
      </c>
      <c r="H376" s="2">
        <f>G376+1</f>
        <v>2017</v>
      </c>
      <c r="I376" s="24"/>
    </row>
    <row r="377" spans="1:13" x14ac:dyDescent="0.25">
      <c r="B377" s="140" t="s">
        <v>30</v>
      </c>
      <c r="C377" s="66"/>
      <c r="D377" s="54">
        <f>IF( $F13 = "Eligible", D374 * 'Facility Detail'!$B$1152, 0 )</f>
        <v>0</v>
      </c>
      <c r="E377" s="11">
        <f>IF( $F13 = "Eligible", E374 * 'Facility Detail'!$B$1152, 0 )</f>
        <v>0</v>
      </c>
      <c r="F377" s="127">
        <f>IF( $F13 = "Eligible", F374 * 'Facility Detail'!$B$1152, 0 )</f>
        <v>0</v>
      </c>
      <c r="G377" s="127">
        <f>IF( $F13 = "Eligible", G374 * 'Facility Detail'!$B$1152, 0 )</f>
        <v>0</v>
      </c>
      <c r="H377" s="12">
        <f>IF( $F13 = "Eligible", H374 * 'Facility Detail'!$B$1152, 0 )</f>
        <v>0</v>
      </c>
      <c r="I377" s="24"/>
    </row>
    <row r="378" spans="1:13" x14ac:dyDescent="0.25">
      <c r="B378" s="140" t="s">
        <v>6</v>
      </c>
      <c r="C378" s="66"/>
      <c r="D378" s="55">
        <f>IF( $G13 = "Eligible", D374, 0 )</f>
        <v>0</v>
      </c>
      <c r="E378" s="56">
        <f>IF( $G13 = "Eligible", E374, 0 )</f>
        <v>0</v>
      </c>
      <c r="F378" s="128">
        <f>IF( $G13 = "Eligible", F374, 0 )</f>
        <v>0</v>
      </c>
      <c r="G378" s="128">
        <f>IF( $G13 = "Eligible", G374, 0 )</f>
        <v>0</v>
      </c>
      <c r="H378" s="57">
        <f>IF( $G13 = "Eligible", H374, 0 )</f>
        <v>0</v>
      </c>
      <c r="I378" s="24"/>
    </row>
    <row r="379" spans="1:13" x14ac:dyDescent="0.25">
      <c r="B379" s="68" t="s">
        <v>141</v>
      </c>
      <c r="C379" s="69"/>
      <c r="D379" s="43">
        <f>SUM(D377:D378)</f>
        <v>0</v>
      </c>
      <c r="E379" s="44">
        <f>SUM(E377:E378)</f>
        <v>0</v>
      </c>
      <c r="F379" s="44">
        <f>SUM(F377:F378)</f>
        <v>0</v>
      </c>
      <c r="G379" s="44">
        <f>SUM(G377:G378)</f>
        <v>0</v>
      </c>
      <c r="H379" s="44">
        <f>SUM(H377:H378)</f>
        <v>0</v>
      </c>
      <c r="I379" s="24"/>
    </row>
    <row r="380" spans="1:13" x14ac:dyDescent="0.25">
      <c r="B380" s="23"/>
      <c r="C380" s="33"/>
      <c r="D380" s="42"/>
      <c r="E380" s="34"/>
      <c r="F380" s="34"/>
      <c r="G380" s="34"/>
      <c r="H380" s="34"/>
      <c r="I380" s="24"/>
    </row>
    <row r="381" spans="1:13" ht="18.75" x14ac:dyDescent="0.3">
      <c r="A381" s="45" t="s">
        <v>50</v>
      </c>
      <c r="B381" s="143"/>
      <c r="C381" s="33"/>
      <c r="D381" s="2">
        <f>'Facility Detail'!$B$1155</f>
        <v>2013</v>
      </c>
      <c r="E381" s="2">
        <f>D381+1</f>
        <v>2014</v>
      </c>
      <c r="F381" s="2">
        <f>E381+1</f>
        <v>2015</v>
      </c>
      <c r="G381" s="2">
        <f>F381+1</f>
        <v>2016</v>
      </c>
      <c r="H381" s="2">
        <f>G381+1</f>
        <v>2017</v>
      </c>
      <c r="I381" s="24"/>
    </row>
    <row r="382" spans="1:13" x14ac:dyDescent="0.25">
      <c r="B382" s="140" t="s">
        <v>67</v>
      </c>
      <c r="C382" s="66"/>
      <c r="D382" s="161"/>
      <c r="E382" s="4"/>
      <c r="F382" s="4"/>
      <c r="G382" s="4"/>
      <c r="H382" s="5"/>
      <c r="I382" s="24"/>
    </row>
    <row r="383" spans="1:13" x14ac:dyDescent="0.25">
      <c r="B383" s="83" t="s">
        <v>43</v>
      </c>
      <c r="C383" s="73"/>
      <c r="D383" s="82"/>
      <c r="E383" s="162"/>
      <c r="F383" s="162"/>
      <c r="G383" s="162"/>
      <c r="H383" s="163"/>
      <c r="I383" s="24"/>
    </row>
    <row r="384" spans="1:13" x14ac:dyDescent="0.25">
      <c r="B384" s="83" t="s">
        <v>109</v>
      </c>
      <c r="C384" s="81"/>
      <c r="D384" s="58"/>
      <c r="E384" s="164"/>
      <c r="F384" s="164"/>
      <c r="G384" s="164"/>
      <c r="H384" s="165"/>
      <c r="I384" s="24"/>
    </row>
    <row r="385" spans="1:9" x14ac:dyDescent="0.25">
      <c r="B385" s="141" t="s">
        <v>110</v>
      </c>
      <c r="D385" s="7">
        <f>SUM(D382:D384)</f>
        <v>0</v>
      </c>
      <c r="E385" s="7">
        <f>SUM(E382:E384)</f>
        <v>0</v>
      </c>
      <c r="F385" s="7">
        <f>SUM(F382:F384)</f>
        <v>0</v>
      </c>
      <c r="G385" s="7">
        <f>SUM(G382:G384)</f>
        <v>0</v>
      </c>
      <c r="H385" s="7">
        <f>SUM(H382:H384)</f>
        <v>0</v>
      </c>
      <c r="I385" s="32"/>
    </row>
    <row r="386" spans="1:9" x14ac:dyDescent="0.25">
      <c r="B386" s="142"/>
      <c r="D386" s="7"/>
      <c r="E386" s="7"/>
      <c r="F386" s="7"/>
      <c r="G386" s="7"/>
      <c r="H386" s="7"/>
      <c r="I386" s="32"/>
    </row>
    <row r="387" spans="1:9" ht="18.75" x14ac:dyDescent="0.3">
      <c r="A387" s="9" t="s">
        <v>120</v>
      </c>
      <c r="B387" s="143"/>
      <c r="D387" s="2">
        <f>'Facility Detail'!$B$1155</f>
        <v>2013</v>
      </c>
      <c r="E387" s="2">
        <f>D387+1</f>
        <v>2014</v>
      </c>
      <c r="F387" s="2">
        <f>E387+1</f>
        <v>2015</v>
      </c>
      <c r="G387" s="2">
        <f>F387+1</f>
        <v>2016</v>
      </c>
      <c r="H387" s="2">
        <f>G387+1</f>
        <v>2017</v>
      </c>
      <c r="I387" s="32"/>
    </row>
    <row r="388" spans="1:9" x14ac:dyDescent="0.25">
      <c r="B388" s="71" t="str">
        <f>( 'Facility Detail'!$B$1155) &amp; " Surplus Applied to " &amp; ( 'Facility Detail'!$B$1155 + 1 )</f>
        <v>2013 Surplus Applied to 2014</v>
      </c>
      <c r="C388" s="33"/>
      <c r="D388" s="3">
        <f>D374+D379-D385</f>
        <v>0</v>
      </c>
      <c r="E388" s="59">
        <f>D388</f>
        <v>0</v>
      </c>
      <c r="F388" s="135"/>
      <c r="G388" s="135"/>
      <c r="H388" s="136"/>
      <c r="I388" s="32"/>
    </row>
    <row r="389" spans="1:9" x14ac:dyDescent="0.25">
      <c r="B389" s="71" t="str">
        <f xml:space="preserve"> ( 'Facility Detail'!$B$1155 + 1 ) &amp; " Surplus Applied to " &amp; ( 'Facility Detail'!$B$1155 )</f>
        <v>2014 Surplus Applied to 2013</v>
      </c>
      <c r="C389" s="33"/>
      <c r="D389" s="157">
        <f>E389</f>
        <v>0</v>
      </c>
      <c r="E389" s="10">
        <v>0</v>
      </c>
      <c r="F389" s="131"/>
      <c r="G389" s="131"/>
      <c r="H389" s="137"/>
      <c r="I389" s="32"/>
    </row>
    <row r="390" spans="1:9" x14ac:dyDescent="0.25">
      <c r="B390" s="140" t="str">
        <f xml:space="preserve"> ( 'Facility Detail'!$B$1155 + 1 ) &amp; " Surplus Applied to " &amp; ( 'Facility Detail'!$B$1155 + 2 )</f>
        <v>2014 Surplus Applied to 2015</v>
      </c>
      <c r="C390" s="33"/>
      <c r="D390" s="132"/>
      <c r="E390" s="10">
        <v>0</v>
      </c>
      <c r="F390" s="65">
        <f>+E390</f>
        <v>0</v>
      </c>
      <c r="G390" s="131"/>
      <c r="H390" s="137"/>
      <c r="I390" s="32"/>
    </row>
    <row r="391" spans="1:9" x14ac:dyDescent="0.25">
      <c r="B391" s="140" t="str">
        <f xml:space="preserve"> ( 'Facility Detail'!$B$1155 + 2 ) &amp; " Surplus Applied to " &amp; ( 'Facility Detail'!$B$1155 + 1 )</f>
        <v>2015 Surplus Applied to 2014</v>
      </c>
      <c r="C391" s="33"/>
      <c r="D391" s="132"/>
      <c r="E391" s="65">
        <f>F391</f>
        <v>0</v>
      </c>
      <c r="F391" s="10">
        <v>0</v>
      </c>
      <c r="G391" s="131"/>
      <c r="H391" s="137"/>
      <c r="I391" s="32"/>
    </row>
    <row r="392" spans="1:9" x14ac:dyDescent="0.25">
      <c r="B392" s="140" t="s">
        <v>170</v>
      </c>
      <c r="C392" s="33"/>
      <c r="D392" s="132"/>
      <c r="E392" s="131"/>
      <c r="F392" s="10">
        <v>0</v>
      </c>
      <c r="G392" s="65">
        <f>+F392</f>
        <v>0</v>
      </c>
      <c r="H392" s="137"/>
      <c r="I392" s="32"/>
    </row>
    <row r="393" spans="1:9" x14ac:dyDescent="0.25">
      <c r="B393" s="140" t="s">
        <v>171</v>
      </c>
      <c r="C393" s="33"/>
      <c r="D393" s="132"/>
      <c r="E393" s="131"/>
      <c r="F393" s="65">
        <f>G393</f>
        <v>0</v>
      </c>
      <c r="G393" s="10">
        <v>0</v>
      </c>
      <c r="H393" s="137"/>
      <c r="I393" s="32"/>
    </row>
    <row r="394" spans="1:9" x14ac:dyDescent="0.25">
      <c r="B394" s="140" t="s">
        <v>172</v>
      </c>
      <c r="C394" s="33"/>
      <c r="D394" s="132"/>
      <c r="E394" s="131"/>
      <c r="F394" s="131"/>
      <c r="G394" s="10">
        <v>0</v>
      </c>
      <c r="H394" s="60">
        <f>+G394</f>
        <v>0</v>
      </c>
      <c r="I394" s="32"/>
    </row>
    <row r="395" spans="1:9" x14ac:dyDescent="0.25">
      <c r="B395" s="140" t="s">
        <v>173</v>
      </c>
      <c r="C395" s="33"/>
      <c r="D395" s="133"/>
      <c r="E395" s="134"/>
      <c r="F395" s="134"/>
      <c r="G395" s="61">
        <f>H395</f>
        <v>0</v>
      </c>
      <c r="H395" s="51">
        <v>0</v>
      </c>
      <c r="I395" s="32"/>
    </row>
    <row r="396" spans="1:9" x14ac:dyDescent="0.25">
      <c r="B396" s="141" t="s">
        <v>37</v>
      </c>
      <c r="D396" s="7">
        <f xml:space="preserve"> D389 - D388</f>
        <v>0</v>
      </c>
      <c r="E396" s="7">
        <f xml:space="preserve"> E388 + E391 - E390 - E389</f>
        <v>0</v>
      </c>
      <c r="F396" s="7">
        <f>F390 - F391 - F392 + F393</f>
        <v>0</v>
      </c>
      <c r="G396" s="7">
        <f>G392  - G393 - G394  + G395</f>
        <v>0</v>
      </c>
      <c r="H396" s="7">
        <f>H394 - H395</f>
        <v>0</v>
      </c>
      <c r="I396" s="32"/>
    </row>
    <row r="397" spans="1:9" x14ac:dyDescent="0.25">
      <c r="B397" s="142"/>
      <c r="D397" s="7"/>
      <c r="E397" s="7"/>
      <c r="F397" s="7"/>
      <c r="G397" s="7"/>
      <c r="H397" s="7"/>
      <c r="I397" s="32"/>
    </row>
    <row r="398" spans="1:9" x14ac:dyDescent="0.25">
      <c r="B398" s="68" t="s">
        <v>32</v>
      </c>
      <c r="D398" s="90"/>
      <c r="E398" s="91"/>
      <c r="F398" s="129"/>
      <c r="G398" s="129"/>
      <c r="H398" s="92"/>
      <c r="I398" s="32"/>
    </row>
    <row r="399" spans="1:9" x14ac:dyDescent="0.25">
      <c r="B399" s="142"/>
      <c r="D399" s="7"/>
      <c r="E399" s="7"/>
      <c r="F399" s="7"/>
      <c r="G399" s="7"/>
      <c r="H399" s="7"/>
      <c r="I399" s="32"/>
    </row>
    <row r="400" spans="1:9" ht="18.75" x14ac:dyDescent="0.3">
      <c r="A400" s="45" t="s">
        <v>46</v>
      </c>
      <c r="B400" s="143"/>
      <c r="C400" s="66"/>
      <c r="D400" s="130">
        <f xml:space="preserve"> D374 + D379 - D385 + D396 + D398</f>
        <v>0</v>
      </c>
      <c r="E400" s="130">
        <f xml:space="preserve"> E374 + E379 - E385 + E396 + E398</f>
        <v>14458.84</v>
      </c>
      <c r="F400" s="130">
        <f xml:space="preserve"> F374 + F379 - F385 + F396 + F398</f>
        <v>10104.035</v>
      </c>
      <c r="G400" s="130">
        <f xml:space="preserve"> G374 + G379 - G385 + G396 + G398</f>
        <v>17474.640000000003</v>
      </c>
      <c r="H400" s="49">
        <f xml:space="preserve"> H374 + H379 - H385 + H396 + H398</f>
        <v>20496.645</v>
      </c>
      <c r="I400" s="32"/>
    </row>
    <row r="401" spans="1:9" x14ac:dyDescent="0.25">
      <c r="C401" s="147" t="s">
        <v>186</v>
      </c>
      <c r="E401" s="7">
        <v>14459</v>
      </c>
      <c r="F401" s="7">
        <v>10104</v>
      </c>
      <c r="G401" s="7"/>
      <c r="H401" s="7"/>
    </row>
    <row r="402" spans="1:9" x14ac:dyDescent="0.25">
      <c r="A402" s="1" t="s">
        <v>178</v>
      </c>
      <c r="B402" s="142"/>
      <c r="D402" s="7"/>
      <c r="E402" s="7"/>
      <c r="F402" s="7"/>
      <c r="G402" s="32"/>
      <c r="H402" s="32"/>
      <c r="I402" s="32"/>
    </row>
    <row r="403" spans="1:9" hidden="1" x14ac:dyDescent="0.25">
      <c r="A403" s="8"/>
      <c r="B403" s="8"/>
      <c r="C403" s="8"/>
      <c r="D403" s="8"/>
      <c r="E403" s="8"/>
      <c r="F403" s="8"/>
      <c r="G403" s="8"/>
      <c r="H403" s="8"/>
      <c r="I403" s="33"/>
    </row>
    <row r="404" spans="1:9" hidden="1" x14ac:dyDescent="0.25">
      <c r="B404" s="33"/>
      <c r="C404" s="33"/>
      <c r="D404" s="33"/>
      <c r="E404" s="33"/>
      <c r="F404" s="33"/>
      <c r="G404" s="33"/>
      <c r="H404" s="33"/>
      <c r="I404" s="33"/>
    </row>
    <row r="405" spans="1:9" ht="21" hidden="1" x14ac:dyDescent="0.35">
      <c r="A405" s="13" t="s">
        <v>4</v>
      </c>
      <c r="B405" s="13"/>
      <c r="C405" s="46" t="str">
        <f>B14</f>
        <v>Facility 11</v>
      </c>
      <c r="D405" s="47"/>
      <c r="E405" s="23"/>
      <c r="F405" s="23"/>
    </row>
    <row r="406" spans="1:9" hidden="1" x14ac:dyDescent="0.25"/>
    <row r="407" spans="1:9" ht="18.75" hidden="1" x14ac:dyDescent="0.3">
      <c r="A407" s="9" t="s">
        <v>41</v>
      </c>
      <c r="B407" s="9"/>
      <c r="D407" s="2">
        <f>'Facility Detail'!$B$1155</f>
        <v>2013</v>
      </c>
      <c r="E407" s="2">
        <f>D407+1</f>
        <v>2014</v>
      </c>
      <c r="F407" s="2">
        <f>E407+1</f>
        <v>2015</v>
      </c>
      <c r="G407" s="2">
        <f t="shared" ref="G407:H407" si="4">F407+1</f>
        <v>2016</v>
      </c>
      <c r="H407" s="2">
        <f t="shared" si="4"/>
        <v>2017</v>
      </c>
      <c r="I407" s="25"/>
    </row>
    <row r="408" spans="1:9" hidden="1" x14ac:dyDescent="0.25">
      <c r="B408" s="71" t="str">
        <f>"Total MWh Produced / Purchased from " &amp; C405</f>
        <v>Total MWh Produced / Purchased from Facility 11</v>
      </c>
      <c r="C408" s="66"/>
      <c r="D408" s="3"/>
      <c r="E408" s="4"/>
      <c r="F408" s="4"/>
      <c r="G408" s="4"/>
      <c r="H408" s="5"/>
      <c r="I408" s="24"/>
    </row>
    <row r="409" spans="1:9" hidden="1" x14ac:dyDescent="0.25">
      <c r="B409" s="71" t="s">
        <v>45</v>
      </c>
      <c r="C409" s="66"/>
      <c r="D409" s="155"/>
      <c r="E409" s="154"/>
      <c r="F409" s="154"/>
      <c r="G409" s="154"/>
      <c r="H409" s="156"/>
      <c r="I409" s="24"/>
    </row>
    <row r="410" spans="1:9" hidden="1" x14ac:dyDescent="0.25">
      <c r="B410" s="71" t="s">
        <v>40</v>
      </c>
      <c r="C410" s="66"/>
      <c r="D410" s="146"/>
      <c r="E410" s="52"/>
      <c r="F410" s="52"/>
      <c r="G410" s="52"/>
      <c r="H410" s="53"/>
      <c r="I410" s="24"/>
    </row>
    <row r="411" spans="1:9" hidden="1" x14ac:dyDescent="0.25">
      <c r="B411" s="68" t="s">
        <v>42</v>
      </c>
      <c r="C411" s="69"/>
      <c r="D411" s="41">
        <f xml:space="preserve"> D408 * D409 * D410</f>
        <v>0</v>
      </c>
      <c r="E411" s="153">
        <f xml:space="preserve"> E408 * E409 * E410</f>
        <v>0</v>
      </c>
      <c r="F411" s="153">
        <f xml:space="preserve"> F408 * F409 * F410</f>
        <v>0</v>
      </c>
      <c r="G411" s="153"/>
      <c r="H411" s="153"/>
      <c r="I411" s="24"/>
    </row>
    <row r="412" spans="1:9" hidden="1" x14ac:dyDescent="0.25">
      <c r="B412" s="23"/>
      <c r="C412" s="33"/>
      <c r="D412" s="40"/>
      <c r="E412" s="40"/>
      <c r="F412" s="40"/>
      <c r="G412" s="40"/>
      <c r="H412" s="40"/>
      <c r="I412" s="24"/>
    </row>
    <row r="413" spans="1:9" ht="18.75" hidden="1" x14ac:dyDescent="0.3">
      <c r="A413" s="48" t="s">
        <v>139</v>
      </c>
      <c r="C413" s="33"/>
      <c r="D413" s="2">
        <f>'Facility Detail'!$B$1155</f>
        <v>2013</v>
      </c>
      <c r="E413" s="2">
        <f>D413+1</f>
        <v>2014</v>
      </c>
      <c r="F413" s="2">
        <f>E413+1</f>
        <v>2015</v>
      </c>
      <c r="G413" s="2">
        <f t="shared" ref="G413:H413" si="5">F413+1</f>
        <v>2016</v>
      </c>
      <c r="H413" s="2">
        <f t="shared" si="5"/>
        <v>2017</v>
      </c>
      <c r="I413" s="24"/>
    </row>
    <row r="414" spans="1:9" hidden="1" x14ac:dyDescent="0.25">
      <c r="B414" s="71" t="s">
        <v>30</v>
      </c>
      <c r="C414" s="66"/>
      <c r="D414" s="54">
        <f>IF( $F14 = "Eligible", D411 * 'Facility Detail'!$B$1152, 0 )</f>
        <v>0</v>
      </c>
      <c r="E414" s="11">
        <f>IF( $F14 = "Eligible", E411 * 'Facility Detail'!$B$1152, 0 )</f>
        <v>0</v>
      </c>
      <c r="F414" s="127">
        <f>IF( $F14 = "Eligible", F411 * 'Facility Detail'!$B$1152, 0 )</f>
        <v>0</v>
      </c>
      <c r="G414" s="127">
        <f>IF( $F14 = "Eligible", G411 * 'Facility Detail'!$B$1152, 0 )</f>
        <v>0</v>
      </c>
      <c r="H414" s="12">
        <f>IF( $F14 = "Eligible", H411 * 'Facility Detail'!$B$1152, 0 )</f>
        <v>0</v>
      </c>
      <c r="I414" s="24"/>
    </row>
    <row r="415" spans="1:9" hidden="1" x14ac:dyDescent="0.25">
      <c r="B415" s="71" t="s">
        <v>6</v>
      </c>
      <c r="C415" s="66"/>
      <c r="D415" s="55">
        <f>IF( $G14 = "Eligible", D411, 0 )</f>
        <v>0</v>
      </c>
      <c r="E415" s="56">
        <f>IF( $G14 = "Eligible", E411, 0 )</f>
        <v>0</v>
      </c>
      <c r="F415" s="128">
        <f>IF( $G14 = "Eligible", F411, 0 )</f>
        <v>0</v>
      </c>
      <c r="G415" s="128">
        <f>IF( $G14 = "Eligible", G411, 0 )</f>
        <v>0</v>
      </c>
      <c r="H415" s="57">
        <f>IF( $G14 = "Eligible", H411, 0 )</f>
        <v>0</v>
      </c>
      <c r="I415" s="24"/>
    </row>
    <row r="416" spans="1:9" hidden="1" x14ac:dyDescent="0.25">
      <c r="B416" s="70" t="s">
        <v>141</v>
      </c>
      <c r="C416" s="69"/>
      <c r="D416" s="43">
        <f>SUM(D414:D415)</f>
        <v>0</v>
      </c>
      <c r="E416" s="44">
        <f>SUM(E414:E415)</f>
        <v>0</v>
      </c>
      <c r="F416" s="44">
        <f>SUM(F414:F415)</f>
        <v>0</v>
      </c>
      <c r="G416" s="44">
        <f t="shared" ref="G416:H416" si="6">SUM(G414:G415)</f>
        <v>0</v>
      </c>
      <c r="H416" s="44">
        <f t="shared" si="6"/>
        <v>0</v>
      </c>
      <c r="I416" s="24"/>
    </row>
    <row r="417" spans="1:9" hidden="1" x14ac:dyDescent="0.25">
      <c r="B417" s="33"/>
      <c r="C417" s="33"/>
      <c r="D417" s="42"/>
      <c r="E417" s="34"/>
      <c r="F417" s="34"/>
      <c r="G417" s="34"/>
      <c r="H417" s="34"/>
      <c r="I417" s="24"/>
    </row>
    <row r="418" spans="1:9" ht="18.75" hidden="1" x14ac:dyDescent="0.3">
      <c r="A418" s="45" t="s">
        <v>50</v>
      </c>
      <c r="C418" s="33"/>
      <c r="D418" s="2">
        <f>'Facility Detail'!$B$1155</f>
        <v>2013</v>
      </c>
      <c r="E418" s="2">
        <f>D418+1</f>
        <v>2014</v>
      </c>
      <c r="F418" s="2">
        <f>E418+1</f>
        <v>2015</v>
      </c>
      <c r="G418" s="2">
        <f t="shared" ref="G418:H418" si="7">F418+1</f>
        <v>2016</v>
      </c>
      <c r="H418" s="2">
        <f t="shared" si="7"/>
        <v>2017</v>
      </c>
      <c r="I418" s="24"/>
    </row>
    <row r="419" spans="1:9" hidden="1" x14ac:dyDescent="0.25">
      <c r="B419" s="71" t="s">
        <v>67</v>
      </c>
      <c r="C419" s="66"/>
      <c r="D419" s="161"/>
      <c r="E419" s="4"/>
      <c r="F419" s="4"/>
      <c r="G419" s="4"/>
      <c r="H419" s="5"/>
      <c r="I419" s="24"/>
    </row>
    <row r="420" spans="1:9" hidden="1" x14ac:dyDescent="0.25">
      <c r="B420" s="72" t="s">
        <v>43</v>
      </c>
      <c r="C420" s="73"/>
      <c r="D420" s="82"/>
      <c r="E420" s="162"/>
      <c r="F420" s="162"/>
      <c r="G420" s="162"/>
      <c r="H420" s="163"/>
      <c r="I420" s="24"/>
    </row>
    <row r="421" spans="1:9" hidden="1" x14ac:dyDescent="0.25">
      <c r="B421" s="83" t="s">
        <v>109</v>
      </c>
      <c r="C421" s="81"/>
      <c r="D421" s="58"/>
      <c r="E421" s="164"/>
      <c r="F421" s="164"/>
      <c r="G421" s="164"/>
      <c r="H421" s="165"/>
      <c r="I421" s="24"/>
    </row>
    <row r="422" spans="1:9" hidden="1" x14ac:dyDescent="0.25">
      <c r="B422" s="36" t="s">
        <v>110</v>
      </c>
      <c r="D422" s="7">
        <f>SUM(D419:D421)</f>
        <v>0</v>
      </c>
      <c r="E422" s="7">
        <f>SUM(E419:E421)</f>
        <v>0</v>
      </c>
      <c r="F422" s="7">
        <f>SUM(F419:F421)</f>
        <v>0</v>
      </c>
      <c r="G422" s="7"/>
      <c r="H422" s="7"/>
      <c r="I422" s="32"/>
    </row>
    <row r="423" spans="1:9" hidden="1" x14ac:dyDescent="0.25">
      <c r="B423" s="6"/>
      <c r="D423" s="7"/>
      <c r="E423" s="7"/>
      <c r="F423" s="7"/>
      <c r="G423" s="7"/>
      <c r="H423" s="7"/>
      <c r="I423" s="32"/>
    </row>
    <row r="424" spans="1:9" ht="18.75" hidden="1" x14ac:dyDescent="0.3">
      <c r="A424" s="9" t="s">
        <v>120</v>
      </c>
      <c r="D424" s="2">
        <f>'Facility Detail'!$B$1155</f>
        <v>2013</v>
      </c>
      <c r="E424" s="2">
        <f>D424+1</f>
        <v>2014</v>
      </c>
      <c r="F424" s="2">
        <f>E424+1</f>
        <v>2015</v>
      </c>
      <c r="G424" s="2">
        <f t="shared" ref="G424:H424" si="8">F424+1</f>
        <v>2016</v>
      </c>
      <c r="H424" s="2">
        <f t="shared" si="8"/>
        <v>2017</v>
      </c>
      <c r="I424" s="32"/>
    </row>
    <row r="425" spans="1:9" hidden="1" x14ac:dyDescent="0.25">
      <c r="B425" s="71" t="str">
        <f>( 'Facility Detail'!$B$1155) &amp; " Surplus Applied to " &amp; ( 'Facility Detail'!$B$1155 + 1 )</f>
        <v>2013 Surplus Applied to 2014</v>
      </c>
      <c r="C425" s="33"/>
      <c r="D425" s="3">
        <f>D411+D416-D422</f>
        <v>0</v>
      </c>
      <c r="E425" s="59">
        <f>D425</f>
        <v>0</v>
      </c>
      <c r="F425" s="135"/>
      <c r="G425" s="135"/>
      <c r="H425" s="136"/>
      <c r="I425" s="32"/>
    </row>
    <row r="426" spans="1:9" hidden="1" x14ac:dyDescent="0.25">
      <c r="B426" s="71" t="str">
        <f xml:space="preserve"> ( 'Facility Detail'!$B$1155 + 1 ) &amp; " Surplus Applied to " &amp; ( 'Facility Detail'!$B$1155 )</f>
        <v>2014 Surplus Applied to 2013</v>
      </c>
      <c r="C426" s="33"/>
      <c r="D426" s="157">
        <f>E426</f>
        <v>0</v>
      </c>
      <c r="E426" s="10">
        <v>0</v>
      </c>
      <c r="F426" s="131"/>
      <c r="G426" s="131"/>
      <c r="H426" s="137"/>
      <c r="I426" s="32"/>
    </row>
    <row r="427" spans="1:9" hidden="1" x14ac:dyDescent="0.25">
      <c r="B427" s="140" t="str">
        <f xml:space="preserve"> ( 'Facility Detail'!$B$1155 + 1 ) &amp; " Surplus Applied to " &amp; ( 'Facility Detail'!$B$1155 + 2 )</f>
        <v>2014 Surplus Applied to 2015</v>
      </c>
      <c r="C427" s="33"/>
      <c r="D427" s="132"/>
      <c r="E427" s="10">
        <f>E411+E416-E422</f>
        <v>0</v>
      </c>
      <c r="F427" s="65">
        <f>+E427</f>
        <v>0</v>
      </c>
      <c r="G427" s="131"/>
      <c r="H427" s="137"/>
      <c r="I427" s="32"/>
    </row>
    <row r="428" spans="1:9" hidden="1" x14ac:dyDescent="0.25">
      <c r="B428" s="140" t="str">
        <f xml:space="preserve"> ( 'Facility Detail'!$B$1155 + 2 ) &amp; " Surplus Applied to " &amp; ( 'Facility Detail'!$B$1155 + 1 )</f>
        <v>2015 Surplus Applied to 2014</v>
      </c>
      <c r="C428" s="33"/>
      <c r="D428" s="132"/>
      <c r="E428" s="65">
        <f>F428</f>
        <v>0</v>
      </c>
      <c r="F428" s="10">
        <v>0</v>
      </c>
      <c r="G428" s="131"/>
      <c r="H428" s="137"/>
      <c r="I428" s="32"/>
    </row>
    <row r="429" spans="1:9" hidden="1" x14ac:dyDescent="0.25">
      <c r="B429" s="140" t="s">
        <v>170</v>
      </c>
      <c r="C429" s="33"/>
      <c r="D429" s="132"/>
      <c r="E429" s="131"/>
      <c r="F429" s="10">
        <f>F411+F416-F422</f>
        <v>0</v>
      </c>
      <c r="G429" s="65">
        <f>+F429</f>
        <v>0</v>
      </c>
      <c r="H429" s="137"/>
      <c r="I429" s="32"/>
    </row>
    <row r="430" spans="1:9" hidden="1" x14ac:dyDescent="0.25">
      <c r="B430" s="140" t="s">
        <v>171</v>
      </c>
      <c r="C430" s="33"/>
      <c r="D430" s="132"/>
      <c r="E430" s="131"/>
      <c r="F430" s="65">
        <f>G430</f>
        <v>0</v>
      </c>
      <c r="G430" s="10">
        <v>0</v>
      </c>
      <c r="H430" s="137"/>
      <c r="I430" s="32"/>
    </row>
    <row r="431" spans="1:9" hidden="1" x14ac:dyDescent="0.25">
      <c r="B431" s="140" t="s">
        <v>172</v>
      </c>
      <c r="C431" s="33"/>
      <c r="D431" s="132"/>
      <c r="E431" s="131"/>
      <c r="F431" s="131"/>
      <c r="G431" s="10">
        <f>G411+G416-G422</f>
        <v>0</v>
      </c>
      <c r="H431" s="60">
        <f>+G431</f>
        <v>0</v>
      </c>
      <c r="I431" s="32"/>
    </row>
    <row r="432" spans="1:9" hidden="1" x14ac:dyDescent="0.25">
      <c r="B432" s="140" t="s">
        <v>173</v>
      </c>
      <c r="C432" s="33"/>
      <c r="D432" s="133"/>
      <c r="E432" s="134"/>
      <c r="F432" s="134"/>
      <c r="G432" s="61">
        <f>H432</f>
        <v>0</v>
      </c>
      <c r="H432" s="51">
        <v>0</v>
      </c>
      <c r="I432" s="32"/>
    </row>
    <row r="433" spans="1:9" hidden="1" x14ac:dyDescent="0.25">
      <c r="B433" s="141" t="s">
        <v>37</v>
      </c>
      <c r="D433" s="7">
        <f xml:space="preserve"> D426 - D425</f>
        <v>0</v>
      </c>
      <c r="E433" s="7">
        <f xml:space="preserve"> E425 + E428 - E427 - E426</f>
        <v>0</v>
      </c>
      <c r="F433" s="7">
        <f>F427 - F428 - F429 + F430</f>
        <v>0</v>
      </c>
      <c r="G433" s="7">
        <f>G429  - G430 - G431  + G432</f>
        <v>0</v>
      </c>
      <c r="H433" s="7">
        <f>H431 - H432</f>
        <v>0</v>
      </c>
      <c r="I433" s="32"/>
    </row>
    <row r="434" spans="1:9" hidden="1" x14ac:dyDescent="0.25">
      <c r="B434" s="6"/>
      <c r="D434" s="7"/>
      <c r="E434" s="7"/>
      <c r="F434" s="7"/>
      <c r="G434" s="7"/>
      <c r="H434" s="7"/>
      <c r="I434" s="32"/>
    </row>
    <row r="435" spans="1:9" hidden="1" x14ac:dyDescent="0.25">
      <c r="B435" s="68" t="s">
        <v>32</v>
      </c>
      <c r="C435" s="66"/>
      <c r="D435" s="90"/>
      <c r="E435" s="91"/>
      <c r="F435" s="129"/>
      <c r="G435" s="129"/>
      <c r="H435" s="92"/>
      <c r="I435" s="32"/>
    </row>
    <row r="436" spans="1:9" hidden="1" x14ac:dyDescent="0.25">
      <c r="B436" s="6"/>
      <c r="D436" s="7"/>
      <c r="E436" s="7"/>
      <c r="F436" s="7"/>
      <c r="G436" s="7"/>
      <c r="H436" s="7"/>
      <c r="I436" s="32"/>
    </row>
    <row r="437" spans="1:9" ht="18.75" hidden="1" x14ac:dyDescent="0.3">
      <c r="A437" s="45" t="s">
        <v>46</v>
      </c>
      <c r="C437" s="66"/>
      <c r="D437" s="130">
        <f xml:space="preserve"> D411 + D416 - D422 + D433 + D435</f>
        <v>0</v>
      </c>
      <c r="E437" s="130">
        <f xml:space="preserve"> E411 + E416 - E422 + E433 + E435</f>
        <v>0</v>
      </c>
      <c r="F437" s="130">
        <f xml:space="preserve"> F411 + F416 - F422 + F433 + F435</f>
        <v>0</v>
      </c>
      <c r="G437" s="130"/>
      <c r="H437" s="49"/>
      <c r="I437" s="32"/>
    </row>
    <row r="438" spans="1:9" hidden="1" x14ac:dyDescent="0.25">
      <c r="B438" s="6"/>
      <c r="D438" s="7"/>
      <c r="E438" s="7"/>
      <c r="F438" s="7"/>
      <c r="G438" s="32"/>
      <c r="H438" s="32"/>
      <c r="I438" s="32"/>
    </row>
    <row r="439" spans="1:9" hidden="1" x14ac:dyDescent="0.25">
      <c r="I439" s="33"/>
    </row>
    <row r="440" spans="1:9" hidden="1" x14ac:dyDescent="0.25">
      <c r="A440" s="8"/>
      <c r="B440" s="8"/>
      <c r="C440" s="8"/>
      <c r="D440" s="8"/>
      <c r="E440" s="8"/>
      <c r="F440" s="8"/>
      <c r="G440" s="8"/>
      <c r="H440" s="8"/>
      <c r="I440" s="33"/>
    </row>
    <row r="441" spans="1:9" hidden="1" x14ac:dyDescent="0.25">
      <c r="B441" s="33"/>
      <c r="C441" s="33"/>
      <c r="D441" s="33"/>
      <c r="E441" s="33"/>
      <c r="F441" s="33"/>
      <c r="G441" s="33"/>
      <c r="H441" s="33"/>
    </row>
    <row r="442" spans="1:9" ht="21" hidden="1" x14ac:dyDescent="0.35">
      <c r="A442" s="13" t="s">
        <v>4</v>
      </c>
      <c r="B442" s="13"/>
      <c r="C442" s="46" t="str">
        <f>B15</f>
        <v>Facility 12</v>
      </c>
      <c r="D442" s="47"/>
      <c r="E442" s="23"/>
      <c r="F442" s="23"/>
    </row>
    <row r="443" spans="1:9" hidden="1" x14ac:dyDescent="0.25">
      <c r="I443" s="25"/>
    </row>
    <row r="444" spans="1:9" ht="18.75" hidden="1" x14ac:dyDescent="0.3">
      <c r="A444" s="9" t="s">
        <v>41</v>
      </c>
      <c r="B444" s="9"/>
      <c r="D444" s="2">
        <f>'Facility Detail'!$B$1155</f>
        <v>2013</v>
      </c>
      <c r="E444" s="2">
        <f>D444+1</f>
        <v>2014</v>
      </c>
      <c r="F444" s="2">
        <f>E444+1</f>
        <v>2015</v>
      </c>
      <c r="G444" s="2">
        <f t="shared" ref="G444:H444" si="9">F444+1</f>
        <v>2016</v>
      </c>
      <c r="H444" s="2">
        <f t="shared" si="9"/>
        <v>2017</v>
      </c>
      <c r="I444" s="24"/>
    </row>
    <row r="445" spans="1:9" hidden="1" x14ac:dyDescent="0.25">
      <c r="B445" s="71" t="str">
        <f>"Total MWh Produced / Purchased from " &amp; C442</f>
        <v>Total MWh Produced / Purchased from Facility 12</v>
      </c>
      <c r="C445" s="66"/>
      <c r="D445" s="3"/>
      <c r="E445" s="4"/>
      <c r="F445" s="4"/>
      <c r="G445" s="4"/>
      <c r="H445" s="5"/>
      <c r="I445" s="24"/>
    </row>
    <row r="446" spans="1:9" hidden="1" x14ac:dyDescent="0.25">
      <c r="B446" s="71" t="s">
        <v>45</v>
      </c>
      <c r="C446" s="66"/>
      <c r="D446" s="155"/>
      <c r="E446" s="154"/>
      <c r="F446" s="154"/>
      <c r="G446" s="154"/>
      <c r="H446" s="156"/>
      <c r="I446" s="24"/>
    </row>
    <row r="447" spans="1:9" hidden="1" x14ac:dyDescent="0.25">
      <c r="B447" s="71" t="s">
        <v>40</v>
      </c>
      <c r="C447" s="66"/>
      <c r="D447" s="146"/>
      <c r="E447" s="52"/>
      <c r="F447" s="52"/>
      <c r="G447" s="52"/>
      <c r="H447" s="53"/>
      <c r="I447" s="24"/>
    </row>
    <row r="448" spans="1:9" hidden="1" x14ac:dyDescent="0.25">
      <c r="B448" s="68" t="s">
        <v>42</v>
      </c>
      <c r="C448" s="69"/>
      <c r="D448" s="41">
        <f xml:space="preserve"> D445 * D446 * D447</f>
        <v>0</v>
      </c>
      <c r="E448" s="153">
        <f xml:space="preserve"> E445 * E446 * E447</f>
        <v>0</v>
      </c>
      <c r="F448" s="153">
        <f xml:space="preserve"> F445 * F446 * F447</f>
        <v>0</v>
      </c>
      <c r="G448" s="153"/>
      <c r="H448" s="153"/>
      <c r="I448" s="24"/>
    </row>
    <row r="449" spans="1:9" hidden="1" x14ac:dyDescent="0.25">
      <c r="B449" s="23"/>
      <c r="C449" s="33"/>
      <c r="D449" s="40"/>
      <c r="E449" s="40"/>
      <c r="F449" s="40"/>
      <c r="G449" s="40"/>
      <c r="H449" s="40"/>
      <c r="I449" s="24"/>
    </row>
    <row r="450" spans="1:9" ht="18.75" hidden="1" x14ac:dyDescent="0.3">
      <c r="A450" s="48" t="s">
        <v>139</v>
      </c>
      <c r="C450" s="33"/>
      <c r="D450" s="2">
        <f>'Facility Detail'!$B$1155</f>
        <v>2013</v>
      </c>
      <c r="E450" s="2">
        <f>D450+1</f>
        <v>2014</v>
      </c>
      <c r="F450" s="2">
        <f>E450+1</f>
        <v>2015</v>
      </c>
      <c r="G450" s="2">
        <f t="shared" ref="G450:H450" si="10">F450+1</f>
        <v>2016</v>
      </c>
      <c r="H450" s="2">
        <f t="shared" si="10"/>
        <v>2017</v>
      </c>
      <c r="I450" s="24"/>
    </row>
    <row r="451" spans="1:9" hidden="1" x14ac:dyDescent="0.25">
      <c r="B451" s="71" t="s">
        <v>30</v>
      </c>
      <c r="C451" s="66"/>
      <c r="D451" s="54">
        <f>IF( $F51 = "Eligible", D448 * 'Facility Detail'!$B$1152, 0 )</f>
        <v>0</v>
      </c>
      <c r="E451" s="11">
        <f>IF( $F51 = "Eligible", E448 * 'Facility Detail'!$B$1152, 0 )</f>
        <v>0</v>
      </c>
      <c r="F451" s="127">
        <f>IF( $F51 = "Eligible", F448 * 'Facility Detail'!$B$1152, 0 )</f>
        <v>0</v>
      </c>
      <c r="G451" s="127">
        <f>IF( $F51 = "Eligible", G448 * 'Facility Detail'!$B$1152, 0 )</f>
        <v>0</v>
      </c>
      <c r="H451" s="12">
        <f>IF( $F51 = "Eligible", H448 * 'Facility Detail'!$B$1152, 0 )</f>
        <v>0</v>
      </c>
      <c r="I451" s="32"/>
    </row>
    <row r="452" spans="1:9" hidden="1" x14ac:dyDescent="0.25">
      <c r="B452" s="71" t="s">
        <v>6</v>
      </c>
      <c r="C452" s="66"/>
      <c r="D452" s="55">
        <f>IF( $G51 = "Eligible", D448, 0 )</f>
        <v>0</v>
      </c>
      <c r="E452" s="56">
        <f>IF( $G51 = "Eligible", E448, 0 )</f>
        <v>0</v>
      </c>
      <c r="F452" s="128">
        <f>IF( $G51 = "Eligible", F448, 0 )</f>
        <v>0</v>
      </c>
      <c r="G452" s="128">
        <f>IF( $G51 = "Eligible", G448, 0 )</f>
        <v>0</v>
      </c>
      <c r="H452" s="57">
        <f>IF( $G51 = "Eligible", H448, 0 )</f>
        <v>0</v>
      </c>
      <c r="I452" s="32"/>
    </row>
    <row r="453" spans="1:9" hidden="1" x14ac:dyDescent="0.25">
      <c r="B453" s="70" t="s">
        <v>141</v>
      </c>
      <c r="C453" s="69"/>
      <c r="D453" s="43">
        <f>SUM(D451:D452)</f>
        <v>0</v>
      </c>
      <c r="E453" s="44">
        <f>SUM(E451:E452)</f>
        <v>0</v>
      </c>
      <c r="F453" s="44">
        <f>SUM(F451:F452)</f>
        <v>0</v>
      </c>
      <c r="G453" s="44">
        <f t="shared" ref="G453" si="11">SUM(G451:G452)</f>
        <v>0</v>
      </c>
      <c r="H453" s="44">
        <f t="shared" ref="H453" si="12">SUM(H451:H452)</f>
        <v>0</v>
      </c>
      <c r="I453" s="33"/>
    </row>
    <row r="454" spans="1:9" hidden="1" x14ac:dyDescent="0.25">
      <c r="B454" s="33"/>
      <c r="C454" s="33"/>
      <c r="D454" s="42"/>
      <c r="E454" s="34"/>
      <c r="F454" s="34"/>
      <c r="G454" s="34"/>
      <c r="H454" s="34"/>
      <c r="I454" s="33"/>
    </row>
    <row r="455" spans="1:9" ht="18.75" hidden="1" x14ac:dyDescent="0.3">
      <c r="A455" s="45" t="s">
        <v>50</v>
      </c>
      <c r="C455" s="33"/>
      <c r="D455" s="2">
        <f>'Facility Detail'!$B$1155</f>
        <v>2013</v>
      </c>
      <c r="E455" s="2">
        <f>D455+1</f>
        <v>2014</v>
      </c>
      <c r="F455" s="2">
        <f>E455+1</f>
        <v>2015</v>
      </c>
      <c r="G455" s="2">
        <f t="shared" ref="G455:H455" si="13">F455+1</f>
        <v>2016</v>
      </c>
      <c r="H455" s="2">
        <f t="shared" si="13"/>
        <v>2017</v>
      </c>
    </row>
    <row r="456" spans="1:9" hidden="1" x14ac:dyDescent="0.25">
      <c r="B456" s="71" t="s">
        <v>67</v>
      </c>
      <c r="C456" s="66"/>
      <c r="D456" s="161"/>
      <c r="E456" s="4"/>
      <c r="F456" s="4"/>
      <c r="G456" s="4"/>
      <c r="H456" s="5"/>
    </row>
    <row r="457" spans="1:9" hidden="1" x14ac:dyDescent="0.25">
      <c r="B457" s="72" t="s">
        <v>43</v>
      </c>
      <c r="C457" s="73"/>
      <c r="D457" s="82"/>
      <c r="E457" s="162"/>
      <c r="F457" s="162"/>
      <c r="G457" s="162"/>
      <c r="H457" s="163"/>
      <c r="I457" s="25"/>
    </row>
    <row r="458" spans="1:9" hidden="1" x14ac:dyDescent="0.25">
      <c r="B458" s="83" t="s">
        <v>109</v>
      </c>
      <c r="C458" s="81"/>
      <c r="D458" s="58"/>
      <c r="E458" s="164"/>
      <c r="F458" s="164"/>
      <c r="G458" s="164"/>
      <c r="H458" s="165"/>
      <c r="I458" s="25"/>
    </row>
    <row r="459" spans="1:9" hidden="1" x14ac:dyDescent="0.25">
      <c r="B459" s="36" t="s">
        <v>110</v>
      </c>
      <c r="D459" s="7">
        <f>SUM(D456:D458)</f>
        <v>0</v>
      </c>
      <c r="E459" s="7">
        <f>SUM(E456:E458)</f>
        <v>0</v>
      </c>
      <c r="F459" s="7">
        <f>SUM(F456:F458)</f>
        <v>0</v>
      </c>
      <c r="G459" s="7"/>
      <c r="H459" s="7"/>
      <c r="I459" s="24"/>
    </row>
    <row r="460" spans="1:9" hidden="1" x14ac:dyDescent="0.25">
      <c r="B460" s="6"/>
      <c r="D460" s="7"/>
      <c r="E460" s="7"/>
      <c r="F460" s="7"/>
      <c r="G460" s="7"/>
      <c r="H460" s="7"/>
      <c r="I460" s="24"/>
    </row>
    <row r="461" spans="1:9" ht="18.75" hidden="1" x14ac:dyDescent="0.3">
      <c r="A461" s="9" t="s">
        <v>120</v>
      </c>
      <c r="D461" s="2">
        <f>'Facility Detail'!$B$1155</f>
        <v>2013</v>
      </c>
      <c r="E461" s="2">
        <f>D461+1</f>
        <v>2014</v>
      </c>
      <c r="F461" s="2">
        <f>E461+1</f>
        <v>2015</v>
      </c>
      <c r="G461" s="2">
        <f t="shared" ref="G461:H461" si="14">F461+1</f>
        <v>2016</v>
      </c>
      <c r="H461" s="2">
        <f t="shared" si="14"/>
        <v>2017</v>
      </c>
      <c r="I461" s="24"/>
    </row>
    <row r="462" spans="1:9" hidden="1" x14ac:dyDescent="0.25">
      <c r="B462" s="71" t="str">
        <f xml:space="preserve"> 'Facility Detail'!$B$1155 &amp; " Surplus Applied to " &amp; ( 'Facility Detail'!$B$1155 + 1 )</f>
        <v>2013 Surplus Applied to 2014</v>
      </c>
      <c r="C462" s="66"/>
      <c r="D462" s="3">
        <f>D448+D453-D459</f>
        <v>0</v>
      </c>
      <c r="E462" s="59">
        <f>D462</f>
        <v>0</v>
      </c>
      <c r="F462" s="135"/>
      <c r="G462" s="135"/>
      <c r="H462" s="136"/>
      <c r="I462" s="24"/>
    </row>
    <row r="463" spans="1:9" hidden="1" x14ac:dyDescent="0.25">
      <c r="B463" s="71" t="str">
        <f xml:space="preserve"> ( 'Facility Detail'!$B$1155 + 1 ) &amp; " Surplus Applied to " &amp; ( 'Facility Detail'!$B$1155 )</f>
        <v>2014 Surplus Applied to 2013</v>
      </c>
      <c r="C463" s="66"/>
      <c r="D463" s="157">
        <f>E463</f>
        <v>0</v>
      </c>
      <c r="E463" s="10">
        <v>0</v>
      </c>
      <c r="F463" s="131"/>
      <c r="G463" s="131"/>
      <c r="H463" s="137"/>
      <c r="I463" s="24"/>
    </row>
    <row r="464" spans="1:9" hidden="1" x14ac:dyDescent="0.25">
      <c r="B464" s="71" t="str">
        <f xml:space="preserve"> ( 'Facility Detail'!$B$1155 + 1 ) &amp; " Surplus Applied to " &amp; ( 'Facility Detail'!$B$1155 + 2 )</f>
        <v>2014 Surplus Applied to 2015</v>
      </c>
      <c r="C464" s="66"/>
      <c r="D464" s="132"/>
      <c r="E464" s="10">
        <f>E448+E453-E459</f>
        <v>0</v>
      </c>
      <c r="F464" s="65">
        <f>+E464</f>
        <v>0</v>
      </c>
      <c r="G464" s="131"/>
      <c r="H464" s="137"/>
      <c r="I464" s="24"/>
    </row>
    <row r="465" spans="1:9" hidden="1" x14ac:dyDescent="0.25">
      <c r="B465" s="71" t="str">
        <f xml:space="preserve"> ( 'Facility Detail'!$B$1155 + 2 ) &amp; " Surplus Applied to " &amp; ( 'Facility Detail'!$B$1155 + 1 )</f>
        <v>2015 Surplus Applied to 2014</v>
      </c>
      <c r="C465" s="66"/>
      <c r="D465" s="132"/>
      <c r="E465" s="65">
        <f>F465</f>
        <v>0</v>
      </c>
      <c r="F465" s="10">
        <v>0</v>
      </c>
      <c r="G465" s="131"/>
      <c r="H465" s="137"/>
      <c r="I465" s="24"/>
    </row>
    <row r="466" spans="1:9" hidden="1" x14ac:dyDescent="0.25">
      <c r="B466" s="71"/>
      <c r="C466" s="33"/>
      <c r="D466" s="132"/>
      <c r="E466" s="131"/>
      <c r="F466" s="10">
        <f>F448+F453-F459</f>
        <v>0</v>
      </c>
      <c r="G466" s="65">
        <f>+F466</f>
        <v>0</v>
      </c>
      <c r="H466" s="137"/>
      <c r="I466" s="24"/>
    </row>
    <row r="467" spans="1:9" hidden="1" x14ac:dyDescent="0.25">
      <c r="B467" s="71"/>
      <c r="C467" s="33"/>
      <c r="D467" s="132"/>
      <c r="E467" s="131"/>
      <c r="F467" s="65">
        <f>G467</f>
        <v>0</v>
      </c>
      <c r="G467" s="10">
        <v>0</v>
      </c>
      <c r="H467" s="137"/>
      <c r="I467" s="24"/>
    </row>
    <row r="468" spans="1:9" hidden="1" x14ac:dyDescent="0.25">
      <c r="B468" s="71"/>
      <c r="C468" s="33"/>
      <c r="D468" s="132"/>
      <c r="E468" s="131"/>
      <c r="F468" s="131"/>
      <c r="G468" s="10">
        <f>G448+G453-G459</f>
        <v>0</v>
      </c>
      <c r="H468" s="60">
        <f>+G468</f>
        <v>0</v>
      </c>
      <c r="I468" s="24"/>
    </row>
    <row r="469" spans="1:9" hidden="1" x14ac:dyDescent="0.25">
      <c r="B469" s="71"/>
      <c r="C469" s="33"/>
      <c r="D469" s="133"/>
      <c r="E469" s="134"/>
      <c r="F469" s="134"/>
      <c r="G469" s="61">
        <f>H469</f>
        <v>0</v>
      </c>
      <c r="H469" s="51">
        <v>0</v>
      </c>
      <c r="I469" s="24"/>
    </row>
    <row r="470" spans="1:9" hidden="1" x14ac:dyDescent="0.25">
      <c r="B470" s="36" t="s">
        <v>37</v>
      </c>
      <c r="D470" s="7">
        <f xml:space="preserve"> D463 - D462</f>
        <v>0</v>
      </c>
      <c r="E470" s="7">
        <f xml:space="preserve"> E462 + E465 - E464 - E463</f>
        <v>0</v>
      </c>
      <c r="F470" s="7">
        <f>F464 - F465 - F466 + F467</f>
        <v>0</v>
      </c>
      <c r="G470" s="7">
        <f>G466  - G467 - G468  + G469</f>
        <v>0</v>
      </c>
      <c r="H470" s="7">
        <f>H468 - H469</f>
        <v>0</v>
      </c>
      <c r="I470" s="24"/>
    </row>
    <row r="471" spans="1:9" hidden="1" x14ac:dyDescent="0.25">
      <c r="B471" s="6"/>
      <c r="D471" s="7"/>
      <c r="E471" s="7"/>
      <c r="F471" s="7"/>
      <c r="G471" s="7"/>
      <c r="H471" s="7"/>
      <c r="I471" s="24"/>
    </row>
    <row r="472" spans="1:9" hidden="1" x14ac:dyDescent="0.25">
      <c r="B472" s="68" t="s">
        <v>32</v>
      </c>
      <c r="C472" s="66"/>
      <c r="D472" s="90"/>
      <c r="E472" s="91"/>
      <c r="F472" s="129"/>
      <c r="G472" s="129"/>
      <c r="H472" s="92"/>
      <c r="I472" s="24"/>
    </row>
    <row r="473" spans="1:9" hidden="1" x14ac:dyDescent="0.25">
      <c r="B473" s="6"/>
      <c r="D473" s="7"/>
      <c r="E473" s="7"/>
      <c r="F473" s="7"/>
      <c r="G473" s="7"/>
      <c r="H473" s="7"/>
      <c r="I473" s="24"/>
    </row>
    <row r="474" spans="1:9" ht="18.75" hidden="1" x14ac:dyDescent="0.3">
      <c r="A474" s="45" t="s">
        <v>46</v>
      </c>
      <c r="C474" s="66"/>
      <c r="D474" s="130">
        <f xml:space="preserve"> D448 + D453 - D459 + D470 + D472</f>
        <v>0</v>
      </c>
      <c r="E474" s="130">
        <f xml:space="preserve"> E448 + E453 - E459 + E470 + E472</f>
        <v>0</v>
      </c>
      <c r="F474" s="130">
        <f xml:space="preserve"> F448 + F453 - F459 + F470 + F472</f>
        <v>0</v>
      </c>
      <c r="G474" s="130"/>
      <c r="H474" s="49"/>
      <c r="I474" s="24"/>
    </row>
    <row r="475" spans="1:9" hidden="1" x14ac:dyDescent="0.25">
      <c r="B475" s="6"/>
      <c r="D475" s="7"/>
      <c r="E475" s="7"/>
      <c r="F475" s="7"/>
      <c r="G475" s="32"/>
      <c r="H475" s="32"/>
      <c r="I475" s="24"/>
    </row>
    <row r="476" spans="1:9" hidden="1" x14ac:dyDescent="0.25">
      <c r="I476" s="32"/>
    </row>
    <row r="477" spans="1:9" hidden="1" x14ac:dyDescent="0.25">
      <c r="A477" s="8"/>
      <c r="B477" s="8"/>
      <c r="C477" s="8"/>
      <c r="D477" s="8"/>
      <c r="E477" s="8"/>
      <c r="F477" s="8"/>
      <c r="G477" s="8"/>
      <c r="H477" s="8"/>
      <c r="I477" s="32"/>
    </row>
    <row r="478" spans="1:9" hidden="1" x14ac:dyDescent="0.25">
      <c r="B478" s="33"/>
      <c r="C478" s="33"/>
      <c r="D478" s="33"/>
      <c r="E478" s="33"/>
      <c r="F478" s="33"/>
      <c r="G478" s="33"/>
      <c r="H478" s="33"/>
      <c r="I478" s="33"/>
    </row>
    <row r="479" spans="1:9" ht="21" hidden="1" x14ac:dyDescent="0.35">
      <c r="A479" s="13" t="s">
        <v>4</v>
      </c>
      <c r="B479" s="13"/>
      <c r="C479" s="46" t="str">
        <f>B16</f>
        <v>Facility 13</v>
      </c>
      <c r="D479" s="47"/>
      <c r="E479" s="23"/>
      <c r="F479" s="23"/>
      <c r="I479" s="33"/>
    </row>
    <row r="480" spans="1:9" hidden="1" x14ac:dyDescent="0.25"/>
    <row r="481" spans="1:9" ht="18.75" hidden="1" x14ac:dyDescent="0.3">
      <c r="A481" s="9" t="s">
        <v>41</v>
      </c>
      <c r="B481" s="9"/>
      <c r="D481" s="2">
        <f>'Facility Detail'!$B$1155</f>
        <v>2013</v>
      </c>
      <c r="E481" s="2">
        <f>D481+1</f>
        <v>2014</v>
      </c>
      <c r="F481" s="2">
        <f>E481+1</f>
        <v>2015</v>
      </c>
      <c r="G481" s="2">
        <f t="shared" ref="G481:H481" si="15">F481+1</f>
        <v>2016</v>
      </c>
      <c r="H481" s="2">
        <f t="shared" si="15"/>
        <v>2017</v>
      </c>
      <c r="I481" s="25"/>
    </row>
    <row r="482" spans="1:9" hidden="1" x14ac:dyDescent="0.25">
      <c r="B482" s="71" t="str">
        <f>"Total MWh Produced / Purchased from " &amp; C479</f>
        <v>Total MWh Produced / Purchased from Facility 13</v>
      </c>
      <c r="C482" s="66"/>
      <c r="D482" s="3"/>
      <c r="E482" s="4"/>
      <c r="F482" s="4"/>
      <c r="G482" s="4"/>
      <c r="H482" s="5"/>
      <c r="I482" s="24"/>
    </row>
    <row r="483" spans="1:9" hidden="1" x14ac:dyDescent="0.25">
      <c r="B483" s="71" t="s">
        <v>45</v>
      </c>
      <c r="C483" s="66"/>
      <c r="D483" s="155"/>
      <c r="E483" s="154"/>
      <c r="F483" s="154"/>
      <c r="G483" s="154"/>
      <c r="H483" s="156"/>
      <c r="I483" s="24"/>
    </row>
    <row r="484" spans="1:9" hidden="1" x14ac:dyDescent="0.25">
      <c r="B484" s="71" t="s">
        <v>40</v>
      </c>
      <c r="C484" s="66"/>
      <c r="D484" s="146"/>
      <c r="E484" s="52"/>
      <c r="F484" s="52"/>
      <c r="G484" s="52"/>
      <c r="H484" s="53"/>
      <c r="I484" s="24"/>
    </row>
    <row r="485" spans="1:9" hidden="1" x14ac:dyDescent="0.25">
      <c r="B485" s="68" t="s">
        <v>42</v>
      </c>
      <c r="C485" s="69"/>
      <c r="D485" s="41">
        <f xml:space="preserve"> D482 * D483 * D484</f>
        <v>0</v>
      </c>
      <c r="E485" s="153">
        <f xml:space="preserve"> E482 * E483 * E484</f>
        <v>0</v>
      </c>
      <c r="F485" s="153">
        <f xml:space="preserve"> F482 * F483 * F484</f>
        <v>0</v>
      </c>
      <c r="G485" s="153"/>
      <c r="H485" s="153"/>
      <c r="I485" s="24"/>
    </row>
    <row r="486" spans="1:9" hidden="1" x14ac:dyDescent="0.25">
      <c r="B486" s="23"/>
      <c r="C486" s="33"/>
      <c r="D486" s="40"/>
      <c r="E486" s="40"/>
      <c r="F486" s="40"/>
      <c r="G486" s="40"/>
      <c r="H486" s="40"/>
      <c r="I486" s="24"/>
    </row>
    <row r="487" spans="1:9" ht="18.75" hidden="1" x14ac:dyDescent="0.3">
      <c r="A487" s="48" t="s">
        <v>139</v>
      </c>
      <c r="C487" s="33"/>
      <c r="D487" s="2">
        <f>'Facility Detail'!$B$1155</f>
        <v>2013</v>
      </c>
      <c r="E487" s="2">
        <f>D487+1</f>
        <v>2014</v>
      </c>
      <c r="F487" s="2">
        <f>E487+1</f>
        <v>2015</v>
      </c>
      <c r="G487" s="2">
        <f t="shared" ref="G487:H487" si="16">F487+1</f>
        <v>2016</v>
      </c>
      <c r="H487" s="2">
        <f t="shared" si="16"/>
        <v>2017</v>
      </c>
      <c r="I487" s="24"/>
    </row>
    <row r="488" spans="1:9" hidden="1" x14ac:dyDescent="0.25">
      <c r="B488" s="71" t="s">
        <v>30</v>
      </c>
      <c r="C488" s="66"/>
      <c r="D488" s="54">
        <f>IF( $F88 = "Eligible", D485 * 'Facility Detail'!$B$1152, 0 )</f>
        <v>0</v>
      </c>
      <c r="E488" s="11">
        <f>IF( $F88 = "Eligible", E485 * 'Facility Detail'!$B$1152, 0 )</f>
        <v>0</v>
      </c>
      <c r="F488" s="127">
        <f>IF( $F88 = "Eligible", F485 * 'Facility Detail'!$B$1152, 0 )</f>
        <v>0</v>
      </c>
      <c r="G488" s="127">
        <f>IF( $F88 = "Eligible", G485 * 'Facility Detail'!$B$1152, 0 )</f>
        <v>0</v>
      </c>
      <c r="H488" s="12">
        <f>IF( $F88 = "Eligible", H485 * 'Facility Detail'!$B$1152, 0 )</f>
        <v>0</v>
      </c>
      <c r="I488" s="24"/>
    </row>
    <row r="489" spans="1:9" hidden="1" x14ac:dyDescent="0.25">
      <c r="B489" s="71" t="s">
        <v>6</v>
      </c>
      <c r="C489" s="66"/>
      <c r="D489" s="55">
        <f>IF( $G88 = "Eligible", D485, 0 )</f>
        <v>0</v>
      </c>
      <c r="E489" s="56">
        <f>IF( $G88 = "Eligible", E485, 0 )</f>
        <v>0</v>
      </c>
      <c r="F489" s="128">
        <f>IF( $G88 = "Eligible", F485, 0 )</f>
        <v>0</v>
      </c>
      <c r="G489" s="128">
        <f>IF( $G88 = "Eligible", G485, 0 )</f>
        <v>0</v>
      </c>
      <c r="H489" s="57">
        <f>IF( $G88 = "Eligible", H485, 0 )</f>
        <v>0</v>
      </c>
      <c r="I489" s="32"/>
    </row>
    <row r="490" spans="1:9" hidden="1" x14ac:dyDescent="0.25">
      <c r="B490" s="70" t="s">
        <v>141</v>
      </c>
      <c r="C490" s="69"/>
      <c r="D490" s="43">
        <f>SUM(D488:D489)</f>
        <v>0</v>
      </c>
      <c r="E490" s="44">
        <f>SUM(E488:E489)</f>
        <v>0</v>
      </c>
      <c r="F490" s="44">
        <f>SUM(F488:F489)</f>
        <v>0</v>
      </c>
      <c r="G490" s="44">
        <f t="shared" ref="G490" si="17">SUM(G488:G489)</f>
        <v>0</v>
      </c>
      <c r="H490" s="44">
        <f t="shared" ref="H490" si="18">SUM(H488:H489)</f>
        <v>0</v>
      </c>
      <c r="I490" s="32"/>
    </row>
    <row r="491" spans="1:9" hidden="1" x14ac:dyDescent="0.25">
      <c r="B491" s="33"/>
      <c r="C491" s="33"/>
      <c r="D491" s="42"/>
      <c r="E491" s="34"/>
      <c r="F491" s="34"/>
      <c r="G491" s="34"/>
      <c r="H491" s="34"/>
      <c r="I491" s="32"/>
    </row>
    <row r="492" spans="1:9" ht="18.75" hidden="1" x14ac:dyDescent="0.3">
      <c r="A492" s="45" t="s">
        <v>50</v>
      </c>
      <c r="C492" s="33"/>
      <c r="D492" s="2">
        <f>'Facility Detail'!$B$1155</f>
        <v>2013</v>
      </c>
      <c r="E492" s="2">
        <f>D492+1</f>
        <v>2014</v>
      </c>
      <c r="F492" s="2">
        <f>E492+1</f>
        <v>2015</v>
      </c>
      <c r="G492" s="2">
        <f t="shared" ref="G492:H492" si="19">F492+1</f>
        <v>2016</v>
      </c>
      <c r="H492" s="2">
        <f t="shared" si="19"/>
        <v>2017</v>
      </c>
      <c r="I492" s="33"/>
    </row>
    <row r="493" spans="1:9" hidden="1" x14ac:dyDescent="0.25">
      <c r="B493" s="71" t="s">
        <v>67</v>
      </c>
      <c r="C493" s="66"/>
      <c r="D493" s="161"/>
      <c r="E493" s="4"/>
      <c r="F493" s="4"/>
      <c r="G493" s="4"/>
      <c r="H493" s="5"/>
      <c r="I493" s="33"/>
    </row>
    <row r="494" spans="1:9" hidden="1" x14ac:dyDescent="0.25">
      <c r="B494" s="72" t="s">
        <v>43</v>
      </c>
      <c r="C494" s="73"/>
      <c r="D494" s="82"/>
      <c r="E494" s="162"/>
      <c r="F494" s="162"/>
      <c r="G494" s="162"/>
      <c r="H494" s="163"/>
    </row>
    <row r="495" spans="1:9" hidden="1" x14ac:dyDescent="0.25">
      <c r="B495" s="83" t="s">
        <v>109</v>
      </c>
      <c r="C495" s="81"/>
      <c r="D495" s="58"/>
      <c r="E495" s="164"/>
      <c r="F495" s="164"/>
      <c r="G495" s="164"/>
      <c r="H495" s="165"/>
    </row>
    <row r="496" spans="1:9" hidden="1" x14ac:dyDescent="0.25">
      <c r="B496" s="36" t="s">
        <v>110</v>
      </c>
      <c r="D496" s="7">
        <f>SUM(D493:D495)</f>
        <v>0</v>
      </c>
      <c r="E496" s="7">
        <f>SUM(E493:E495)</f>
        <v>0</v>
      </c>
      <c r="F496" s="7">
        <f>SUM(F493:F495)</f>
        <v>0</v>
      </c>
      <c r="G496" s="7"/>
      <c r="H496" s="7"/>
    </row>
    <row r="497" spans="1:9" hidden="1" x14ac:dyDescent="0.25">
      <c r="B497" s="6"/>
      <c r="D497" s="7"/>
      <c r="E497" s="7"/>
      <c r="F497" s="7"/>
      <c r="G497" s="7"/>
      <c r="H497" s="7"/>
      <c r="I497" s="25"/>
    </row>
    <row r="498" spans="1:9" ht="18.75" hidden="1" x14ac:dyDescent="0.3">
      <c r="A498" s="9" t="s">
        <v>120</v>
      </c>
      <c r="D498" s="2">
        <f>'Facility Detail'!$B$1155</f>
        <v>2013</v>
      </c>
      <c r="E498" s="2">
        <f>D498+1</f>
        <v>2014</v>
      </c>
      <c r="F498" s="2">
        <f>E498+1</f>
        <v>2015</v>
      </c>
      <c r="G498" s="2">
        <f t="shared" ref="G498:H498" si="20">F498+1</f>
        <v>2016</v>
      </c>
      <c r="H498" s="2">
        <f t="shared" si="20"/>
        <v>2017</v>
      </c>
      <c r="I498" s="25"/>
    </row>
    <row r="499" spans="1:9" hidden="1" x14ac:dyDescent="0.25">
      <c r="B499" s="71" t="str">
        <f xml:space="preserve"> 'Facility Detail'!$B$1155 &amp; " Surplus Applied to " &amp; ( 'Facility Detail'!$B$1155 + 1 )</f>
        <v>2013 Surplus Applied to 2014</v>
      </c>
      <c r="C499" s="66"/>
      <c r="D499" s="3">
        <f>D485+D490-D496</f>
        <v>0</v>
      </c>
      <c r="E499" s="59">
        <f>D499</f>
        <v>0</v>
      </c>
      <c r="F499" s="135"/>
      <c r="G499" s="135"/>
      <c r="H499" s="136"/>
      <c r="I499" s="25"/>
    </row>
    <row r="500" spans="1:9" hidden="1" x14ac:dyDescent="0.25">
      <c r="B500" s="71" t="str">
        <f xml:space="preserve"> ( 'Facility Detail'!$B$1155 + 1 ) &amp; " Surplus Applied to " &amp; ( 'Facility Detail'!$B$1155 )</f>
        <v>2014 Surplus Applied to 2013</v>
      </c>
      <c r="C500" s="66"/>
      <c r="D500" s="157">
        <f>E500</f>
        <v>0</v>
      </c>
      <c r="E500" s="10">
        <v>0</v>
      </c>
      <c r="F500" s="131"/>
      <c r="G500" s="131"/>
      <c r="H500" s="137"/>
      <c r="I500" s="25"/>
    </row>
    <row r="501" spans="1:9" hidden="1" x14ac:dyDescent="0.25">
      <c r="B501" s="71" t="str">
        <f xml:space="preserve"> ( 'Facility Detail'!$B$1155 + 1 ) &amp; " Surplus Applied to " &amp; ( 'Facility Detail'!$B$1155 + 2 )</f>
        <v>2014 Surplus Applied to 2015</v>
      </c>
      <c r="C501" s="66"/>
      <c r="D501" s="132"/>
      <c r="E501" s="10">
        <f>E485+E490-E496</f>
        <v>0</v>
      </c>
      <c r="F501" s="65">
        <f>+E501</f>
        <v>0</v>
      </c>
      <c r="G501" s="131"/>
      <c r="H501" s="137"/>
      <c r="I501" s="25"/>
    </row>
    <row r="502" spans="1:9" hidden="1" x14ac:dyDescent="0.25">
      <c r="B502" s="71" t="str">
        <f xml:space="preserve"> ( 'Facility Detail'!$B$1155 + 2 ) &amp; " Surplus Applied to " &amp; ( 'Facility Detail'!$B$1155 + 1 )</f>
        <v>2015 Surplus Applied to 2014</v>
      </c>
      <c r="C502" s="66"/>
      <c r="D502" s="132"/>
      <c r="E502" s="65">
        <f>F502</f>
        <v>0</v>
      </c>
      <c r="F502" s="10">
        <v>0</v>
      </c>
      <c r="G502" s="131"/>
      <c r="H502" s="137"/>
      <c r="I502" s="25"/>
    </row>
    <row r="503" spans="1:9" hidden="1" x14ac:dyDescent="0.25">
      <c r="B503" s="71"/>
      <c r="C503" s="33"/>
      <c r="D503" s="132"/>
      <c r="E503" s="131"/>
      <c r="F503" s="10">
        <f>F485+F490-F496</f>
        <v>0</v>
      </c>
      <c r="G503" s="65">
        <f>+F503</f>
        <v>0</v>
      </c>
      <c r="H503" s="137"/>
      <c r="I503" s="25"/>
    </row>
    <row r="504" spans="1:9" hidden="1" x14ac:dyDescent="0.25">
      <c r="B504" s="71"/>
      <c r="C504" s="33"/>
      <c r="D504" s="132"/>
      <c r="E504" s="131"/>
      <c r="F504" s="65">
        <f>G504</f>
        <v>0</v>
      </c>
      <c r="G504" s="10">
        <v>0</v>
      </c>
      <c r="H504" s="137"/>
      <c r="I504" s="25"/>
    </row>
    <row r="505" spans="1:9" hidden="1" x14ac:dyDescent="0.25">
      <c r="B505" s="71"/>
      <c r="C505" s="33"/>
      <c r="D505" s="132"/>
      <c r="E505" s="131"/>
      <c r="F505" s="131"/>
      <c r="G505" s="10">
        <f>G485+G490-G496</f>
        <v>0</v>
      </c>
      <c r="H505" s="60">
        <f>+G505</f>
        <v>0</v>
      </c>
      <c r="I505" s="25"/>
    </row>
    <row r="506" spans="1:9" hidden="1" x14ac:dyDescent="0.25">
      <c r="B506" s="71"/>
      <c r="C506" s="33"/>
      <c r="D506" s="133"/>
      <c r="E506" s="134"/>
      <c r="F506" s="134"/>
      <c r="G506" s="61">
        <f>H506</f>
        <v>0</v>
      </c>
      <c r="H506" s="51">
        <v>0</v>
      </c>
      <c r="I506" s="25"/>
    </row>
    <row r="507" spans="1:9" hidden="1" x14ac:dyDescent="0.25">
      <c r="B507" s="36" t="s">
        <v>37</v>
      </c>
      <c r="D507" s="7">
        <f xml:space="preserve"> D500 - D499</f>
        <v>0</v>
      </c>
      <c r="E507" s="7">
        <f xml:space="preserve"> E499 + E502 - E501 - E500</f>
        <v>0</v>
      </c>
      <c r="F507" s="7">
        <f>F501 - F502 - F503 + F504</f>
        <v>0</v>
      </c>
      <c r="G507" s="7">
        <f>G503  - G504 - G505  + G506</f>
        <v>0</v>
      </c>
      <c r="H507" s="7">
        <f>H505 - H506</f>
        <v>0</v>
      </c>
      <c r="I507" s="25"/>
    </row>
    <row r="508" spans="1:9" hidden="1" x14ac:dyDescent="0.25">
      <c r="B508" s="6"/>
      <c r="D508" s="7"/>
      <c r="E508" s="7"/>
      <c r="F508" s="7"/>
      <c r="G508" s="7"/>
      <c r="H508" s="7"/>
      <c r="I508" s="25"/>
    </row>
    <row r="509" spans="1:9" hidden="1" x14ac:dyDescent="0.25">
      <c r="B509" s="68" t="s">
        <v>32</v>
      </c>
      <c r="C509" s="66"/>
      <c r="D509" s="90"/>
      <c r="E509" s="91"/>
      <c r="F509" s="129"/>
      <c r="G509" s="129"/>
      <c r="H509" s="92"/>
      <c r="I509" s="25"/>
    </row>
    <row r="510" spans="1:9" hidden="1" x14ac:dyDescent="0.25">
      <c r="B510" s="6"/>
      <c r="D510" s="7"/>
      <c r="E510" s="7"/>
      <c r="F510" s="7"/>
      <c r="G510" s="7"/>
      <c r="H510" s="7"/>
      <c r="I510" s="25"/>
    </row>
    <row r="511" spans="1:9" ht="18.75" hidden="1" x14ac:dyDescent="0.3">
      <c r="A511" s="45" t="s">
        <v>46</v>
      </c>
      <c r="C511" s="66"/>
      <c r="D511" s="130">
        <f xml:space="preserve"> D485 + D490 - D496 + D507 + D509</f>
        <v>0</v>
      </c>
      <c r="E511" s="130">
        <f xml:space="preserve"> E485 + E490 - E496 + E507 + E509</f>
        <v>0</v>
      </c>
      <c r="F511" s="130">
        <f xml:space="preserve"> F485 + F490 - F496 + F507 + F509</f>
        <v>0</v>
      </c>
      <c r="G511" s="130"/>
      <c r="H511" s="49"/>
      <c r="I511" s="24"/>
    </row>
    <row r="512" spans="1:9" hidden="1" x14ac:dyDescent="0.25">
      <c r="B512" s="6"/>
      <c r="D512" s="7"/>
      <c r="E512" s="7"/>
      <c r="F512" s="7"/>
      <c r="G512" s="32"/>
      <c r="H512" s="32"/>
      <c r="I512" s="24"/>
    </row>
    <row r="513" spans="1:9" hidden="1" x14ac:dyDescent="0.25">
      <c r="I513" s="24"/>
    </row>
    <row r="514" spans="1:9" hidden="1" x14ac:dyDescent="0.25">
      <c r="A514" s="8"/>
      <c r="B514" s="8"/>
      <c r="C514" s="8"/>
      <c r="D514" s="8"/>
      <c r="E514" s="8"/>
      <c r="F514" s="8"/>
      <c r="G514" s="8"/>
      <c r="H514" s="8"/>
      <c r="I514" s="24"/>
    </row>
    <row r="515" spans="1:9" hidden="1" x14ac:dyDescent="0.25">
      <c r="B515" s="33"/>
      <c r="C515" s="33"/>
      <c r="D515" s="33"/>
      <c r="E515" s="33"/>
      <c r="F515" s="33"/>
      <c r="G515" s="33"/>
      <c r="H515" s="33"/>
      <c r="I515" s="32"/>
    </row>
    <row r="516" spans="1:9" ht="21" hidden="1" x14ac:dyDescent="0.35">
      <c r="A516" s="13" t="s">
        <v>4</v>
      </c>
      <c r="B516" s="13"/>
      <c r="C516" s="46" t="str">
        <f>B17</f>
        <v>Facility 14</v>
      </c>
      <c r="D516" s="47"/>
      <c r="E516" s="23"/>
      <c r="F516" s="23"/>
      <c r="I516" s="32"/>
    </row>
    <row r="517" spans="1:9" hidden="1" x14ac:dyDescent="0.25">
      <c r="I517" s="32"/>
    </row>
    <row r="518" spans="1:9" ht="18.75" hidden="1" x14ac:dyDescent="0.3">
      <c r="A518" s="9" t="s">
        <v>41</v>
      </c>
      <c r="B518" s="9"/>
      <c r="D518" s="2">
        <f>'Facility Detail'!$B$1155</f>
        <v>2013</v>
      </c>
      <c r="E518" s="2">
        <f>D518+1</f>
        <v>2014</v>
      </c>
      <c r="F518" s="2">
        <f>E518+1</f>
        <v>2015</v>
      </c>
      <c r="G518" s="2">
        <f t="shared" ref="G518:H518" si="21">F518+1</f>
        <v>2016</v>
      </c>
      <c r="H518" s="2">
        <f t="shared" si="21"/>
        <v>2017</v>
      </c>
      <c r="I518" s="33"/>
    </row>
    <row r="519" spans="1:9" hidden="1" x14ac:dyDescent="0.25">
      <c r="B519" s="71" t="str">
        <f>"Total MWh Produced / Purchased from " &amp; C516</f>
        <v>Total MWh Produced / Purchased from Facility 14</v>
      </c>
      <c r="C519" s="66"/>
      <c r="D519" s="3"/>
      <c r="E519" s="4"/>
      <c r="F519" s="4"/>
      <c r="G519" s="4"/>
      <c r="H519" s="5"/>
    </row>
    <row r="520" spans="1:9" hidden="1" x14ac:dyDescent="0.25">
      <c r="B520" s="71" t="s">
        <v>45</v>
      </c>
      <c r="C520" s="66"/>
      <c r="D520" s="155"/>
      <c r="E520" s="154"/>
      <c r="F520" s="154"/>
      <c r="G520" s="154"/>
      <c r="H520" s="156"/>
    </row>
    <row r="521" spans="1:9" hidden="1" x14ac:dyDescent="0.25">
      <c r="B521" s="71" t="s">
        <v>40</v>
      </c>
      <c r="C521" s="66"/>
      <c r="D521" s="146"/>
      <c r="E521" s="52"/>
      <c r="F521" s="52"/>
      <c r="G521" s="52"/>
      <c r="H521" s="53"/>
    </row>
    <row r="522" spans="1:9" hidden="1" x14ac:dyDescent="0.25">
      <c r="B522" s="68" t="s">
        <v>42</v>
      </c>
      <c r="C522" s="69"/>
      <c r="D522" s="41">
        <f xml:space="preserve"> D519 * D520 * D521</f>
        <v>0</v>
      </c>
      <c r="E522" s="153">
        <f xml:space="preserve"> E519 * E520 * E521</f>
        <v>0</v>
      </c>
      <c r="F522" s="153">
        <f xml:space="preserve"> F519 * F520 * F521</f>
        <v>0</v>
      </c>
      <c r="G522" s="153"/>
      <c r="H522" s="153"/>
      <c r="I522" s="25"/>
    </row>
    <row r="523" spans="1:9" hidden="1" x14ac:dyDescent="0.25">
      <c r="B523" s="23"/>
      <c r="C523" s="33"/>
      <c r="D523" s="40"/>
      <c r="E523" s="40"/>
      <c r="F523" s="40"/>
      <c r="G523" s="40"/>
      <c r="H523" s="40"/>
      <c r="I523" s="24"/>
    </row>
    <row r="524" spans="1:9" ht="18.75" hidden="1" x14ac:dyDescent="0.3">
      <c r="A524" s="48" t="s">
        <v>139</v>
      </c>
      <c r="C524" s="33"/>
      <c r="D524" s="2">
        <f>'Facility Detail'!$B$1155</f>
        <v>2013</v>
      </c>
      <c r="E524" s="2">
        <f>D524+1</f>
        <v>2014</v>
      </c>
      <c r="F524" s="2">
        <f>E524+1</f>
        <v>2015</v>
      </c>
      <c r="G524" s="2">
        <f t="shared" ref="G524:H524" si="22">F524+1</f>
        <v>2016</v>
      </c>
      <c r="H524" s="2">
        <f t="shared" si="22"/>
        <v>2017</v>
      </c>
      <c r="I524" s="24"/>
    </row>
    <row r="525" spans="1:9" hidden="1" x14ac:dyDescent="0.25">
      <c r="B525" s="71" t="s">
        <v>30</v>
      </c>
      <c r="C525" s="66"/>
      <c r="D525" s="54">
        <f>IF( $F125 = "Eligible", D522 * 'Facility Detail'!$B$1152, 0 )</f>
        <v>0</v>
      </c>
      <c r="E525" s="11">
        <f>IF( $F125 = "Eligible", E522 * 'Facility Detail'!$B$1152, 0 )</f>
        <v>0</v>
      </c>
      <c r="F525" s="127">
        <f>IF( $F125 = "Eligible", F522 * 'Facility Detail'!$B$1152, 0 )</f>
        <v>0</v>
      </c>
      <c r="G525" s="127">
        <f>IF( $F125 = "Eligible", G522 * 'Facility Detail'!$B$1152, 0 )</f>
        <v>0</v>
      </c>
      <c r="H525" s="12">
        <f>IF( $F125 = "Eligible", H522 * 'Facility Detail'!$B$1152, 0 )</f>
        <v>0</v>
      </c>
      <c r="I525" s="24"/>
    </row>
    <row r="526" spans="1:9" hidden="1" x14ac:dyDescent="0.25">
      <c r="B526" s="71" t="s">
        <v>6</v>
      </c>
      <c r="C526" s="66"/>
      <c r="D526" s="55">
        <f>IF( $G125 = "Eligible", D522, 0 )</f>
        <v>0</v>
      </c>
      <c r="E526" s="56">
        <f>IF( $G125 = "Eligible", E522, 0 )</f>
        <v>0</v>
      </c>
      <c r="F526" s="128">
        <f>IF( $G125 = "Eligible", F522, 0 )</f>
        <v>0</v>
      </c>
      <c r="G526" s="128">
        <f>IF( $G125 = "Eligible", G522, 0 )</f>
        <v>0</v>
      </c>
      <c r="H526" s="57">
        <f>IF( $G125 = "Eligible", H522, 0 )</f>
        <v>0</v>
      </c>
      <c r="I526" s="24"/>
    </row>
    <row r="527" spans="1:9" hidden="1" x14ac:dyDescent="0.25">
      <c r="B527" s="70" t="s">
        <v>141</v>
      </c>
      <c r="C527" s="69"/>
      <c r="D527" s="43">
        <f>SUM(D525:D526)</f>
        <v>0</v>
      </c>
      <c r="E527" s="44">
        <f>SUM(E525:E526)</f>
        <v>0</v>
      </c>
      <c r="F527" s="44">
        <f>SUM(F525:F526)</f>
        <v>0</v>
      </c>
      <c r="G527" s="44">
        <f t="shared" ref="G527" si="23">SUM(G525:G526)</f>
        <v>0</v>
      </c>
      <c r="H527" s="44">
        <f t="shared" ref="H527" si="24">SUM(H525:H526)</f>
        <v>0</v>
      </c>
      <c r="I527" s="24"/>
    </row>
    <row r="528" spans="1:9" hidden="1" x14ac:dyDescent="0.25">
      <c r="B528" s="33"/>
      <c r="C528" s="33"/>
      <c r="D528" s="42"/>
      <c r="E528" s="34"/>
      <c r="F528" s="34"/>
      <c r="G528" s="34"/>
      <c r="H528" s="34"/>
      <c r="I528" s="24"/>
    </row>
    <row r="529" spans="1:9" ht="18.75" hidden="1" x14ac:dyDescent="0.3">
      <c r="A529" s="45" t="s">
        <v>50</v>
      </c>
      <c r="C529" s="33"/>
      <c r="D529" s="2">
        <f>'Facility Detail'!$B$1155</f>
        <v>2013</v>
      </c>
      <c r="E529" s="2">
        <f>D529+1</f>
        <v>2014</v>
      </c>
      <c r="F529" s="2">
        <f>E529+1</f>
        <v>2015</v>
      </c>
      <c r="G529" s="2">
        <f t="shared" ref="G529:H529" si="25">F529+1</f>
        <v>2016</v>
      </c>
      <c r="H529" s="2">
        <f t="shared" si="25"/>
        <v>2017</v>
      </c>
      <c r="I529" s="32"/>
    </row>
    <row r="530" spans="1:9" hidden="1" x14ac:dyDescent="0.25">
      <c r="B530" s="71" t="s">
        <v>67</v>
      </c>
      <c r="C530" s="66"/>
      <c r="D530" s="161"/>
      <c r="E530" s="4"/>
      <c r="F530" s="4"/>
      <c r="G530" s="4"/>
      <c r="H530" s="5"/>
      <c r="I530" s="32"/>
    </row>
    <row r="531" spans="1:9" hidden="1" x14ac:dyDescent="0.25">
      <c r="B531" s="72" t="s">
        <v>43</v>
      </c>
      <c r="C531" s="73"/>
      <c r="D531" s="82"/>
      <c r="E531" s="162"/>
      <c r="F531" s="162"/>
      <c r="G531" s="162"/>
      <c r="H531" s="163"/>
      <c r="I531" s="32"/>
    </row>
    <row r="532" spans="1:9" hidden="1" x14ac:dyDescent="0.25">
      <c r="B532" s="83" t="s">
        <v>109</v>
      </c>
      <c r="C532" s="81"/>
      <c r="D532" s="58"/>
      <c r="E532" s="164"/>
      <c r="F532" s="164"/>
      <c r="G532" s="164"/>
      <c r="H532" s="165"/>
      <c r="I532" s="32"/>
    </row>
    <row r="533" spans="1:9" hidden="1" x14ac:dyDescent="0.25">
      <c r="B533" s="36" t="s">
        <v>110</v>
      </c>
      <c r="D533" s="7">
        <f>SUM(D530:D532)</f>
        <v>0</v>
      </c>
      <c r="E533" s="7">
        <f>SUM(E530:E532)</f>
        <v>0</v>
      </c>
      <c r="F533" s="7">
        <f>SUM(F530:F532)</f>
        <v>0</v>
      </c>
      <c r="G533" s="7"/>
      <c r="H533" s="7"/>
      <c r="I533" s="33"/>
    </row>
    <row r="534" spans="1:9" hidden="1" x14ac:dyDescent="0.25">
      <c r="B534" s="6"/>
      <c r="D534" s="7"/>
      <c r="E534" s="7"/>
      <c r="F534" s="7"/>
      <c r="G534" s="7"/>
      <c r="H534" s="7"/>
      <c r="I534" s="33"/>
    </row>
    <row r="535" spans="1:9" ht="18.75" hidden="1" x14ac:dyDescent="0.3">
      <c r="A535" s="9" t="s">
        <v>120</v>
      </c>
      <c r="D535" s="2">
        <f>'Facility Detail'!$B$1155</f>
        <v>2013</v>
      </c>
      <c r="E535" s="2">
        <f>D535+1</f>
        <v>2014</v>
      </c>
      <c r="F535" s="2">
        <f>E535+1</f>
        <v>2015</v>
      </c>
      <c r="G535" s="2">
        <f t="shared" ref="G535:H535" si="26">F535+1</f>
        <v>2016</v>
      </c>
      <c r="H535" s="2">
        <f t="shared" si="26"/>
        <v>2017</v>
      </c>
      <c r="I535" s="33"/>
    </row>
    <row r="536" spans="1:9" hidden="1" x14ac:dyDescent="0.25">
      <c r="B536" s="71" t="str">
        <f xml:space="preserve"> 'Facility Detail'!$B$1155 &amp; " Surplus Applied to " &amp; ( 'Facility Detail'!$B$1155 + 1 )</f>
        <v>2013 Surplus Applied to 2014</v>
      </c>
      <c r="C536" s="66"/>
      <c r="D536" s="3">
        <f>D522+D527-D533</f>
        <v>0</v>
      </c>
      <c r="E536" s="59">
        <f>D536</f>
        <v>0</v>
      </c>
      <c r="F536" s="135"/>
      <c r="G536" s="135"/>
      <c r="H536" s="136"/>
      <c r="I536" s="33"/>
    </row>
    <row r="537" spans="1:9" hidden="1" x14ac:dyDescent="0.25">
      <c r="B537" s="71" t="str">
        <f xml:space="preserve"> ( 'Facility Detail'!$B$1155 + 1 ) &amp; " Surplus Applied to " &amp; ( 'Facility Detail'!$B$1155 )</f>
        <v>2014 Surplus Applied to 2013</v>
      </c>
      <c r="C537" s="66"/>
      <c r="D537" s="157">
        <f>E537</f>
        <v>0</v>
      </c>
      <c r="E537" s="10">
        <v>0</v>
      </c>
      <c r="F537" s="131"/>
      <c r="G537" s="131"/>
      <c r="H537" s="137"/>
      <c r="I537" s="33"/>
    </row>
    <row r="538" spans="1:9" hidden="1" x14ac:dyDescent="0.25">
      <c r="B538" s="71" t="str">
        <f xml:space="preserve"> ( 'Facility Detail'!$B$1155 + 1 ) &amp; " Surplus Applied to " &amp; ( 'Facility Detail'!$B$1155 + 2 )</f>
        <v>2014 Surplus Applied to 2015</v>
      </c>
      <c r="C538" s="66"/>
      <c r="D538" s="132"/>
      <c r="E538" s="10">
        <f>E522+E527-E533</f>
        <v>0</v>
      </c>
      <c r="F538" s="65">
        <f>+E538</f>
        <v>0</v>
      </c>
      <c r="G538" s="131"/>
      <c r="H538" s="137"/>
      <c r="I538" s="33"/>
    </row>
    <row r="539" spans="1:9" hidden="1" x14ac:dyDescent="0.25">
      <c r="B539" s="71" t="str">
        <f xml:space="preserve"> ( 'Facility Detail'!$B$1155 + 2 ) &amp; " Surplus Applied to " &amp; ( 'Facility Detail'!$B$1155 + 1 )</f>
        <v>2015 Surplus Applied to 2014</v>
      </c>
      <c r="C539" s="66"/>
      <c r="D539" s="132"/>
      <c r="E539" s="65">
        <f>F539</f>
        <v>0</v>
      </c>
      <c r="F539" s="10">
        <v>0</v>
      </c>
      <c r="G539" s="131"/>
      <c r="H539" s="137"/>
      <c r="I539" s="33"/>
    </row>
    <row r="540" spans="1:9" hidden="1" x14ac:dyDescent="0.25">
      <c r="B540" s="71"/>
      <c r="C540" s="33"/>
      <c r="D540" s="132"/>
      <c r="E540" s="131"/>
      <c r="F540" s="10">
        <f>F522+F527-F533</f>
        <v>0</v>
      </c>
      <c r="G540" s="65">
        <f>+F540</f>
        <v>0</v>
      </c>
      <c r="H540" s="137"/>
      <c r="I540" s="33"/>
    </row>
    <row r="541" spans="1:9" hidden="1" x14ac:dyDescent="0.25">
      <c r="B541" s="71"/>
      <c r="C541" s="33"/>
      <c r="D541" s="132"/>
      <c r="E541" s="131"/>
      <c r="F541" s="65">
        <f>G541</f>
        <v>0</v>
      </c>
      <c r="G541" s="10">
        <v>0</v>
      </c>
      <c r="H541" s="137"/>
      <c r="I541" s="33"/>
    </row>
    <row r="542" spans="1:9" hidden="1" x14ac:dyDescent="0.25">
      <c r="B542" s="71"/>
      <c r="C542" s="33"/>
      <c r="D542" s="132"/>
      <c r="E542" s="131"/>
      <c r="F542" s="131"/>
      <c r="G542" s="10">
        <f>G522+G527-G533</f>
        <v>0</v>
      </c>
      <c r="H542" s="60">
        <f>+G542</f>
        <v>0</v>
      </c>
      <c r="I542" s="33"/>
    </row>
    <row r="543" spans="1:9" hidden="1" x14ac:dyDescent="0.25">
      <c r="B543" s="71"/>
      <c r="C543" s="33"/>
      <c r="D543" s="133"/>
      <c r="E543" s="134"/>
      <c r="F543" s="134"/>
      <c r="G543" s="61">
        <f>H543</f>
        <v>0</v>
      </c>
      <c r="H543" s="51">
        <v>0</v>
      </c>
      <c r="I543" s="33"/>
    </row>
    <row r="544" spans="1:9" hidden="1" x14ac:dyDescent="0.25">
      <c r="B544" s="36" t="s">
        <v>37</v>
      </c>
      <c r="D544" s="7">
        <f xml:space="preserve"> D537 - D536</f>
        <v>0</v>
      </c>
      <c r="E544" s="7">
        <f xml:space="preserve"> E536 + E539 - E538 - E537</f>
        <v>0</v>
      </c>
      <c r="F544" s="7">
        <f>F538 - F539 - F540 + F541</f>
        <v>0</v>
      </c>
      <c r="G544" s="7">
        <f>G540  - G541 - G542  + G543</f>
        <v>0</v>
      </c>
      <c r="H544" s="7">
        <f>H542 - H543</f>
        <v>0</v>
      </c>
      <c r="I544" s="33"/>
    </row>
    <row r="545" spans="1:9" hidden="1" x14ac:dyDescent="0.25">
      <c r="B545" s="6"/>
      <c r="D545" s="7"/>
      <c r="E545" s="7"/>
      <c r="F545" s="7"/>
      <c r="G545" s="7"/>
      <c r="H545" s="7"/>
      <c r="I545" s="33"/>
    </row>
    <row r="546" spans="1:9" hidden="1" x14ac:dyDescent="0.25">
      <c r="B546" s="68" t="s">
        <v>32</v>
      </c>
      <c r="C546" s="66"/>
      <c r="D546" s="90"/>
      <c r="E546" s="91"/>
      <c r="F546" s="129"/>
      <c r="G546" s="129"/>
      <c r="H546" s="92"/>
      <c r="I546" s="33"/>
    </row>
    <row r="547" spans="1:9" hidden="1" x14ac:dyDescent="0.25">
      <c r="B547" s="6"/>
      <c r="D547" s="7"/>
      <c r="E547" s="7"/>
      <c r="F547" s="7"/>
      <c r="G547" s="7"/>
      <c r="H547" s="7"/>
      <c r="I547" s="33"/>
    </row>
    <row r="548" spans="1:9" ht="18.75" hidden="1" x14ac:dyDescent="0.3">
      <c r="A548" s="45" t="s">
        <v>46</v>
      </c>
      <c r="C548" s="66"/>
      <c r="D548" s="130">
        <f xml:space="preserve"> D522 + D527 - D533 + D544 + D546</f>
        <v>0</v>
      </c>
      <c r="E548" s="130">
        <f xml:space="preserve"> E522 + E527 - E533 + E544 + E546</f>
        <v>0</v>
      </c>
      <c r="F548" s="130">
        <f xml:space="preserve"> F522 + F527 - F533 + F544 + F546</f>
        <v>0</v>
      </c>
      <c r="G548" s="130"/>
      <c r="H548" s="49"/>
    </row>
    <row r="549" spans="1:9" hidden="1" x14ac:dyDescent="0.25">
      <c r="B549" s="6"/>
      <c r="D549" s="7"/>
      <c r="E549" s="7"/>
      <c r="F549" s="7"/>
      <c r="G549" s="32"/>
      <c r="H549" s="32"/>
      <c r="I549" s="25"/>
    </row>
    <row r="550" spans="1:9" hidden="1" x14ac:dyDescent="0.25">
      <c r="I550" s="24"/>
    </row>
    <row r="551" spans="1:9" hidden="1" x14ac:dyDescent="0.25">
      <c r="A551" s="8"/>
      <c r="B551" s="8"/>
      <c r="C551" s="8"/>
      <c r="D551" s="8"/>
      <c r="E551" s="8"/>
      <c r="F551" s="8"/>
      <c r="G551" s="8"/>
      <c r="H551" s="8"/>
      <c r="I551" s="24"/>
    </row>
    <row r="552" spans="1:9" hidden="1" x14ac:dyDescent="0.25">
      <c r="B552" s="33"/>
      <c r="C552" s="33"/>
      <c r="D552" s="33"/>
      <c r="E552" s="33"/>
      <c r="F552" s="33"/>
      <c r="G552" s="33"/>
      <c r="H552" s="33"/>
      <c r="I552" s="24"/>
    </row>
    <row r="553" spans="1:9" ht="21" hidden="1" x14ac:dyDescent="0.35">
      <c r="A553" s="13" t="s">
        <v>4</v>
      </c>
      <c r="B553" s="13"/>
      <c r="C553" s="46" t="str">
        <f>B18</f>
        <v>Facility 15</v>
      </c>
      <c r="D553" s="47"/>
      <c r="E553" s="23"/>
      <c r="F553" s="23"/>
      <c r="I553" s="24"/>
    </row>
    <row r="554" spans="1:9" hidden="1" x14ac:dyDescent="0.25">
      <c r="I554" s="32"/>
    </row>
    <row r="555" spans="1:9" ht="18.75" hidden="1" x14ac:dyDescent="0.3">
      <c r="A555" s="9" t="s">
        <v>41</v>
      </c>
      <c r="B555" s="9"/>
      <c r="D555" s="2">
        <f>'Facility Detail'!$B$1155</f>
        <v>2013</v>
      </c>
      <c r="E555" s="2">
        <f>D555+1</f>
        <v>2014</v>
      </c>
      <c r="F555" s="2">
        <f>E555+1</f>
        <v>2015</v>
      </c>
      <c r="G555" s="2">
        <f t="shared" ref="G555:H555" si="27">F555+1</f>
        <v>2016</v>
      </c>
      <c r="H555" s="2">
        <f t="shared" si="27"/>
        <v>2017</v>
      </c>
      <c r="I555" s="32"/>
    </row>
    <row r="556" spans="1:9" hidden="1" x14ac:dyDescent="0.25">
      <c r="B556" s="71" t="str">
        <f>"Total MWh Produced / Purchased from " &amp; C553</f>
        <v>Total MWh Produced / Purchased from Facility 15</v>
      </c>
      <c r="C556" s="66"/>
      <c r="D556" s="3"/>
      <c r="E556" s="4"/>
      <c r="F556" s="4"/>
      <c r="G556" s="4"/>
      <c r="H556" s="5"/>
      <c r="I556" s="32"/>
    </row>
    <row r="557" spans="1:9" hidden="1" x14ac:dyDescent="0.25">
      <c r="B557" s="71" t="s">
        <v>45</v>
      </c>
      <c r="C557" s="66"/>
      <c r="D557" s="155"/>
      <c r="E557" s="154"/>
      <c r="F557" s="154"/>
      <c r="G557" s="154"/>
      <c r="H557" s="156"/>
      <c r="I557" s="32"/>
    </row>
    <row r="558" spans="1:9" hidden="1" x14ac:dyDescent="0.25">
      <c r="B558" s="71" t="s">
        <v>40</v>
      </c>
      <c r="C558" s="66"/>
      <c r="D558" s="146"/>
      <c r="E558" s="52"/>
      <c r="F558" s="52"/>
      <c r="G558" s="52"/>
      <c r="H558" s="53"/>
      <c r="I558" s="33"/>
    </row>
    <row r="559" spans="1:9" hidden="1" x14ac:dyDescent="0.25">
      <c r="B559" s="68" t="s">
        <v>42</v>
      </c>
      <c r="C559" s="69"/>
      <c r="D559" s="41">
        <f xml:space="preserve"> D556 * D557 * D558</f>
        <v>0</v>
      </c>
      <c r="E559" s="153">
        <f xml:space="preserve"> E556 * E557 * E558</f>
        <v>0</v>
      </c>
      <c r="F559" s="153">
        <f xml:space="preserve"> F556 * F557 * F558</f>
        <v>0</v>
      </c>
      <c r="G559" s="153"/>
      <c r="H559" s="153"/>
      <c r="I559" s="33"/>
    </row>
    <row r="560" spans="1:9" hidden="1" x14ac:dyDescent="0.25">
      <c r="B560" s="23"/>
      <c r="C560" s="33"/>
      <c r="D560" s="40"/>
      <c r="E560" s="40"/>
      <c r="F560" s="40"/>
      <c r="G560" s="40"/>
      <c r="H560" s="40"/>
    </row>
    <row r="561" spans="1:9" ht="18.75" hidden="1" x14ac:dyDescent="0.3">
      <c r="A561" s="48" t="s">
        <v>139</v>
      </c>
      <c r="C561" s="33"/>
      <c r="D561" s="2">
        <f>'Facility Detail'!$B$1155</f>
        <v>2013</v>
      </c>
      <c r="E561" s="2">
        <f>D561+1</f>
        <v>2014</v>
      </c>
      <c r="F561" s="2">
        <f>E561+1</f>
        <v>2015</v>
      </c>
      <c r="G561" s="2">
        <f t="shared" ref="G561:H561" si="28">F561+1</f>
        <v>2016</v>
      </c>
      <c r="H561" s="2">
        <f t="shared" si="28"/>
        <v>2017</v>
      </c>
    </row>
    <row r="562" spans="1:9" hidden="1" x14ac:dyDescent="0.25">
      <c r="B562" s="71" t="s">
        <v>30</v>
      </c>
      <c r="C562" s="66"/>
      <c r="D562" s="54">
        <f>IF( $F162 = "Eligible", D559 * 'Facility Detail'!$B$1152, 0 )</f>
        <v>0</v>
      </c>
      <c r="E562" s="11">
        <f>IF( $F162 = "Eligible", E559 * 'Facility Detail'!$B$1152, 0 )</f>
        <v>0</v>
      </c>
      <c r="F562" s="127">
        <f>IF( $F162 = "Eligible", F559 * 'Facility Detail'!$B$1152, 0 )</f>
        <v>0</v>
      </c>
      <c r="G562" s="127">
        <f>IF( $F162 = "Eligible", G559 * 'Facility Detail'!$B$1152, 0 )</f>
        <v>0</v>
      </c>
      <c r="H562" s="12">
        <f>IF( $F162 = "Eligible", H559 * 'Facility Detail'!$B$1152, 0 )</f>
        <v>0</v>
      </c>
      <c r="I562" s="24"/>
    </row>
    <row r="563" spans="1:9" hidden="1" x14ac:dyDescent="0.25">
      <c r="B563" s="71" t="s">
        <v>6</v>
      </c>
      <c r="C563" s="66"/>
      <c r="D563" s="55">
        <f>IF( $G162 = "Eligible", D559, 0 )</f>
        <v>0</v>
      </c>
      <c r="E563" s="56">
        <f>IF( $G162 = "Eligible", E559, 0 )</f>
        <v>0</v>
      </c>
      <c r="F563" s="128">
        <f>IF( $G162 = "Eligible", F559, 0 )</f>
        <v>0</v>
      </c>
      <c r="G563" s="128">
        <f>IF( $G162 = "Eligible", G559, 0 )</f>
        <v>0</v>
      </c>
      <c r="H563" s="57">
        <f>IF( $G162 = "Eligible", H559, 0 )</f>
        <v>0</v>
      </c>
      <c r="I563" s="24"/>
    </row>
    <row r="564" spans="1:9" hidden="1" x14ac:dyDescent="0.25">
      <c r="B564" s="70" t="s">
        <v>141</v>
      </c>
      <c r="C564" s="69"/>
      <c r="D564" s="43">
        <f>SUM(D562:D563)</f>
        <v>0</v>
      </c>
      <c r="E564" s="44">
        <f>SUM(E562:E563)</f>
        <v>0</v>
      </c>
      <c r="F564" s="44">
        <f>SUM(F562:F563)</f>
        <v>0</v>
      </c>
      <c r="G564" s="44">
        <f t="shared" ref="G564" si="29">SUM(G562:G563)</f>
        <v>0</v>
      </c>
      <c r="H564" s="44">
        <f t="shared" ref="H564" si="30">SUM(H562:H563)</f>
        <v>0</v>
      </c>
      <c r="I564" s="24"/>
    </row>
    <row r="565" spans="1:9" hidden="1" x14ac:dyDescent="0.25">
      <c r="B565" s="33"/>
      <c r="C565" s="33"/>
      <c r="D565" s="42"/>
      <c r="E565" s="34"/>
      <c r="F565" s="34"/>
      <c r="G565" s="34"/>
      <c r="H565" s="34"/>
      <c r="I565" s="24"/>
    </row>
    <row r="566" spans="1:9" ht="18.75" hidden="1" x14ac:dyDescent="0.3">
      <c r="A566" s="45" t="s">
        <v>50</v>
      </c>
      <c r="C566" s="33"/>
      <c r="D566" s="2">
        <f>'Facility Detail'!$B$1155</f>
        <v>2013</v>
      </c>
      <c r="E566" s="2">
        <f>D566+1</f>
        <v>2014</v>
      </c>
      <c r="F566" s="2">
        <f>E566+1</f>
        <v>2015</v>
      </c>
      <c r="G566" s="2">
        <f t="shared" ref="G566:H566" si="31">F566+1</f>
        <v>2016</v>
      </c>
      <c r="H566" s="2">
        <f t="shared" si="31"/>
        <v>2017</v>
      </c>
      <c r="I566" s="24"/>
    </row>
    <row r="567" spans="1:9" hidden="1" x14ac:dyDescent="0.25">
      <c r="B567" s="71" t="s">
        <v>67</v>
      </c>
      <c r="C567" s="66"/>
      <c r="D567" s="161"/>
      <c r="E567" s="4"/>
      <c r="F567" s="4"/>
      <c r="G567" s="4"/>
      <c r="H567" s="5"/>
      <c r="I567" s="24"/>
    </row>
    <row r="568" spans="1:9" hidden="1" x14ac:dyDescent="0.25">
      <c r="B568" s="72" t="s">
        <v>43</v>
      </c>
      <c r="C568" s="73"/>
      <c r="D568" s="82"/>
      <c r="E568" s="162"/>
      <c r="F568" s="162"/>
      <c r="G568" s="162"/>
      <c r="H568" s="163"/>
      <c r="I568" s="24"/>
    </row>
    <row r="569" spans="1:9" hidden="1" x14ac:dyDescent="0.25">
      <c r="B569" s="83" t="s">
        <v>109</v>
      </c>
      <c r="C569" s="81"/>
      <c r="D569" s="58"/>
      <c r="E569" s="164"/>
      <c r="F569" s="164"/>
      <c r="G569" s="164"/>
      <c r="H569" s="165"/>
      <c r="I569" s="24"/>
    </row>
    <row r="570" spans="1:9" hidden="1" x14ac:dyDescent="0.25">
      <c r="B570" s="36" t="s">
        <v>110</v>
      </c>
      <c r="D570" s="7">
        <f>SUM(D567:D569)</f>
        <v>0</v>
      </c>
      <c r="E570" s="7">
        <f>SUM(E567:E569)</f>
        <v>0</v>
      </c>
      <c r="F570" s="7">
        <f>SUM(F567:F569)</f>
        <v>0</v>
      </c>
      <c r="G570" s="7"/>
      <c r="H570" s="7"/>
      <c r="I570" s="32"/>
    </row>
    <row r="571" spans="1:9" hidden="1" x14ac:dyDescent="0.25">
      <c r="B571" s="6"/>
      <c r="D571" s="7"/>
      <c r="E571" s="7"/>
      <c r="F571" s="7"/>
      <c r="G571" s="7"/>
      <c r="H571" s="7"/>
      <c r="I571" s="32"/>
    </row>
    <row r="572" spans="1:9" ht="18.75" hidden="1" x14ac:dyDescent="0.3">
      <c r="A572" s="9" t="s">
        <v>120</v>
      </c>
      <c r="D572" s="2">
        <f>'Facility Detail'!$B$1155</f>
        <v>2013</v>
      </c>
      <c r="E572" s="2">
        <f>D572+1</f>
        <v>2014</v>
      </c>
      <c r="F572" s="2">
        <f>E572+1</f>
        <v>2015</v>
      </c>
      <c r="G572" s="2">
        <f t="shared" ref="G572:H572" si="32">F572+1</f>
        <v>2016</v>
      </c>
      <c r="H572" s="2">
        <f t="shared" si="32"/>
        <v>2017</v>
      </c>
      <c r="I572" s="32"/>
    </row>
    <row r="573" spans="1:9" hidden="1" x14ac:dyDescent="0.25">
      <c r="B573" s="71" t="str">
        <f xml:space="preserve"> 'Facility Detail'!$B$1155 &amp; " Surplus Applied to " &amp; ( 'Facility Detail'!$B$1155 + 1 )</f>
        <v>2013 Surplus Applied to 2014</v>
      </c>
      <c r="C573" s="66"/>
      <c r="D573" s="3">
        <f>D559+D564-D570</f>
        <v>0</v>
      </c>
      <c r="E573" s="59">
        <f>D573</f>
        <v>0</v>
      </c>
      <c r="F573" s="135"/>
      <c r="G573" s="135"/>
      <c r="H573" s="136"/>
      <c r="I573" s="32"/>
    </row>
    <row r="574" spans="1:9" hidden="1" x14ac:dyDescent="0.25">
      <c r="B574" s="71" t="str">
        <f xml:space="preserve"> ( 'Facility Detail'!$B$1155 + 1 ) &amp; " Surplus Applied to " &amp; ( 'Facility Detail'!$B$1155 )</f>
        <v>2014 Surplus Applied to 2013</v>
      </c>
      <c r="C574" s="66"/>
      <c r="D574" s="157">
        <f>E574</f>
        <v>0</v>
      </c>
      <c r="E574" s="10">
        <v>0</v>
      </c>
      <c r="F574" s="131"/>
      <c r="G574" s="131"/>
      <c r="H574" s="137"/>
      <c r="I574" s="32"/>
    </row>
    <row r="575" spans="1:9" hidden="1" x14ac:dyDescent="0.25">
      <c r="B575" s="71" t="str">
        <f xml:space="preserve"> ( 'Facility Detail'!$B$1155 + 1 ) &amp; " Surplus Applied to " &amp; ( 'Facility Detail'!$B$1155 + 2 )</f>
        <v>2014 Surplus Applied to 2015</v>
      </c>
      <c r="C575" s="66"/>
      <c r="D575" s="132"/>
      <c r="E575" s="10">
        <f>E559+E564-E570</f>
        <v>0</v>
      </c>
      <c r="F575" s="65">
        <f>+E575</f>
        <v>0</v>
      </c>
      <c r="G575" s="131"/>
      <c r="H575" s="137"/>
      <c r="I575" s="32"/>
    </row>
    <row r="576" spans="1:9" hidden="1" x14ac:dyDescent="0.25">
      <c r="B576" s="71" t="str">
        <f xml:space="preserve"> ( 'Facility Detail'!$B$1155 + 2 ) &amp; " Surplus Applied to " &amp; ( 'Facility Detail'!$B$1155 + 1 )</f>
        <v>2015 Surplus Applied to 2014</v>
      </c>
      <c r="C576" s="66"/>
      <c r="D576" s="132"/>
      <c r="E576" s="65">
        <f>F576</f>
        <v>0</v>
      </c>
      <c r="F576" s="10">
        <v>0</v>
      </c>
      <c r="G576" s="131"/>
      <c r="H576" s="137"/>
      <c r="I576" s="32"/>
    </row>
    <row r="577" spans="1:9" hidden="1" x14ac:dyDescent="0.25">
      <c r="B577" s="71"/>
      <c r="C577" s="33"/>
      <c r="D577" s="132"/>
      <c r="E577" s="131"/>
      <c r="F577" s="10">
        <f>F559+F564-F570</f>
        <v>0</v>
      </c>
      <c r="G577" s="65">
        <f>+F577</f>
        <v>0</v>
      </c>
      <c r="H577" s="137"/>
      <c r="I577" s="32"/>
    </row>
    <row r="578" spans="1:9" hidden="1" x14ac:dyDescent="0.25">
      <c r="B578" s="71"/>
      <c r="C578" s="33"/>
      <c r="D578" s="132"/>
      <c r="E578" s="131"/>
      <c r="F578" s="65">
        <f>G578</f>
        <v>0</v>
      </c>
      <c r="G578" s="10">
        <v>0</v>
      </c>
      <c r="H578" s="137"/>
      <c r="I578" s="32"/>
    </row>
    <row r="579" spans="1:9" hidden="1" x14ac:dyDescent="0.25">
      <c r="B579" s="71"/>
      <c r="C579" s="33"/>
      <c r="D579" s="132"/>
      <c r="E579" s="131"/>
      <c r="F579" s="131"/>
      <c r="G579" s="10">
        <f>G559+G564-G570</f>
        <v>0</v>
      </c>
      <c r="H579" s="60">
        <f>+G579</f>
        <v>0</v>
      </c>
      <c r="I579" s="32"/>
    </row>
    <row r="580" spans="1:9" hidden="1" x14ac:dyDescent="0.25">
      <c r="B580" s="71"/>
      <c r="C580" s="33"/>
      <c r="D580" s="133"/>
      <c r="E580" s="134"/>
      <c r="F580" s="134"/>
      <c r="G580" s="61">
        <f>H580</f>
        <v>0</v>
      </c>
      <c r="H580" s="51">
        <v>0</v>
      </c>
      <c r="I580" s="32"/>
    </row>
    <row r="581" spans="1:9" hidden="1" x14ac:dyDescent="0.25">
      <c r="B581" s="36" t="s">
        <v>37</v>
      </c>
      <c r="D581" s="7">
        <f xml:space="preserve"> D574 - D573</f>
        <v>0</v>
      </c>
      <c r="E581" s="7">
        <f xml:space="preserve"> E573 + E576 - E575 - E574</f>
        <v>0</v>
      </c>
      <c r="F581" s="7">
        <f>F575 - F576 - F577 + F578</f>
        <v>0</v>
      </c>
      <c r="G581" s="7">
        <f>G577  - G578 - G579  + G580</f>
        <v>0</v>
      </c>
      <c r="H581" s="7">
        <f>H579 - H580</f>
        <v>0</v>
      </c>
      <c r="I581" s="32"/>
    </row>
    <row r="582" spans="1:9" hidden="1" x14ac:dyDescent="0.25">
      <c r="B582" s="6"/>
      <c r="D582" s="7"/>
      <c r="E582" s="7"/>
      <c r="F582" s="7"/>
      <c r="G582" s="7"/>
      <c r="H582" s="7"/>
      <c r="I582" s="32"/>
    </row>
    <row r="583" spans="1:9" hidden="1" x14ac:dyDescent="0.25">
      <c r="B583" s="68" t="s">
        <v>32</v>
      </c>
      <c r="C583" s="66"/>
      <c r="D583" s="90"/>
      <c r="E583" s="91"/>
      <c r="F583" s="129"/>
      <c r="G583" s="129"/>
      <c r="H583" s="92"/>
      <c r="I583" s="32"/>
    </row>
    <row r="584" spans="1:9" hidden="1" x14ac:dyDescent="0.25">
      <c r="B584" s="6"/>
      <c r="D584" s="7"/>
      <c r="E584" s="7"/>
      <c r="F584" s="7"/>
      <c r="G584" s="7"/>
      <c r="H584" s="7"/>
      <c r="I584" s="32"/>
    </row>
    <row r="585" spans="1:9" ht="18.75" hidden="1" x14ac:dyDescent="0.3">
      <c r="A585" s="45" t="s">
        <v>46</v>
      </c>
      <c r="C585" s="66"/>
      <c r="D585" s="130">
        <f xml:space="preserve"> D559 + D564 - D570 + D581 + D583</f>
        <v>0</v>
      </c>
      <c r="E585" s="130">
        <f xml:space="preserve"> E559 + E564 - E570 + E581 + E583</f>
        <v>0</v>
      </c>
      <c r="F585" s="130">
        <f xml:space="preserve"> F559 + F564 - F570 + F581 + F583</f>
        <v>0</v>
      </c>
      <c r="G585" s="130"/>
      <c r="H585" s="49"/>
      <c r="I585" s="33"/>
    </row>
    <row r="586" spans="1:9" hidden="1" x14ac:dyDescent="0.25">
      <c r="B586" s="6"/>
      <c r="D586" s="7"/>
      <c r="E586" s="7"/>
      <c r="F586" s="7"/>
      <c r="G586" s="32"/>
      <c r="H586" s="32"/>
      <c r="I586" s="33"/>
    </row>
    <row r="587" spans="1:9" hidden="1" x14ac:dyDescent="0.25">
      <c r="I587" s="25"/>
    </row>
    <row r="588" spans="1:9" hidden="1" x14ac:dyDescent="0.25">
      <c r="A588" s="8"/>
      <c r="B588" s="8"/>
      <c r="C588" s="8"/>
      <c r="D588" s="8"/>
      <c r="E588" s="8"/>
      <c r="F588" s="8"/>
      <c r="G588" s="8"/>
      <c r="H588" s="8"/>
      <c r="I588" s="24"/>
    </row>
    <row r="589" spans="1:9" hidden="1" x14ac:dyDescent="0.25">
      <c r="B589" s="33"/>
      <c r="C589" s="33"/>
      <c r="D589" s="33"/>
      <c r="E589" s="33"/>
      <c r="F589" s="33"/>
      <c r="G589" s="33"/>
      <c r="H589" s="33"/>
      <c r="I589" s="24"/>
    </row>
    <row r="590" spans="1:9" ht="21" hidden="1" x14ac:dyDescent="0.35">
      <c r="A590" s="13" t="s">
        <v>4</v>
      </c>
      <c r="B590" s="13"/>
      <c r="C590" s="46" t="str">
        <f>B19</f>
        <v>Facility 16</v>
      </c>
      <c r="D590" s="47"/>
      <c r="E590" s="23"/>
      <c r="F590" s="23"/>
      <c r="I590" s="24"/>
    </row>
    <row r="591" spans="1:9" hidden="1" x14ac:dyDescent="0.25">
      <c r="I591" s="24"/>
    </row>
    <row r="592" spans="1:9" ht="18.75" hidden="1" x14ac:dyDescent="0.3">
      <c r="A592" s="9" t="s">
        <v>41</v>
      </c>
      <c r="B592" s="9"/>
      <c r="D592" s="2">
        <f>'Facility Detail'!$B$1155</f>
        <v>2013</v>
      </c>
      <c r="E592" s="2">
        <f>D592+1</f>
        <v>2014</v>
      </c>
      <c r="F592" s="2">
        <f>E592+1</f>
        <v>2015</v>
      </c>
      <c r="G592" s="2">
        <f t="shared" ref="G592:H592" si="33">F592+1</f>
        <v>2016</v>
      </c>
      <c r="H592" s="2">
        <f t="shared" si="33"/>
        <v>2017</v>
      </c>
      <c r="I592" s="24"/>
    </row>
    <row r="593" spans="1:9" hidden="1" x14ac:dyDescent="0.25">
      <c r="B593" s="71" t="str">
        <f>"Total MWh Produced / Purchased from " &amp; C590</f>
        <v>Total MWh Produced / Purchased from Facility 16</v>
      </c>
      <c r="C593" s="66"/>
      <c r="D593" s="3"/>
      <c r="E593" s="4"/>
      <c r="F593" s="4"/>
      <c r="G593" s="4"/>
      <c r="H593" s="5"/>
      <c r="I593" s="24"/>
    </row>
    <row r="594" spans="1:9" hidden="1" x14ac:dyDescent="0.25">
      <c r="B594" s="71" t="s">
        <v>45</v>
      </c>
      <c r="C594" s="66"/>
      <c r="D594" s="155"/>
      <c r="E594" s="154"/>
      <c r="F594" s="154"/>
      <c r="G594" s="154"/>
      <c r="H594" s="156"/>
      <c r="I594" s="24"/>
    </row>
    <row r="595" spans="1:9" hidden="1" x14ac:dyDescent="0.25">
      <c r="B595" s="71" t="s">
        <v>40</v>
      </c>
      <c r="C595" s="66"/>
      <c r="D595" s="146"/>
      <c r="E595" s="52"/>
      <c r="F595" s="52"/>
      <c r="G595" s="52"/>
      <c r="H595" s="53"/>
      <c r="I595" s="32"/>
    </row>
    <row r="596" spans="1:9" hidden="1" x14ac:dyDescent="0.25">
      <c r="B596" s="68" t="s">
        <v>42</v>
      </c>
      <c r="C596" s="69"/>
      <c r="D596" s="41">
        <f xml:space="preserve"> D593 * D594 * D595</f>
        <v>0</v>
      </c>
      <c r="E596" s="153">
        <f xml:space="preserve"> E593 * E594 * E595</f>
        <v>0</v>
      </c>
      <c r="F596" s="153">
        <f xml:space="preserve"> F593 * F594 * F595</f>
        <v>0</v>
      </c>
      <c r="G596" s="153"/>
      <c r="H596" s="153"/>
      <c r="I596" s="32"/>
    </row>
    <row r="597" spans="1:9" hidden="1" x14ac:dyDescent="0.25">
      <c r="B597" s="23"/>
      <c r="C597" s="33"/>
      <c r="D597" s="40"/>
      <c r="E597" s="40"/>
      <c r="F597" s="40"/>
      <c r="G597" s="40"/>
      <c r="H597" s="40"/>
      <c r="I597" s="32"/>
    </row>
    <row r="598" spans="1:9" ht="18.75" hidden="1" x14ac:dyDescent="0.3">
      <c r="A598" s="48" t="s">
        <v>139</v>
      </c>
      <c r="C598" s="33"/>
      <c r="D598" s="2">
        <f>'Facility Detail'!$B$1155</f>
        <v>2013</v>
      </c>
      <c r="E598" s="2">
        <f>D598+1</f>
        <v>2014</v>
      </c>
      <c r="F598" s="2">
        <f>E598+1</f>
        <v>2015</v>
      </c>
      <c r="G598" s="2">
        <f t="shared" ref="G598:H598" si="34">F598+1</f>
        <v>2016</v>
      </c>
      <c r="H598" s="2">
        <f t="shared" si="34"/>
        <v>2017</v>
      </c>
      <c r="I598" s="33"/>
    </row>
    <row r="599" spans="1:9" hidden="1" x14ac:dyDescent="0.25">
      <c r="B599" s="71" t="s">
        <v>30</v>
      </c>
      <c r="C599" s="66"/>
      <c r="D599" s="54">
        <f>IF( $F199 = "Eligible", D596 * 'Facility Detail'!$B$1152, 0 )</f>
        <v>0</v>
      </c>
      <c r="E599" s="11">
        <f>IF( $F199 = "Eligible", E596 * 'Facility Detail'!$B$1152, 0 )</f>
        <v>0</v>
      </c>
      <c r="F599" s="127">
        <f>IF( $F199 = "Eligible", F596 * 'Facility Detail'!$B$1152, 0 )</f>
        <v>0</v>
      </c>
      <c r="G599" s="127">
        <f>IF( $F199 = "Eligible", G596 * 'Facility Detail'!$B$1152, 0 )</f>
        <v>0</v>
      </c>
      <c r="H599" s="12">
        <f>IF( $F199 = "Eligible", H596 * 'Facility Detail'!$B$1152, 0 )</f>
        <v>0</v>
      </c>
    </row>
    <row r="600" spans="1:9" hidden="1" x14ac:dyDescent="0.25">
      <c r="B600" s="71" t="s">
        <v>6</v>
      </c>
      <c r="C600" s="66"/>
      <c r="D600" s="55">
        <f>IF( $G199 = "Eligible", D596, 0 )</f>
        <v>0</v>
      </c>
      <c r="E600" s="56">
        <f>IF( $G199 = "Eligible", E596, 0 )</f>
        <v>0</v>
      </c>
      <c r="F600" s="128">
        <f>IF( $G199 = "Eligible", F596, 0 )</f>
        <v>0</v>
      </c>
      <c r="G600" s="128">
        <f>IF( $G199 = "Eligible", G596, 0 )</f>
        <v>0</v>
      </c>
      <c r="H600" s="57">
        <f>IF( $G199 = "Eligible", H596, 0 )</f>
        <v>0</v>
      </c>
    </row>
    <row r="601" spans="1:9" hidden="1" x14ac:dyDescent="0.25">
      <c r="B601" s="70" t="s">
        <v>141</v>
      </c>
      <c r="C601" s="69"/>
      <c r="D601" s="43">
        <f>SUM(D599:D600)</f>
        <v>0</v>
      </c>
      <c r="E601" s="44">
        <f>SUM(E599:E600)</f>
        <v>0</v>
      </c>
      <c r="F601" s="44">
        <f>SUM(F599:F600)</f>
        <v>0</v>
      </c>
      <c r="G601" s="44">
        <f t="shared" ref="G601" si="35">SUM(G599:G600)</f>
        <v>0</v>
      </c>
      <c r="H601" s="44">
        <f t="shared" ref="H601" si="36">SUM(H599:H600)</f>
        <v>0</v>
      </c>
      <c r="I601" s="25"/>
    </row>
    <row r="602" spans="1:9" hidden="1" x14ac:dyDescent="0.25">
      <c r="B602" s="33"/>
      <c r="C602" s="33"/>
      <c r="D602" s="42"/>
      <c r="E602" s="34"/>
      <c r="F602" s="34"/>
      <c r="G602" s="34"/>
      <c r="H602" s="34"/>
      <c r="I602" s="24"/>
    </row>
    <row r="603" spans="1:9" ht="18.75" hidden="1" x14ac:dyDescent="0.3">
      <c r="A603" s="45" t="s">
        <v>50</v>
      </c>
      <c r="C603" s="33"/>
      <c r="D603" s="2">
        <f>'Facility Detail'!$B$1155</f>
        <v>2013</v>
      </c>
      <c r="E603" s="2">
        <f>D603+1</f>
        <v>2014</v>
      </c>
      <c r="F603" s="2">
        <f>E603+1</f>
        <v>2015</v>
      </c>
      <c r="G603" s="2">
        <f t="shared" ref="G603:H603" si="37">F603+1</f>
        <v>2016</v>
      </c>
      <c r="H603" s="2">
        <f t="shared" si="37"/>
        <v>2017</v>
      </c>
      <c r="I603" s="24"/>
    </row>
    <row r="604" spans="1:9" hidden="1" x14ac:dyDescent="0.25">
      <c r="B604" s="71" t="s">
        <v>67</v>
      </c>
      <c r="C604" s="66"/>
      <c r="D604" s="161"/>
      <c r="E604" s="4"/>
      <c r="F604" s="4"/>
      <c r="G604" s="4"/>
      <c r="H604" s="5"/>
      <c r="I604" s="24"/>
    </row>
    <row r="605" spans="1:9" hidden="1" x14ac:dyDescent="0.25">
      <c r="B605" s="72" t="s">
        <v>43</v>
      </c>
      <c r="C605" s="73"/>
      <c r="D605" s="82"/>
      <c r="E605" s="162"/>
      <c r="F605" s="162"/>
      <c r="G605" s="162"/>
      <c r="H605" s="163"/>
      <c r="I605" s="24"/>
    </row>
    <row r="606" spans="1:9" hidden="1" x14ac:dyDescent="0.25">
      <c r="B606" s="83" t="s">
        <v>109</v>
      </c>
      <c r="C606" s="81"/>
      <c r="D606" s="58"/>
      <c r="E606" s="164"/>
      <c r="F606" s="164"/>
      <c r="G606" s="164"/>
      <c r="H606" s="165"/>
      <c r="I606" s="24"/>
    </row>
    <row r="607" spans="1:9" hidden="1" x14ac:dyDescent="0.25">
      <c r="B607" s="36" t="s">
        <v>110</v>
      </c>
      <c r="D607" s="7">
        <f>SUM(D604:D606)</f>
        <v>0</v>
      </c>
      <c r="E607" s="7">
        <f>SUM(E604:E606)</f>
        <v>0</v>
      </c>
      <c r="F607" s="7">
        <f>SUM(F604:F606)</f>
        <v>0</v>
      </c>
      <c r="G607" s="7"/>
      <c r="H607" s="7"/>
      <c r="I607" s="24"/>
    </row>
    <row r="608" spans="1:9" hidden="1" x14ac:dyDescent="0.25">
      <c r="B608" s="6"/>
      <c r="D608" s="7"/>
      <c r="E608" s="7"/>
      <c r="F608" s="7"/>
      <c r="G608" s="7"/>
      <c r="H608" s="7"/>
      <c r="I608" s="24"/>
    </row>
    <row r="609" spans="1:9" ht="18.75" hidden="1" x14ac:dyDescent="0.3">
      <c r="A609" s="9" t="s">
        <v>120</v>
      </c>
      <c r="D609" s="2">
        <f>'Facility Detail'!$B$1155</f>
        <v>2013</v>
      </c>
      <c r="E609" s="2">
        <f>D609+1</f>
        <v>2014</v>
      </c>
      <c r="F609" s="2">
        <f>E609+1</f>
        <v>2015</v>
      </c>
      <c r="G609" s="2">
        <f t="shared" ref="G609:H609" si="38">F609+1</f>
        <v>2016</v>
      </c>
      <c r="H609" s="2">
        <f t="shared" si="38"/>
        <v>2017</v>
      </c>
      <c r="I609" s="24"/>
    </row>
    <row r="610" spans="1:9" hidden="1" x14ac:dyDescent="0.25">
      <c r="B610" s="71" t="str">
        <f xml:space="preserve"> 'Facility Detail'!$B$1155 &amp; " Surplus Applied to " &amp; ( 'Facility Detail'!$B$1155 + 1 )</f>
        <v>2013 Surplus Applied to 2014</v>
      </c>
      <c r="C610" s="66"/>
      <c r="D610" s="3">
        <f>D596+D601-D607</f>
        <v>0</v>
      </c>
      <c r="E610" s="59">
        <f>D610</f>
        <v>0</v>
      </c>
      <c r="F610" s="135"/>
      <c r="G610" s="135"/>
      <c r="H610" s="136"/>
      <c r="I610" s="24"/>
    </row>
    <row r="611" spans="1:9" hidden="1" x14ac:dyDescent="0.25">
      <c r="B611" s="71" t="str">
        <f xml:space="preserve"> ( 'Facility Detail'!$B$1155 + 1 ) &amp; " Surplus Applied to " &amp; ( 'Facility Detail'!$B$1155 )</f>
        <v>2014 Surplus Applied to 2013</v>
      </c>
      <c r="C611" s="66"/>
      <c r="D611" s="157">
        <f>E611</f>
        <v>0</v>
      </c>
      <c r="E611" s="10">
        <v>0</v>
      </c>
      <c r="F611" s="131"/>
      <c r="G611" s="131"/>
      <c r="H611" s="137"/>
      <c r="I611" s="24"/>
    </row>
    <row r="612" spans="1:9" hidden="1" x14ac:dyDescent="0.25">
      <c r="B612" s="71" t="str">
        <f xml:space="preserve"> ( 'Facility Detail'!$B$1155 + 1 ) &amp; " Surplus Applied to " &amp; ( 'Facility Detail'!$B$1155 + 2 )</f>
        <v>2014 Surplus Applied to 2015</v>
      </c>
      <c r="C612" s="66"/>
      <c r="D612" s="132"/>
      <c r="E612" s="10">
        <f>E596+E601-E607</f>
        <v>0</v>
      </c>
      <c r="F612" s="65">
        <f>+E612</f>
        <v>0</v>
      </c>
      <c r="G612" s="131"/>
      <c r="H612" s="137"/>
      <c r="I612" s="24"/>
    </row>
    <row r="613" spans="1:9" hidden="1" x14ac:dyDescent="0.25">
      <c r="B613" s="71" t="str">
        <f xml:space="preserve"> ( 'Facility Detail'!$B$1155 + 2 ) &amp; " Surplus Applied to " &amp; ( 'Facility Detail'!$B$1155 + 1 )</f>
        <v>2015 Surplus Applied to 2014</v>
      </c>
      <c r="C613" s="66"/>
      <c r="D613" s="132"/>
      <c r="E613" s="65">
        <f>F613</f>
        <v>0</v>
      </c>
      <c r="F613" s="10">
        <v>0</v>
      </c>
      <c r="G613" s="131"/>
      <c r="H613" s="137"/>
      <c r="I613" s="24"/>
    </row>
    <row r="614" spans="1:9" hidden="1" x14ac:dyDescent="0.25">
      <c r="B614" s="71"/>
      <c r="C614" s="33"/>
      <c r="D614" s="132"/>
      <c r="E614" s="131"/>
      <c r="F614" s="10">
        <f>F596+F601-F607</f>
        <v>0</v>
      </c>
      <c r="G614" s="65">
        <f>+F614</f>
        <v>0</v>
      </c>
      <c r="H614" s="137"/>
      <c r="I614" s="24"/>
    </row>
    <row r="615" spans="1:9" hidden="1" x14ac:dyDescent="0.25">
      <c r="B615" s="71"/>
      <c r="C615" s="33"/>
      <c r="D615" s="132"/>
      <c r="E615" s="131"/>
      <c r="F615" s="65">
        <f>G615</f>
        <v>0</v>
      </c>
      <c r="G615" s="10">
        <v>0</v>
      </c>
      <c r="H615" s="137"/>
      <c r="I615" s="24"/>
    </row>
    <row r="616" spans="1:9" hidden="1" x14ac:dyDescent="0.25">
      <c r="B616" s="71"/>
      <c r="C616" s="33"/>
      <c r="D616" s="132"/>
      <c r="E616" s="131"/>
      <c r="F616" s="131"/>
      <c r="G616" s="10">
        <f>G596+G601-G607</f>
        <v>0</v>
      </c>
      <c r="H616" s="60">
        <f>+G616</f>
        <v>0</v>
      </c>
      <c r="I616" s="24"/>
    </row>
    <row r="617" spans="1:9" hidden="1" x14ac:dyDescent="0.25">
      <c r="B617" s="71"/>
      <c r="C617" s="33"/>
      <c r="D617" s="133"/>
      <c r="E617" s="134"/>
      <c r="F617" s="134"/>
      <c r="G617" s="61">
        <f>H617</f>
        <v>0</v>
      </c>
      <c r="H617" s="51">
        <v>0</v>
      </c>
      <c r="I617" s="24"/>
    </row>
    <row r="618" spans="1:9" hidden="1" x14ac:dyDescent="0.25">
      <c r="B618" s="36" t="s">
        <v>37</v>
      </c>
      <c r="D618" s="7">
        <f xml:space="preserve"> D611 - D610</f>
        <v>0</v>
      </c>
      <c r="E618" s="7">
        <f xml:space="preserve"> E610 + E613 - E612 - E611</f>
        <v>0</v>
      </c>
      <c r="F618" s="7">
        <f>F612 - F613 - F614 + F615</f>
        <v>0</v>
      </c>
      <c r="G618" s="7">
        <f>G614  - G615 - G616  + G617</f>
        <v>0</v>
      </c>
      <c r="H618" s="7">
        <f>H616 - H617</f>
        <v>0</v>
      </c>
      <c r="I618" s="24"/>
    </row>
    <row r="619" spans="1:9" hidden="1" x14ac:dyDescent="0.25">
      <c r="B619" s="6"/>
      <c r="D619" s="7"/>
      <c r="E619" s="7"/>
      <c r="F619" s="7"/>
      <c r="G619" s="7"/>
      <c r="H619" s="7"/>
      <c r="I619" s="24"/>
    </row>
    <row r="620" spans="1:9" hidden="1" x14ac:dyDescent="0.25">
      <c r="B620" s="68" t="s">
        <v>32</v>
      </c>
      <c r="C620" s="66"/>
      <c r="D620" s="90"/>
      <c r="E620" s="91"/>
      <c r="F620" s="129"/>
      <c r="G620" s="129"/>
      <c r="H620" s="92"/>
      <c r="I620" s="24"/>
    </row>
    <row r="621" spans="1:9" hidden="1" x14ac:dyDescent="0.25">
      <c r="B621" s="6"/>
      <c r="D621" s="7"/>
      <c r="E621" s="7"/>
      <c r="F621" s="7"/>
      <c r="G621" s="7"/>
      <c r="H621" s="7"/>
      <c r="I621" s="24"/>
    </row>
    <row r="622" spans="1:9" ht="18.75" hidden="1" x14ac:dyDescent="0.3">
      <c r="A622" s="45" t="s">
        <v>46</v>
      </c>
      <c r="C622" s="66"/>
      <c r="D622" s="130">
        <f xml:space="preserve"> D596 + D601 - D607 + D618 + D620</f>
        <v>0</v>
      </c>
      <c r="E622" s="130">
        <f xml:space="preserve"> E596 + E601 - E607 + E618 + E620</f>
        <v>0</v>
      </c>
      <c r="F622" s="130">
        <f xml:space="preserve"> F596 + F601 - F607 + F618 + F620</f>
        <v>0</v>
      </c>
      <c r="G622" s="130"/>
      <c r="H622" s="49"/>
      <c r="I622" s="32"/>
    </row>
    <row r="623" spans="1:9" hidden="1" x14ac:dyDescent="0.25">
      <c r="B623" s="6"/>
      <c r="D623" s="7"/>
      <c r="E623" s="7"/>
      <c r="F623" s="7"/>
      <c r="G623" s="32"/>
      <c r="H623" s="32"/>
      <c r="I623" s="32"/>
    </row>
    <row r="624" spans="1:9" hidden="1" x14ac:dyDescent="0.25">
      <c r="I624" s="33"/>
    </row>
    <row r="625" spans="1:9" hidden="1" x14ac:dyDescent="0.25">
      <c r="A625" s="8"/>
      <c r="B625" s="8"/>
      <c r="C625" s="8"/>
      <c r="D625" s="8"/>
      <c r="E625" s="8"/>
      <c r="F625" s="8"/>
      <c r="G625" s="8"/>
      <c r="H625" s="8"/>
    </row>
    <row r="626" spans="1:9" hidden="1" x14ac:dyDescent="0.25">
      <c r="B626" s="33"/>
      <c r="C626" s="33"/>
      <c r="D626" s="33"/>
      <c r="E626" s="33"/>
      <c r="F626" s="33"/>
      <c r="G626" s="33"/>
      <c r="H626" s="33"/>
    </row>
    <row r="627" spans="1:9" ht="21" hidden="1" x14ac:dyDescent="0.35">
      <c r="A627" s="13" t="s">
        <v>4</v>
      </c>
      <c r="B627" s="13"/>
      <c r="C627" s="46" t="str">
        <f>B20</f>
        <v>Facility 17</v>
      </c>
      <c r="D627" s="47"/>
      <c r="E627" s="23"/>
      <c r="F627" s="23"/>
      <c r="I627" s="25"/>
    </row>
    <row r="628" spans="1:9" hidden="1" x14ac:dyDescent="0.25">
      <c r="I628" s="24"/>
    </row>
    <row r="629" spans="1:9" ht="18.75" hidden="1" x14ac:dyDescent="0.3">
      <c r="A629" s="9" t="s">
        <v>41</v>
      </c>
      <c r="B629" s="9"/>
      <c r="D629" s="2">
        <f>'Facility Detail'!$B$1155</f>
        <v>2013</v>
      </c>
      <c r="E629" s="2">
        <f>D629+1</f>
        <v>2014</v>
      </c>
      <c r="F629" s="2">
        <f>E629+1</f>
        <v>2015</v>
      </c>
      <c r="G629" s="2">
        <f t="shared" ref="G629:H629" si="39">F629+1</f>
        <v>2016</v>
      </c>
      <c r="H629" s="2">
        <f t="shared" si="39"/>
        <v>2017</v>
      </c>
      <c r="I629" s="24"/>
    </row>
    <row r="630" spans="1:9" hidden="1" x14ac:dyDescent="0.25">
      <c r="B630" s="71" t="str">
        <f>"Total MWh Produced / Purchased from " &amp; C627</f>
        <v>Total MWh Produced / Purchased from Facility 17</v>
      </c>
      <c r="C630" s="66"/>
      <c r="D630" s="3"/>
      <c r="E630" s="4"/>
      <c r="F630" s="4"/>
      <c r="G630" s="4"/>
      <c r="H630" s="5"/>
      <c r="I630" s="24"/>
    </row>
    <row r="631" spans="1:9" hidden="1" x14ac:dyDescent="0.25">
      <c r="B631" s="71" t="s">
        <v>45</v>
      </c>
      <c r="C631" s="66"/>
      <c r="D631" s="155"/>
      <c r="E631" s="154"/>
      <c r="F631" s="154"/>
      <c r="G631" s="154"/>
      <c r="H631" s="156"/>
      <c r="I631" s="24"/>
    </row>
    <row r="632" spans="1:9" hidden="1" x14ac:dyDescent="0.25">
      <c r="B632" s="71" t="s">
        <v>40</v>
      </c>
      <c r="C632" s="66"/>
      <c r="D632" s="146"/>
      <c r="E632" s="52"/>
      <c r="F632" s="52"/>
      <c r="G632" s="52"/>
      <c r="H632" s="53"/>
      <c r="I632" s="24"/>
    </row>
    <row r="633" spans="1:9" hidden="1" x14ac:dyDescent="0.25">
      <c r="B633" s="68" t="s">
        <v>42</v>
      </c>
      <c r="C633" s="69"/>
      <c r="D633" s="41">
        <f xml:space="preserve"> D630 * D631 * D632</f>
        <v>0</v>
      </c>
      <c r="E633" s="153">
        <f xml:space="preserve"> E630 * E631 * E632</f>
        <v>0</v>
      </c>
      <c r="F633" s="153">
        <f xml:space="preserve"> F630 * F631 * F632</f>
        <v>0</v>
      </c>
      <c r="G633" s="153"/>
      <c r="H633" s="153"/>
      <c r="I633" s="24"/>
    </row>
    <row r="634" spans="1:9" hidden="1" x14ac:dyDescent="0.25">
      <c r="B634" s="23"/>
      <c r="C634" s="33"/>
      <c r="D634" s="40"/>
      <c r="E634" s="40"/>
      <c r="F634" s="40"/>
      <c r="G634" s="40"/>
      <c r="H634" s="40"/>
      <c r="I634" s="24"/>
    </row>
    <row r="635" spans="1:9" ht="18.75" hidden="1" x14ac:dyDescent="0.3">
      <c r="A635" s="48" t="s">
        <v>139</v>
      </c>
      <c r="C635" s="33"/>
      <c r="D635" s="2">
        <f>'Facility Detail'!$B$1155</f>
        <v>2013</v>
      </c>
      <c r="E635" s="2">
        <f>D635+1</f>
        <v>2014</v>
      </c>
      <c r="F635" s="2">
        <f>E635+1</f>
        <v>2015</v>
      </c>
      <c r="G635" s="2">
        <f t="shared" ref="G635:H635" si="40">F635+1</f>
        <v>2016</v>
      </c>
      <c r="H635" s="2">
        <f t="shared" si="40"/>
        <v>2017</v>
      </c>
      <c r="I635" s="32"/>
    </row>
    <row r="636" spans="1:9" hidden="1" x14ac:dyDescent="0.25">
      <c r="B636" s="71" t="s">
        <v>30</v>
      </c>
      <c r="C636" s="66"/>
      <c r="D636" s="54">
        <f>IF( $F236 = "Eligible", D633 * 'Facility Detail'!$B$1152, 0 )</f>
        <v>0</v>
      </c>
      <c r="E636" s="11">
        <f>IF( $F236 = "Eligible", E633 * 'Facility Detail'!$B$1152, 0 )</f>
        <v>0</v>
      </c>
      <c r="F636" s="127">
        <f>IF( $F236 = "Eligible", F633 * 'Facility Detail'!$B$1152, 0 )</f>
        <v>0</v>
      </c>
      <c r="G636" s="127">
        <f>IF( $F236 = "Eligible", G633 * 'Facility Detail'!$B$1152, 0 )</f>
        <v>0</v>
      </c>
      <c r="H636" s="12">
        <f>IF( $F236 = "Eligible", H633 * 'Facility Detail'!$B$1152, 0 )</f>
        <v>0</v>
      </c>
      <c r="I636" s="32"/>
    </row>
    <row r="637" spans="1:9" hidden="1" x14ac:dyDescent="0.25">
      <c r="B637" s="71" t="s">
        <v>6</v>
      </c>
      <c r="C637" s="66"/>
      <c r="D637" s="55">
        <f>IF( $G236 = "Eligible", D633, 0 )</f>
        <v>0</v>
      </c>
      <c r="E637" s="56">
        <f>IF( $G236 = "Eligible", E633, 0 )</f>
        <v>0</v>
      </c>
      <c r="F637" s="128">
        <f>IF( $G236 = "Eligible", F633, 0 )</f>
        <v>0</v>
      </c>
      <c r="G637" s="128">
        <f>IF( $G236 = "Eligible", G633, 0 )</f>
        <v>0</v>
      </c>
      <c r="H637" s="57">
        <f>IF( $G236 = "Eligible", H633, 0 )</f>
        <v>0</v>
      </c>
      <c r="I637" s="33"/>
    </row>
    <row r="638" spans="1:9" hidden="1" x14ac:dyDescent="0.25">
      <c r="B638" s="70" t="s">
        <v>141</v>
      </c>
      <c r="C638" s="69"/>
      <c r="D638" s="43">
        <f>SUM(D636:D637)</f>
        <v>0</v>
      </c>
      <c r="E638" s="44">
        <f>SUM(E636:E637)</f>
        <v>0</v>
      </c>
      <c r="F638" s="44">
        <f>SUM(F636:F637)</f>
        <v>0</v>
      </c>
      <c r="G638" s="44">
        <f t="shared" ref="G638" si="41">SUM(G636:G637)</f>
        <v>0</v>
      </c>
      <c r="H638" s="44">
        <f t="shared" ref="H638" si="42">SUM(H636:H637)</f>
        <v>0</v>
      </c>
      <c r="I638" s="33"/>
    </row>
    <row r="639" spans="1:9" hidden="1" x14ac:dyDescent="0.25">
      <c r="B639" s="33"/>
      <c r="C639" s="33"/>
      <c r="D639" s="42"/>
      <c r="E639" s="34"/>
      <c r="F639" s="34"/>
      <c r="G639" s="34"/>
      <c r="H639" s="34"/>
    </row>
    <row r="640" spans="1:9" ht="18.75" hidden="1" x14ac:dyDescent="0.3">
      <c r="A640" s="45" t="s">
        <v>50</v>
      </c>
      <c r="C640" s="33"/>
      <c r="D640" s="2">
        <f>'Facility Detail'!$B$1155</f>
        <v>2013</v>
      </c>
      <c r="E640" s="2">
        <f>D640+1</f>
        <v>2014</v>
      </c>
      <c r="F640" s="2">
        <f>E640+1</f>
        <v>2015</v>
      </c>
      <c r="G640" s="2">
        <f t="shared" ref="G640:H640" si="43">F640+1</f>
        <v>2016</v>
      </c>
      <c r="H640" s="2">
        <f t="shared" si="43"/>
        <v>2017</v>
      </c>
    </row>
    <row r="641" spans="1:9" hidden="1" x14ac:dyDescent="0.25">
      <c r="B641" s="71" t="s">
        <v>67</v>
      </c>
      <c r="C641" s="66"/>
      <c r="D641" s="161"/>
      <c r="E641" s="4"/>
      <c r="F641" s="4"/>
      <c r="G641" s="4"/>
      <c r="H641" s="5"/>
      <c r="I641" s="25"/>
    </row>
    <row r="642" spans="1:9" hidden="1" x14ac:dyDescent="0.25">
      <c r="B642" s="72" t="s">
        <v>43</v>
      </c>
      <c r="C642" s="73"/>
      <c r="D642" s="82"/>
      <c r="E642" s="162"/>
      <c r="F642" s="162"/>
      <c r="G642" s="162"/>
      <c r="H642" s="163"/>
      <c r="I642" s="24"/>
    </row>
    <row r="643" spans="1:9" hidden="1" x14ac:dyDescent="0.25">
      <c r="B643" s="83" t="s">
        <v>109</v>
      </c>
      <c r="C643" s="81"/>
      <c r="D643" s="58"/>
      <c r="E643" s="164"/>
      <c r="F643" s="164"/>
      <c r="G643" s="164"/>
      <c r="H643" s="165"/>
      <c r="I643" s="24"/>
    </row>
    <row r="644" spans="1:9" hidden="1" x14ac:dyDescent="0.25">
      <c r="B644" s="36" t="s">
        <v>110</v>
      </c>
      <c r="D644" s="7">
        <f>SUM(D641:D643)</f>
        <v>0</v>
      </c>
      <c r="E644" s="7">
        <f>SUM(E641:E643)</f>
        <v>0</v>
      </c>
      <c r="F644" s="7">
        <f>SUM(F641:F643)</f>
        <v>0</v>
      </c>
      <c r="G644" s="7"/>
      <c r="H644" s="7"/>
      <c r="I644" s="24"/>
    </row>
    <row r="645" spans="1:9" hidden="1" x14ac:dyDescent="0.25">
      <c r="B645" s="6"/>
      <c r="D645" s="7"/>
      <c r="E645" s="7"/>
      <c r="F645" s="7"/>
      <c r="G645" s="7"/>
      <c r="H645" s="7"/>
      <c r="I645" s="24"/>
    </row>
    <row r="646" spans="1:9" ht="18.75" hidden="1" x14ac:dyDescent="0.3">
      <c r="A646" s="9" t="s">
        <v>120</v>
      </c>
      <c r="D646" s="2">
        <f>'Facility Detail'!$B$1155</f>
        <v>2013</v>
      </c>
      <c r="E646" s="2">
        <f>D646+1</f>
        <v>2014</v>
      </c>
      <c r="F646" s="2">
        <f>E646+1</f>
        <v>2015</v>
      </c>
      <c r="G646" s="2">
        <f t="shared" ref="G646:H646" si="44">F646+1</f>
        <v>2016</v>
      </c>
      <c r="H646" s="2">
        <f t="shared" si="44"/>
        <v>2017</v>
      </c>
      <c r="I646" s="24"/>
    </row>
    <row r="647" spans="1:9" hidden="1" x14ac:dyDescent="0.25">
      <c r="B647" s="71" t="str">
        <f xml:space="preserve"> 'Facility Detail'!$B$1155 &amp; " Surplus Applied to " &amp; ( 'Facility Detail'!$B$1155 + 1 )</f>
        <v>2013 Surplus Applied to 2014</v>
      </c>
      <c r="C647" s="66"/>
      <c r="D647" s="3">
        <f>D633+D638-D644</f>
        <v>0</v>
      </c>
      <c r="E647" s="59">
        <f>D647</f>
        <v>0</v>
      </c>
      <c r="F647" s="135"/>
      <c r="G647" s="135"/>
      <c r="H647" s="136"/>
      <c r="I647" s="24"/>
    </row>
    <row r="648" spans="1:9" hidden="1" x14ac:dyDescent="0.25">
      <c r="B648" s="71" t="str">
        <f xml:space="preserve"> ( 'Facility Detail'!$B$1155 + 1 ) &amp; " Surplus Applied to " &amp; ( 'Facility Detail'!$B$1155 )</f>
        <v>2014 Surplus Applied to 2013</v>
      </c>
      <c r="C648" s="66"/>
      <c r="D648" s="157">
        <f>E648</f>
        <v>0</v>
      </c>
      <c r="E648" s="10">
        <v>0</v>
      </c>
      <c r="F648" s="131"/>
      <c r="G648" s="131"/>
      <c r="H648" s="137"/>
      <c r="I648" s="24"/>
    </row>
    <row r="649" spans="1:9" hidden="1" x14ac:dyDescent="0.25">
      <c r="B649" s="71" t="str">
        <f xml:space="preserve"> ( 'Facility Detail'!$B$1155 + 1 ) &amp; " Surplus Applied to " &amp; ( 'Facility Detail'!$B$1155 + 2 )</f>
        <v>2014 Surplus Applied to 2015</v>
      </c>
      <c r="C649" s="66"/>
      <c r="D649" s="132"/>
      <c r="E649" s="10">
        <f>E633+E638-E644</f>
        <v>0</v>
      </c>
      <c r="F649" s="65">
        <f>+E649</f>
        <v>0</v>
      </c>
      <c r="G649" s="131"/>
      <c r="H649" s="137"/>
      <c r="I649" s="24"/>
    </row>
    <row r="650" spans="1:9" hidden="1" x14ac:dyDescent="0.25">
      <c r="B650" s="71" t="str">
        <f xml:space="preserve"> ( 'Facility Detail'!$B$1155 + 2 ) &amp; " Surplus Applied to " &amp; ( 'Facility Detail'!$B$1155 + 1 )</f>
        <v>2015 Surplus Applied to 2014</v>
      </c>
      <c r="C650" s="66"/>
      <c r="D650" s="132"/>
      <c r="E650" s="65">
        <f>F650</f>
        <v>0</v>
      </c>
      <c r="F650" s="10">
        <v>0</v>
      </c>
      <c r="G650" s="131"/>
      <c r="H650" s="137"/>
      <c r="I650" s="24"/>
    </row>
    <row r="651" spans="1:9" hidden="1" x14ac:dyDescent="0.25">
      <c r="B651" s="71"/>
      <c r="C651" s="33"/>
      <c r="D651" s="132"/>
      <c r="E651" s="131"/>
      <c r="F651" s="10">
        <f>F633+F638-F644</f>
        <v>0</v>
      </c>
      <c r="G651" s="65">
        <f>+F651</f>
        <v>0</v>
      </c>
      <c r="H651" s="137"/>
      <c r="I651" s="24"/>
    </row>
    <row r="652" spans="1:9" hidden="1" x14ac:dyDescent="0.25">
      <c r="B652" s="71"/>
      <c r="C652" s="33"/>
      <c r="D652" s="132"/>
      <c r="E652" s="131"/>
      <c r="F652" s="65">
        <f>G652</f>
        <v>0</v>
      </c>
      <c r="G652" s="10">
        <v>0</v>
      </c>
      <c r="H652" s="137"/>
      <c r="I652" s="24"/>
    </row>
    <row r="653" spans="1:9" hidden="1" x14ac:dyDescent="0.25">
      <c r="B653" s="71"/>
      <c r="C653" s="33"/>
      <c r="D653" s="132"/>
      <c r="E653" s="131"/>
      <c r="F653" s="131"/>
      <c r="G653" s="10">
        <f>G633+G638-G644</f>
        <v>0</v>
      </c>
      <c r="H653" s="60">
        <f>+G653</f>
        <v>0</v>
      </c>
      <c r="I653" s="24"/>
    </row>
    <row r="654" spans="1:9" hidden="1" x14ac:dyDescent="0.25">
      <c r="B654" s="71"/>
      <c r="C654" s="33"/>
      <c r="D654" s="133"/>
      <c r="E654" s="134"/>
      <c r="F654" s="134"/>
      <c r="G654" s="61">
        <f>H654</f>
        <v>0</v>
      </c>
      <c r="H654" s="51">
        <v>0</v>
      </c>
      <c r="I654" s="24"/>
    </row>
    <row r="655" spans="1:9" hidden="1" x14ac:dyDescent="0.25">
      <c r="B655" s="36" t="s">
        <v>37</v>
      </c>
      <c r="D655" s="7">
        <f xml:space="preserve"> D648 - D647</f>
        <v>0</v>
      </c>
      <c r="E655" s="7">
        <f xml:space="preserve"> E647 + E650 - E649 - E648</f>
        <v>0</v>
      </c>
      <c r="F655" s="7">
        <f>F649 - F650 - F651 + F652</f>
        <v>0</v>
      </c>
      <c r="G655" s="7">
        <f>G651  - G652 - G653  + G654</f>
        <v>0</v>
      </c>
      <c r="H655" s="7">
        <f>H653 - H654</f>
        <v>0</v>
      </c>
      <c r="I655" s="24"/>
    </row>
    <row r="656" spans="1:9" hidden="1" x14ac:dyDescent="0.25">
      <c r="B656" s="6"/>
      <c r="D656" s="7"/>
      <c r="E656" s="7"/>
      <c r="F656" s="7"/>
      <c r="G656" s="7"/>
      <c r="H656" s="7"/>
      <c r="I656" s="24"/>
    </row>
    <row r="657" spans="1:9" hidden="1" x14ac:dyDescent="0.25">
      <c r="B657" s="68" t="s">
        <v>32</v>
      </c>
      <c r="C657" s="66"/>
      <c r="D657" s="90"/>
      <c r="E657" s="91"/>
      <c r="F657" s="129"/>
      <c r="G657" s="129"/>
      <c r="H657" s="92"/>
      <c r="I657" s="24"/>
    </row>
    <row r="658" spans="1:9" hidden="1" x14ac:dyDescent="0.25">
      <c r="B658" s="6"/>
      <c r="D658" s="7"/>
      <c r="E658" s="7"/>
      <c r="F658" s="7"/>
      <c r="G658" s="7"/>
      <c r="H658" s="7"/>
      <c r="I658" s="24"/>
    </row>
    <row r="659" spans="1:9" ht="18.75" hidden="1" x14ac:dyDescent="0.3">
      <c r="A659" s="45" t="s">
        <v>46</v>
      </c>
      <c r="C659" s="66"/>
      <c r="D659" s="130">
        <f xml:space="preserve"> D633 + D638 - D644 + D655 + D657</f>
        <v>0</v>
      </c>
      <c r="E659" s="130">
        <f xml:space="preserve"> E633 + E638 - E644 + E655 + E657</f>
        <v>0</v>
      </c>
      <c r="F659" s="130">
        <f xml:space="preserve"> F633 + F638 - F644 + F655 + F657</f>
        <v>0</v>
      </c>
      <c r="G659" s="130"/>
      <c r="H659" s="49"/>
      <c r="I659" s="24"/>
    </row>
    <row r="660" spans="1:9" hidden="1" x14ac:dyDescent="0.25">
      <c r="B660" s="6"/>
      <c r="D660" s="7"/>
      <c r="E660" s="7"/>
      <c r="F660" s="7"/>
      <c r="G660" s="32"/>
      <c r="H660" s="32"/>
      <c r="I660" s="24"/>
    </row>
    <row r="661" spans="1:9" hidden="1" x14ac:dyDescent="0.25">
      <c r="I661" s="32"/>
    </row>
    <row r="662" spans="1:9" hidden="1" x14ac:dyDescent="0.25">
      <c r="A662" s="8"/>
      <c r="B662" s="8"/>
      <c r="C662" s="8"/>
      <c r="D662" s="8"/>
      <c r="E662" s="8"/>
      <c r="F662" s="8"/>
      <c r="G662" s="8"/>
      <c r="H662" s="8"/>
      <c r="I662" s="32"/>
    </row>
    <row r="663" spans="1:9" hidden="1" x14ac:dyDescent="0.25">
      <c r="B663" s="33"/>
      <c r="C663" s="33"/>
      <c r="D663" s="33"/>
      <c r="E663" s="33"/>
      <c r="F663" s="33"/>
      <c r="G663" s="33"/>
      <c r="H663" s="33"/>
      <c r="I663" s="33"/>
    </row>
    <row r="664" spans="1:9" ht="21" hidden="1" x14ac:dyDescent="0.35">
      <c r="A664" s="13" t="s">
        <v>4</v>
      </c>
      <c r="B664" s="13"/>
      <c r="C664" s="46" t="str">
        <f>B21</f>
        <v>Facility 18</v>
      </c>
      <c r="D664" s="47"/>
      <c r="E664" s="23"/>
      <c r="F664" s="23"/>
      <c r="I664" s="33"/>
    </row>
    <row r="665" spans="1:9" hidden="1" x14ac:dyDescent="0.25"/>
    <row r="666" spans="1:9" ht="18.75" hidden="1" x14ac:dyDescent="0.3">
      <c r="A666" s="9" t="s">
        <v>41</v>
      </c>
      <c r="B666" s="9"/>
      <c r="D666" s="2">
        <f>'Facility Detail'!$B$1155</f>
        <v>2013</v>
      </c>
      <c r="E666" s="2">
        <f>D666+1</f>
        <v>2014</v>
      </c>
      <c r="F666" s="2">
        <f>E666+1</f>
        <v>2015</v>
      </c>
      <c r="G666" s="2">
        <f t="shared" ref="G666:H666" si="45">F666+1</f>
        <v>2016</v>
      </c>
      <c r="H666" s="2">
        <f t="shared" si="45"/>
        <v>2017</v>
      </c>
      <c r="I666" s="25"/>
    </row>
    <row r="667" spans="1:9" hidden="1" x14ac:dyDescent="0.25">
      <c r="B667" s="71" t="str">
        <f>"Total MWh Produced / Purchased from " &amp; C664</f>
        <v>Total MWh Produced / Purchased from Facility 18</v>
      </c>
      <c r="C667" s="66"/>
      <c r="D667" s="3"/>
      <c r="E667" s="4"/>
      <c r="F667" s="4"/>
      <c r="G667" s="4"/>
      <c r="H667" s="5"/>
      <c r="I667" s="24"/>
    </row>
    <row r="668" spans="1:9" hidden="1" x14ac:dyDescent="0.25">
      <c r="B668" s="71" t="s">
        <v>45</v>
      </c>
      <c r="C668" s="66"/>
      <c r="D668" s="155"/>
      <c r="E668" s="154"/>
      <c r="F668" s="154"/>
      <c r="G668" s="154"/>
      <c r="H668" s="156"/>
      <c r="I668" s="24"/>
    </row>
    <row r="669" spans="1:9" hidden="1" x14ac:dyDescent="0.25">
      <c r="B669" s="71" t="s">
        <v>40</v>
      </c>
      <c r="C669" s="66"/>
      <c r="D669" s="146"/>
      <c r="E669" s="52"/>
      <c r="F669" s="52"/>
      <c r="G669" s="52"/>
      <c r="H669" s="53"/>
      <c r="I669" s="24"/>
    </row>
    <row r="670" spans="1:9" hidden="1" x14ac:dyDescent="0.25">
      <c r="B670" s="68" t="s">
        <v>42</v>
      </c>
      <c r="C670" s="69"/>
      <c r="D670" s="41">
        <f xml:space="preserve"> D667 * D668 * D669</f>
        <v>0</v>
      </c>
      <c r="E670" s="153">
        <f xml:space="preserve"> E667 * E668 * E669</f>
        <v>0</v>
      </c>
      <c r="F670" s="153">
        <f xml:space="preserve"> F667 * F668 * F669</f>
        <v>0</v>
      </c>
      <c r="G670" s="153"/>
      <c r="H670" s="153"/>
      <c r="I670" s="24"/>
    </row>
    <row r="671" spans="1:9" hidden="1" x14ac:dyDescent="0.25">
      <c r="B671" s="23"/>
      <c r="C671" s="33"/>
      <c r="D671" s="40"/>
      <c r="E671" s="40"/>
      <c r="F671" s="40"/>
      <c r="G671" s="40"/>
      <c r="H671" s="40"/>
      <c r="I671" s="24"/>
    </row>
    <row r="672" spans="1:9" ht="18.75" hidden="1" x14ac:dyDescent="0.3">
      <c r="A672" s="48" t="s">
        <v>139</v>
      </c>
      <c r="C672" s="33"/>
      <c r="D672" s="2">
        <f>'Facility Detail'!$B$1155</f>
        <v>2013</v>
      </c>
      <c r="E672" s="2">
        <f>D672+1</f>
        <v>2014</v>
      </c>
      <c r="F672" s="2">
        <f>E672+1</f>
        <v>2015</v>
      </c>
      <c r="G672" s="2">
        <f t="shared" ref="G672:H672" si="46">F672+1</f>
        <v>2016</v>
      </c>
      <c r="H672" s="2">
        <f t="shared" si="46"/>
        <v>2017</v>
      </c>
      <c r="I672" s="24"/>
    </row>
    <row r="673" spans="1:9" hidden="1" x14ac:dyDescent="0.25">
      <c r="B673" s="71" t="s">
        <v>30</v>
      </c>
      <c r="C673" s="66"/>
      <c r="D673" s="54">
        <f>IF( $F273 = "Eligible", D670 * 'Facility Detail'!$B$1152, 0 )</f>
        <v>0</v>
      </c>
      <c r="E673" s="11">
        <f>IF( $F273 = "Eligible", E670 * 'Facility Detail'!$B$1152, 0 )</f>
        <v>0</v>
      </c>
      <c r="F673" s="127">
        <f>IF( $F273 = "Eligible", F670 * 'Facility Detail'!$B$1152, 0 )</f>
        <v>0</v>
      </c>
      <c r="G673" s="127">
        <f>IF( $F273 = "Eligible", G670 * 'Facility Detail'!$B$1152, 0 )</f>
        <v>0</v>
      </c>
      <c r="H673" s="12">
        <f>IF( $F273 = "Eligible", H670 * 'Facility Detail'!$B$1152, 0 )</f>
        <v>0</v>
      </c>
      <c r="I673" s="24"/>
    </row>
    <row r="674" spans="1:9" hidden="1" x14ac:dyDescent="0.25">
      <c r="B674" s="71" t="s">
        <v>6</v>
      </c>
      <c r="C674" s="66"/>
      <c r="D674" s="55">
        <f>IF( $G273 = "Eligible", D670, 0 )</f>
        <v>0</v>
      </c>
      <c r="E674" s="56">
        <f>IF( $G273 = "Eligible", E670, 0 )</f>
        <v>0</v>
      </c>
      <c r="F674" s="128">
        <f>IF( $G273 = "Eligible", F670, 0 )</f>
        <v>0</v>
      </c>
      <c r="G674" s="128">
        <f>IF( $G273 = "Eligible", G670, 0 )</f>
        <v>0</v>
      </c>
      <c r="H674" s="57">
        <f>IF( $G273 = "Eligible", H670, 0 )</f>
        <v>0</v>
      </c>
      <c r="I674" s="32"/>
    </row>
    <row r="675" spans="1:9" hidden="1" x14ac:dyDescent="0.25">
      <c r="B675" s="70" t="s">
        <v>141</v>
      </c>
      <c r="C675" s="69"/>
      <c r="D675" s="43">
        <f>SUM(D673:D674)</f>
        <v>0</v>
      </c>
      <c r="E675" s="44">
        <f>SUM(E673:E674)</f>
        <v>0</v>
      </c>
      <c r="F675" s="44">
        <f>SUM(F673:F674)</f>
        <v>0</v>
      </c>
      <c r="G675" s="44">
        <f t="shared" ref="G675" si="47">SUM(G673:G674)</f>
        <v>0</v>
      </c>
      <c r="H675" s="44">
        <f t="shared" ref="H675" si="48">SUM(H673:H674)</f>
        <v>0</v>
      </c>
      <c r="I675" s="32"/>
    </row>
    <row r="676" spans="1:9" hidden="1" x14ac:dyDescent="0.25">
      <c r="B676" s="33"/>
      <c r="C676" s="33"/>
      <c r="D676" s="42"/>
      <c r="E676" s="34"/>
      <c r="F676" s="34"/>
      <c r="G676" s="34"/>
      <c r="H676" s="34"/>
      <c r="I676" s="32"/>
    </row>
    <row r="677" spans="1:9" ht="18.75" hidden="1" x14ac:dyDescent="0.3">
      <c r="A677" s="45" t="s">
        <v>50</v>
      </c>
      <c r="C677" s="33"/>
      <c r="D677" s="2">
        <f>'Facility Detail'!$B$1155</f>
        <v>2013</v>
      </c>
      <c r="E677" s="2">
        <f>D677+1</f>
        <v>2014</v>
      </c>
      <c r="F677" s="2">
        <f>E677+1</f>
        <v>2015</v>
      </c>
      <c r="G677" s="2">
        <f t="shared" ref="G677:H677" si="49">F677+1</f>
        <v>2016</v>
      </c>
      <c r="H677" s="2">
        <f t="shared" si="49"/>
        <v>2017</v>
      </c>
      <c r="I677" s="33"/>
    </row>
    <row r="678" spans="1:9" hidden="1" x14ac:dyDescent="0.25">
      <c r="B678" s="71" t="s">
        <v>67</v>
      </c>
      <c r="C678" s="66"/>
      <c r="D678" s="161"/>
      <c r="E678" s="4"/>
      <c r="F678" s="4"/>
      <c r="G678" s="4"/>
      <c r="H678" s="5"/>
      <c r="I678" s="33"/>
    </row>
    <row r="679" spans="1:9" hidden="1" x14ac:dyDescent="0.25">
      <c r="B679" s="72" t="s">
        <v>43</v>
      </c>
      <c r="C679" s="73"/>
      <c r="D679" s="82"/>
      <c r="E679" s="162"/>
      <c r="F679" s="162"/>
      <c r="G679" s="162"/>
      <c r="H679" s="163"/>
    </row>
    <row r="680" spans="1:9" hidden="1" x14ac:dyDescent="0.25">
      <c r="B680" s="83" t="s">
        <v>109</v>
      </c>
      <c r="C680" s="81"/>
      <c r="D680" s="58"/>
      <c r="E680" s="164"/>
      <c r="F680" s="164"/>
      <c r="G680" s="164"/>
      <c r="H680" s="165"/>
    </row>
    <row r="681" spans="1:9" hidden="1" x14ac:dyDescent="0.25">
      <c r="B681" s="36" t="s">
        <v>110</v>
      </c>
      <c r="D681" s="7">
        <f>SUM(D678:D680)</f>
        <v>0</v>
      </c>
      <c r="E681" s="7">
        <f>SUM(E678:E680)</f>
        <v>0</v>
      </c>
      <c r="F681" s="7">
        <f>SUM(F678:F680)</f>
        <v>0</v>
      </c>
      <c r="G681" s="7"/>
      <c r="H681" s="7"/>
    </row>
    <row r="682" spans="1:9" hidden="1" x14ac:dyDescent="0.25">
      <c r="B682" s="6"/>
      <c r="D682" s="7"/>
      <c r="E682" s="7"/>
      <c r="F682" s="7"/>
      <c r="G682" s="7"/>
      <c r="H682" s="7"/>
      <c r="I682" s="25"/>
    </row>
    <row r="683" spans="1:9" ht="18.75" hidden="1" x14ac:dyDescent="0.3">
      <c r="A683" s="9" t="s">
        <v>120</v>
      </c>
      <c r="D683" s="2">
        <f>'Facility Detail'!$B$1155</f>
        <v>2013</v>
      </c>
      <c r="E683" s="2">
        <f>D683+1</f>
        <v>2014</v>
      </c>
      <c r="F683" s="2">
        <f>E683+1</f>
        <v>2015</v>
      </c>
      <c r="G683" s="2">
        <f t="shared" ref="G683:H683" si="50">F683+1</f>
        <v>2016</v>
      </c>
      <c r="H683" s="2">
        <f t="shared" si="50"/>
        <v>2017</v>
      </c>
      <c r="I683" s="25"/>
    </row>
    <row r="684" spans="1:9" hidden="1" x14ac:dyDescent="0.25">
      <c r="B684" s="71" t="str">
        <f xml:space="preserve"> 'Facility Detail'!$B$1155 &amp; " Surplus Applied to " &amp; ( 'Facility Detail'!$B$1155 + 1 )</f>
        <v>2013 Surplus Applied to 2014</v>
      </c>
      <c r="C684" s="66"/>
      <c r="D684" s="3">
        <f>D670+D675-D681</f>
        <v>0</v>
      </c>
      <c r="E684" s="59">
        <f>D684</f>
        <v>0</v>
      </c>
      <c r="F684" s="135"/>
      <c r="G684" s="135"/>
      <c r="H684" s="136"/>
      <c r="I684" s="25"/>
    </row>
    <row r="685" spans="1:9" hidden="1" x14ac:dyDescent="0.25">
      <c r="B685" s="71" t="str">
        <f xml:space="preserve"> ( 'Facility Detail'!$B$1155 + 1 ) &amp; " Surplus Applied to " &amp; ( 'Facility Detail'!$B$1155 )</f>
        <v>2014 Surplus Applied to 2013</v>
      </c>
      <c r="C685" s="66"/>
      <c r="D685" s="157">
        <f>E685</f>
        <v>0</v>
      </c>
      <c r="E685" s="10">
        <v>0</v>
      </c>
      <c r="F685" s="131"/>
      <c r="G685" s="131"/>
      <c r="H685" s="137"/>
      <c r="I685" s="25"/>
    </row>
    <row r="686" spans="1:9" hidden="1" x14ac:dyDescent="0.25">
      <c r="B686" s="71" t="str">
        <f xml:space="preserve"> ( 'Facility Detail'!$B$1155 + 1 ) &amp; " Surplus Applied to " &amp; ( 'Facility Detail'!$B$1155 + 2 )</f>
        <v>2014 Surplus Applied to 2015</v>
      </c>
      <c r="C686" s="66"/>
      <c r="D686" s="132"/>
      <c r="E686" s="10">
        <f>E670+E675-E681</f>
        <v>0</v>
      </c>
      <c r="F686" s="65">
        <f>+E686</f>
        <v>0</v>
      </c>
      <c r="G686" s="131"/>
      <c r="H686" s="137"/>
      <c r="I686" s="25"/>
    </row>
    <row r="687" spans="1:9" hidden="1" x14ac:dyDescent="0.25">
      <c r="B687" s="71" t="str">
        <f xml:space="preserve"> ( 'Facility Detail'!$B$1155 + 2 ) &amp; " Surplus Applied to " &amp; ( 'Facility Detail'!$B$1155 + 1 )</f>
        <v>2015 Surplus Applied to 2014</v>
      </c>
      <c r="C687" s="66"/>
      <c r="D687" s="132"/>
      <c r="E687" s="65">
        <f>F687</f>
        <v>0</v>
      </c>
      <c r="F687" s="10">
        <v>0</v>
      </c>
      <c r="G687" s="131"/>
      <c r="H687" s="137"/>
      <c r="I687" s="25"/>
    </row>
    <row r="688" spans="1:9" hidden="1" x14ac:dyDescent="0.25">
      <c r="B688" s="71"/>
      <c r="C688" s="33"/>
      <c r="D688" s="132"/>
      <c r="E688" s="131"/>
      <c r="F688" s="10">
        <f>F670+F675-F681</f>
        <v>0</v>
      </c>
      <c r="G688" s="65">
        <f>+F688</f>
        <v>0</v>
      </c>
      <c r="H688" s="137"/>
      <c r="I688" s="25"/>
    </row>
    <row r="689" spans="1:9" hidden="1" x14ac:dyDescent="0.25">
      <c r="B689" s="71"/>
      <c r="C689" s="33"/>
      <c r="D689" s="132"/>
      <c r="E689" s="131"/>
      <c r="F689" s="65">
        <f>G689</f>
        <v>0</v>
      </c>
      <c r="G689" s="10">
        <v>0</v>
      </c>
      <c r="H689" s="137"/>
      <c r="I689" s="25"/>
    </row>
    <row r="690" spans="1:9" hidden="1" x14ac:dyDescent="0.25">
      <c r="B690" s="71"/>
      <c r="C690" s="33"/>
      <c r="D690" s="132"/>
      <c r="E690" s="131"/>
      <c r="F690" s="131"/>
      <c r="G690" s="10">
        <f>G670+G675-G681</f>
        <v>0</v>
      </c>
      <c r="H690" s="60">
        <f>+G690</f>
        <v>0</v>
      </c>
      <c r="I690" s="25"/>
    </row>
    <row r="691" spans="1:9" hidden="1" x14ac:dyDescent="0.25">
      <c r="B691" s="71"/>
      <c r="C691" s="33"/>
      <c r="D691" s="133"/>
      <c r="E691" s="134"/>
      <c r="F691" s="134"/>
      <c r="G691" s="61">
        <f>H691</f>
        <v>0</v>
      </c>
      <c r="H691" s="51">
        <v>0</v>
      </c>
      <c r="I691" s="25"/>
    </row>
    <row r="692" spans="1:9" hidden="1" x14ac:dyDescent="0.25">
      <c r="B692" s="36" t="s">
        <v>37</v>
      </c>
      <c r="D692" s="7">
        <f xml:space="preserve"> D685 - D684</f>
        <v>0</v>
      </c>
      <c r="E692" s="7">
        <f xml:space="preserve"> E684 + E687 - E686 - E685</f>
        <v>0</v>
      </c>
      <c r="F692" s="7">
        <f>F686 - F687 - F688 + F689</f>
        <v>0</v>
      </c>
      <c r="G692" s="7">
        <f>G688  - G689 - G690  + G691</f>
        <v>0</v>
      </c>
      <c r="H692" s="7">
        <f>H690 - H691</f>
        <v>0</v>
      </c>
      <c r="I692" s="25"/>
    </row>
    <row r="693" spans="1:9" hidden="1" x14ac:dyDescent="0.25">
      <c r="B693" s="6"/>
      <c r="D693" s="7"/>
      <c r="E693" s="7"/>
      <c r="F693" s="7"/>
      <c r="G693" s="7"/>
      <c r="H693" s="7"/>
      <c r="I693" s="25"/>
    </row>
    <row r="694" spans="1:9" hidden="1" x14ac:dyDescent="0.25">
      <c r="B694" s="68" t="s">
        <v>32</v>
      </c>
      <c r="C694" s="66"/>
      <c r="D694" s="90"/>
      <c r="E694" s="91"/>
      <c r="F694" s="129"/>
      <c r="G694" s="129"/>
      <c r="H694" s="92"/>
      <c r="I694" s="25"/>
    </row>
    <row r="695" spans="1:9" hidden="1" x14ac:dyDescent="0.25">
      <c r="B695" s="6"/>
      <c r="D695" s="7"/>
      <c r="E695" s="7"/>
      <c r="F695" s="7"/>
      <c r="G695" s="7"/>
      <c r="H695" s="7"/>
      <c r="I695" s="25"/>
    </row>
    <row r="696" spans="1:9" ht="18.75" hidden="1" x14ac:dyDescent="0.3">
      <c r="A696" s="45" t="s">
        <v>46</v>
      </c>
      <c r="C696" s="66"/>
      <c r="D696" s="130">
        <f xml:space="preserve"> D670 + D675 - D681 + D692 + D694</f>
        <v>0</v>
      </c>
      <c r="E696" s="130">
        <f xml:space="preserve"> E670 + E675 - E681 + E692 + E694</f>
        <v>0</v>
      </c>
      <c r="F696" s="130">
        <f xml:space="preserve"> F670 + F675 - F681 + F692 + F694</f>
        <v>0</v>
      </c>
      <c r="G696" s="130"/>
      <c r="H696" s="49"/>
      <c r="I696" s="24"/>
    </row>
    <row r="697" spans="1:9" hidden="1" x14ac:dyDescent="0.25">
      <c r="B697" s="6"/>
      <c r="D697" s="7"/>
      <c r="E697" s="7"/>
      <c r="F697" s="7"/>
      <c r="G697" s="32"/>
      <c r="H697" s="32"/>
      <c r="I697" s="24"/>
    </row>
    <row r="698" spans="1:9" hidden="1" x14ac:dyDescent="0.25">
      <c r="I698" s="24"/>
    </row>
    <row r="699" spans="1:9" hidden="1" x14ac:dyDescent="0.25">
      <c r="A699" s="8"/>
      <c r="B699" s="8"/>
      <c r="C699" s="8"/>
      <c r="D699" s="8"/>
      <c r="E699" s="8"/>
      <c r="F699" s="8"/>
      <c r="G699" s="8"/>
      <c r="H699" s="8"/>
      <c r="I699" s="24"/>
    </row>
    <row r="700" spans="1:9" hidden="1" x14ac:dyDescent="0.25">
      <c r="B700" s="33"/>
      <c r="C700" s="33"/>
      <c r="D700" s="33"/>
      <c r="E700" s="33"/>
      <c r="F700" s="33"/>
      <c r="G700" s="33"/>
      <c r="H700" s="33"/>
      <c r="I700" s="32"/>
    </row>
    <row r="701" spans="1:9" ht="21" hidden="1" x14ac:dyDescent="0.35">
      <c r="A701" s="13" t="s">
        <v>4</v>
      </c>
      <c r="B701" s="13"/>
      <c r="C701" s="46" t="str">
        <f>B22</f>
        <v>Facility 19</v>
      </c>
      <c r="D701" s="47"/>
      <c r="E701" s="23"/>
      <c r="F701" s="23"/>
      <c r="I701" s="32"/>
    </row>
    <row r="702" spans="1:9" hidden="1" x14ac:dyDescent="0.25">
      <c r="I702" s="32"/>
    </row>
    <row r="703" spans="1:9" ht="18.75" hidden="1" x14ac:dyDescent="0.3">
      <c r="A703" s="9" t="s">
        <v>41</v>
      </c>
      <c r="B703" s="9"/>
      <c r="D703" s="2">
        <f>'Facility Detail'!$B$1155</f>
        <v>2013</v>
      </c>
      <c r="E703" s="2">
        <f>D703+1</f>
        <v>2014</v>
      </c>
      <c r="F703" s="2">
        <f>E703+1</f>
        <v>2015</v>
      </c>
      <c r="G703" s="2">
        <f t="shared" ref="G703:H703" si="51">F703+1</f>
        <v>2016</v>
      </c>
      <c r="H703" s="2">
        <f t="shared" si="51"/>
        <v>2017</v>
      </c>
      <c r="I703" s="33"/>
    </row>
    <row r="704" spans="1:9" hidden="1" x14ac:dyDescent="0.25">
      <c r="B704" s="71" t="str">
        <f>"Total MWh Produced / Purchased from " &amp; C701</f>
        <v>Total MWh Produced / Purchased from Facility 19</v>
      </c>
      <c r="C704" s="66"/>
      <c r="D704" s="3"/>
      <c r="E704" s="4"/>
      <c r="F704" s="4"/>
      <c r="G704" s="4"/>
      <c r="H704" s="5"/>
      <c r="I704" s="33"/>
    </row>
    <row r="705" spans="1:9" hidden="1" x14ac:dyDescent="0.25">
      <c r="B705" s="71" t="s">
        <v>45</v>
      </c>
      <c r="C705" s="66"/>
      <c r="D705" s="155"/>
      <c r="E705" s="154"/>
      <c r="F705" s="154"/>
      <c r="G705" s="154"/>
      <c r="H705" s="156"/>
      <c r="I705" s="33"/>
    </row>
    <row r="706" spans="1:9" hidden="1" x14ac:dyDescent="0.25">
      <c r="B706" s="71" t="s">
        <v>40</v>
      </c>
      <c r="C706" s="66"/>
      <c r="D706" s="146"/>
      <c r="E706" s="52"/>
      <c r="F706" s="52"/>
      <c r="G706" s="52"/>
      <c r="H706" s="53"/>
    </row>
    <row r="707" spans="1:9" hidden="1" x14ac:dyDescent="0.25">
      <c r="B707" s="68" t="s">
        <v>42</v>
      </c>
      <c r="C707" s="69"/>
      <c r="D707" s="41">
        <f xml:space="preserve"> D704 * D705 * D706</f>
        <v>0</v>
      </c>
      <c r="E707" s="153">
        <f xml:space="preserve"> E704 * E705 * E706</f>
        <v>0</v>
      </c>
      <c r="F707" s="153">
        <f xml:space="preserve"> F704 * F705 * F706</f>
        <v>0</v>
      </c>
      <c r="G707" s="153"/>
      <c r="H707" s="153"/>
      <c r="I707" s="25"/>
    </row>
    <row r="708" spans="1:9" hidden="1" x14ac:dyDescent="0.25">
      <c r="B708" s="23"/>
      <c r="C708" s="33"/>
      <c r="D708" s="40"/>
      <c r="E708" s="40"/>
      <c r="F708" s="40"/>
      <c r="G708" s="40"/>
      <c r="H708" s="40"/>
      <c r="I708" s="24"/>
    </row>
    <row r="709" spans="1:9" ht="18.75" hidden="1" x14ac:dyDescent="0.3">
      <c r="A709" s="48" t="s">
        <v>139</v>
      </c>
      <c r="C709" s="33"/>
      <c r="D709" s="2">
        <f>'Facility Detail'!$B$1155</f>
        <v>2013</v>
      </c>
      <c r="E709" s="2">
        <f>D709+1</f>
        <v>2014</v>
      </c>
      <c r="F709" s="2">
        <f>E709+1</f>
        <v>2015</v>
      </c>
      <c r="G709" s="2">
        <f t="shared" ref="G709:H709" si="52">F709+1</f>
        <v>2016</v>
      </c>
      <c r="H709" s="2">
        <f t="shared" si="52"/>
        <v>2017</v>
      </c>
      <c r="I709" s="24"/>
    </row>
    <row r="710" spans="1:9" hidden="1" x14ac:dyDescent="0.25">
      <c r="B710" s="71" t="s">
        <v>30</v>
      </c>
      <c r="C710" s="66"/>
      <c r="D710" s="54">
        <f>IF( $F310 = "Eligible", D707 * 'Facility Detail'!$B$1152, 0 )</f>
        <v>0</v>
      </c>
      <c r="E710" s="11">
        <f>IF( $F310 = "Eligible", E707 * 'Facility Detail'!$B$1152, 0 )</f>
        <v>0</v>
      </c>
      <c r="F710" s="127">
        <f>IF( $F310 = "Eligible", F707 * 'Facility Detail'!$B$1152, 0 )</f>
        <v>0</v>
      </c>
      <c r="G710" s="127">
        <f>IF( $F310 = "Eligible", G707 * 'Facility Detail'!$B$1152, 0 )</f>
        <v>0</v>
      </c>
      <c r="H710" s="12">
        <f>IF( $F310 = "Eligible", H707 * 'Facility Detail'!$B$1152, 0 )</f>
        <v>0</v>
      </c>
      <c r="I710" s="24"/>
    </row>
    <row r="711" spans="1:9" hidden="1" x14ac:dyDescent="0.25">
      <c r="B711" s="71" t="s">
        <v>6</v>
      </c>
      <c r="C711" s="66"/>
      <c r="D711" s="55">
        <f>IF( $G310 = "Eligible", D707, 0 )</f>
        <v>0</v>
      </c>
      <c r="E711" s="56">
        <f>IF( $G310 = "Eligible", E707, 0 )</f>
        <v>0</v>
      </c>
      <c r="F711" s="128">
        <f>IF( $G310 = "Eligible", F707, 0 )</f>
        <v>0</v>
      </c>
      <c r="G711" s="128">
        <f>IF( $G310 = "Eligible", G707, 0 )</f>
        <v>0</v>
      </c>
      <c r="H711" s="57">
        <f>IF( $G310 = "Eligible", H707, 0 )</f>
        <v>0</v>
      </c>
      <c r="I711" s="24"/>
    </row>
    <row r="712" spans="1:9" hidden="1" x14ac:dyDescent="0.25">
      <c r="B712" s="70" t="s">
        <v>141</v>
      </c>
      <c r="C712" s="69"/>
      <c r="D712" s="43">
        <f>SUM(D710:D711)</f>
        <v>0</v>
      </c>
      <c r="E712" s="44">
        <f>SUM(E710:E711)</f>
        <v>0</v>
      </c>
      <c r="F712" s="44">
        <f>SUM(F710:F711)</f>
        <v>0</v>
      </c>
      <c r="G712" s="44">
        <f t="shared" ref="G712" si="53">SUM(G710:G711)</f>
        <v>0</v>
      </c>
      <c r="H712" s="44">
        <f t="shared" ref="H712" si="54">SUM(H710:H711)</f>
        <v>0</v>
      </c>
      <c r="I712" s="24"/>
    </row>
    <row r="713" spans="1:9" hidden="1" x14ac:dyDescent="0.25">
      <c r="B713" s="33"/>
      <c r="C713" s="33"/>
      <c r="D713" s="42"/>
      <c r="E713" s="34"/>
      <c r="F713" s="34"/>
      <c r="G713" s="34"/>
      <c r="H713" s="34"/>
      <c r="I713" s="24"/>
    </row>
    <row r="714" spans="1:9" ht="18.75" hidden="1" x14ac:dyDescent="0.3">
      <c r="A714" s="45" t="s">
        <v>50</v>
      </c>
      <c r="C714" s="33"/>
      <c r="D714" s="2">
        <f>'Facility Detail'!$B$1155</f>
        <v>2013</v>
      </c>
      <c r="E714" s="2">
        <f>D714+1</f>
        <v>2014</v>
      </c>
      <c r="F714" s="2">
        <f>E714+1</f>
        <v>2015</v>
      </c>
      <c r="G714" s="2">
        <f t="shared" ref="G714:H714" si="55">F714+1</f>
        <v>2016</v>
      </c>
      <c r="H714" s="2">
        <f t="shared" si="55"/>
        <v>2017</v>
      </c>
      <c r="I714" s="32"/>
    </row>
    <row r="715" spans="1:9" hidden="1" x14ac:dyDescent="0.25">
      <c r="B715" s="71" t="s">
        <v>67</v>
      </c>
      <c r="C715" s="66"/>
      <c r="D715" s="161"/>
      <c r="E715" s="4"/>
      <c r="F715" s="4"/>
      <c r="G715" s="4"/>
      <c r="H715" s="5"/>
      <c r="I715" s="32"/>
    </row>
    <row r="716" spans="1:9" hidden="1" x14ac:dyDescent="0.25">
      <c r="B716" s="72" t="s">
        <v>43</v>
      </c>
      <c r="C716" s="73"/>
      <c r="D716" s="82"/>
      <c r="E716" s="162"/>
      <c r="F716" s="162"/>
      <c r="G716" s="162"/>
      <c r="H716" s="163"/>
      <c r="I716" s="32"/>
    </row>
    <row r="717" spans="1:9" hidden="1" x14ac:dyDescent="0.25">
      <c r="B717" s="83" t="s">
        <v>109</v>
      </c>
      <c r="C717" s="81"/>
      <c r="D717" s="58"/>
      <c r="E717" s="164"/>
      <c r="F717" s="164"/>
      <c r="G717" s="164"/>
      <c r="H717" s="165"/>
      <c r="I717" s="32"/>
    </row>
    <row r="718" spans="1:9" hidden="1" x14ac:dyDescent="0.25">
      <c r="B718" s="36" t="s">
        <v>110</v>
      </c>
      <c r="D718" s="7">
        <f>SUM(D715:D717)</f>
        <v>0</v>
      </c>
      <c r="E718" s="7">
        <f>SUM(E715:E717)</f>
        <v>0</v>
      </c>
      <c r="F718" s="7">
        <f>SUM(F715:F717)</f>
        <v>0</v>
      </c>
      <c r="G718" s="7"/>
      <c r="H718" s="7"/>
      <c r="I718" s="33"/>
    </row>
    <row r="719" spans="1:9" hidden="1" x14ac:dyDescent="0.25">
      <c r="B719" s="6"/>
      <c r="D719" s="7"/>
      <c r="E719" s="7"/>
      <c r="F719" s="7"/>
      <c r="G719" s="7"/>
      <c r="H719" s="7"/>
      <c r="I719" s="33"/>
    </row>
    <row r="720" spans="1:9" ht="18.75" hidden="1" x14ac:dyDescent="0.3">
      <c r="A720" s="9" t="s">
        <v>120</v>
      </c>
      <c r="D720" s="2">
        <f>'Facility Detail'!$B$1155</f>
        <v>2013</v>
      </c>
      <c r="E720" s="2">
        <f>D720+1</f>
        <v>2014</v>
      </c>
      <c r="F720" s="2">
        <f>E720+1</f>
        <v>2015</v>
      </c>
      <c r="G720" s="2">
        <f t="shared" ref="G720:H720" si="56">F720+1</f>
        <v>2016</v>
      </c>
      <c r="H720" s="2">
        <f t="shared" si="56"/>
        <v>2017</v>
      </c>
      <c r="I720" s="33"/>
    </row>
    <row r="721" spans="1:9" hidden="1" x14ac:dyDescent="0.25">
      <c r="B721" s="71" t="str">
        <f xml:space="preserve"> 'Facility Detail'!$B$1155 &amp; " Surplus Applied to " &amp; ( 'Facility Detail'!$B$1155 + 1 )</f>
        <v>2013 Surplus Applied to 2014</v>
      </c>
      <c r="C721" s="66"/>
      <c r="D721" s="3">
        <f>D707+D712-D718</f>
        <v>0</v>
      </c>
      <c r="E721" s="59">
        <f>D721</f>
        <v>0</v>
      </c>
      <c r="F721" s="135"/>
      <c r="G721" s="135"/>
      <c r="H721" s="136"/>
      <c r="I721" s="33"/>
    </row>
    <row r="722" spans="1:9" hidden="1" x14ac:dyDescent="0.25">
      <c r="B722" s="71" t="str">
        <f xml:space="preserve"> ( 'Facility Detail'!$B$1155 + 1 ) &amp; " Surplus Applied to " &amp; ( 'Facility Detail'!$B$1155 )</f>
        <v>2014 Surplus Applied to 2013</v>
      </c>
      <c r="C722" s="66"/>
      <c r="D722" s="157">
        <f>E722</f>
        <v>0</v>
      </c>
      <c r="E722" s="10">
        <v>0</v>
      </c>
      <c r="F722" s="131"/>
      <c r="G722" s="131"/>
      <c r="H722" s="137"/>
      <c r="I722" s="33"/>
    </row>
    <row r="723" spans="1:9" hidden="1" x14ac:dyDescent="0.25">
      <c r="B723" s="71" t="str">
        <f xml:space="preserve"> ( 'Facility Detail'!$B$1155 + 1 ) &amp; " Surplus Applied to " &amp; ( 'Facility Detail'!$B$1155 + 2 )</f>
        <v>2014 Surplus Applied to 2015</v>
      </c>
      <c r="C723" s="66"/>
      <c r="D723" s="132"/>
      <c r="E723" s="10">
        <f>E707+E712-E718</f>
        <v>0</v>
      </c>
      <c r="F723" s="65">
        <f>+E723</f>
        <v>0</v>
      </c>
      <c r="G723" s="131"/>
      <c r="H723" s="137"/>
      <c r="I723" s="33"/>
    </row>
    <row r="724" spans="1:9" hidden="1" x14ac:dyDescent="0.25">
      <c r="B724" s="71" t="str">
        <f xml:space="preserve"> ( 'Facility Detail'!$B$1155 + 2 ) &amp; " Surplus Applied to " &amp; ( 'Facility Detail'!$B$1155 + 1 )</f>
        <v>2015 Surplus Applied to 2014</v>
      </c>
      <c r="C724" s="66"/>
      <c r="D724" s="132"/>
      <c r="E724" s="65">
        <f>F724</f>
        <v>0</v>
      </c>
      <c r="F724" s="10">
        <v>0</v>
      </c>
      <c r="G724" s="131"/>
      <c r="H724" s="137"/>
      <c r="I724" s="33"/>
    </row>
    <row r="725" spans="1:9" hidden="1" x14ac:dyDescent="0.25">
      <c r="B725" s="71"/>
      <c r="C725" s="33"/>
      <c r="D725" s="132"/>
      <c r="E725" s="131"/>
      <c r="F725" s="10">
        <f>F707+F712-F718</f>
        <v>0</v>
      </c>
      <c r="G725" s="65">
        <f>+F725</f>
        <v>0</v>
      </c>
      <c r="H725" s="137"/>
      <c r="I725" s="33"/>
    </row>
    <row r="726" spans="1:9" hidden="1" x14ac:dyDescent="0.25">
      <c r="B726" s="71"/>
      <c r="C726" s="33"/>
      <c r="D726" s="132"/>
      <c r="E726" s="131"/>
      <c r="F726" s="65">
        <f>G726</f>
        <v>0</v>
      </c>
      <c r="G726" s="10">
        <v>0</v>
      </c>
      <c r="H726" s="137"/>
      <c r="I726" s="33"/>
    </row>
    <row r="727" spans="1:9" hidden="1" x14ac:dyDescent="0.25">
      <c r="B727" s="71"/>
      <c r="C727" s="33"/>
      <c r="D727" s="132"/>
      <c r="E727" s="131"/>
      <c r="F727" s="131"/>
      <c r="G727" s="10">
        <f>G707+G712-G718</f>
        <v>0</v>
      </c>
      <c r="H727" s="60">
        <f>+G727</f>
        <v>0</v>
      </c>
      <c r="I727" s="33"/>
    </row>
    <row r="728" spans="1:9" hidden="1" x14ac:dyDescent="0.25">
      <c r="B728" s="71"/>
      <c r="C728" s="33"/>
      <c r="D728" s="133"/>
      <c r="E728" s="134"/>
      <c r="F728" s="134"/>
      <c r="G728" s="61">
        <f>H728</f>
        <v>0</v>
      </c>
      <c r="H728" s="51">
        <v>0</v>
      </c>
      <c r="I728" s="33"/>
    </row>
    <row r="729" spans="1:9" hidden="1" x14ac:dyDescent="0.25">
      <c r="B729" s="36" t="s">
        <v>37</v>
      </c>
      <c r="D729" s="7">
        <f xml:space="preserve"> D722 - D721</f>
        <v>0</v>
      </c>
      <c r="E729" s="7">
        <f xml:space="preserve"> E721 + E724 - E723 - E722</f>
        <v>0</v>
      </c>
      <c r="F729" s="7">
        <f>F723 - F724 - F725 + F726</f>
        <v>0</v>
      </c>
      <c r="G729" s="7">
        <f>G725  - G726 - G727  + G728</f>
        <v>0</v>
      </c>
      <c r="H729" s="7">
        <f>H727 - H728</f>
        <v>0</v>
      </c>
      <c r="I729" s="33"/>
    </row>
    <row r="730" spans="1:9" hidden="1" x14ac:dyDescent="0.25">
      <c r="B730" s="6"/>
      <c r="D730" s="7"/>
      <c r="E730" s="7"/>
      <c r="F730" s="7"/>
      <c r="G730" s="7"/>
      <c r="H730" s="7"/>
      <c r="I730" s="33"/>
    </row>
    <row r="731" spans="1:9" hidden="1" x14ac:dyDescent="0.25">
      <c r="B731" s="68" t="s">
        <v>32</v>
      </c>
      <c r="C731" s="66"/>
      <c r="D731" s="90"/>
      <c r="E731" s="91"/>
      <c r="F731" s="129"/>
      <c r="G731" s="129"/>
      <c r="H731" s="92"/>
      <c r="I731" s="33"/>
    </row>
    <row r="732" spans="1:9" hidden="1" x14ac:dyDescent="0.25">
      <c r="B732" s="6"/>
      <c r="D732" s="7"/>
      <c r="E732" s="7"/>
      <c r="F732" s="7"/>
      <c r="G732" s="7"/>
      <c r="H732" s="7"/>
      <c r="I732" s="33"/>
    </row>
    <row r="733" spans="1:9" ht="18.75" hidden="1" x14ac:dyDescent="0.3">
      <c r="A733" s="45" t="s">
        <v>46</v>
      </c>
      <c r="C733" s="66"/>
      <c r="D733" s="130">
        <f xml:space="preserve"> D707 + D712 - D718 + D729 + D731</f>
        <v>0</v>
      </c>
      <c r="E733" s="130">
        <f xml:space="preserve"> E707 + E712 - E718 + E729 + E731</f>
        <v>0</v>
      </c>
      <c r="F733" s="130">
        <f xml:space="preserve"> F707 + F712 - F718 + F729 + F731</f>
        <v>0</v>
      </c>
      <c r="G733" s="130"/>
      <c r="H733" s="49"/>
    </row>
    <row r="734" spans="1:9" hidden="1" x14ac:dyDescent="0.25">
      <c r="B734" s="6"/>
      <c r="D734" s="7"/>
      <c r="E734" s="7"/>
      <c r="F734" s="7"/>
      <c r="G734" s="32"/>
      <c r="H734" s="32"/>
      <c r="I734" s="25"/>
    </row>
    <row r="735" spans="1:9" hidden="1" x14ac:dyDescent="0.25">
      <c r="I735" s="24"/>
    </row>
    <row r="736" spans="1:9" hidden="1" x14ac:dyDescent="0.25">
      <c r="A736" s="8"/>
      <c r="B736" s="8"/>
      <c r="C736" s="8"/>
      <c r="D736" s="8"/>
      <c r="E736" s="8"/>
      <c r="F736" s="8"/>
      <c r="G736" s="8"/>
      <c r="H736" s="8"/>
      <c r="I736" s="24"/>
    </row>
    <row r="737" spans="1:9" hidden="1" x14ac:dyDescent="0.25">
      <c r="B737" s="33"/>
      <c r="C737" s="33"/>
      <c r="D737" s="33"/>
      <c r="E737" s="33"/>
      <c r="F737" s="33"/>
      <c r="G737" s="33"/>
      <c r="H737" s="33"/>
      <c r="I737" s="24"/>
    </row>
    <row r="738" spans="1:9" ht="21" hidden="1" x14ac:dyDescent="0.35">
      <c r="A738" s="13" t="s">
        <v>4</v>
      </c>
      <c r="B738" s="13"/>
      <c r="C738" s="46" t="str">
        <f>B23</f>
        <v>Facility 20</v>
      </c>
      <c r="D738" s="47"/>
      <c r="E738" s="23"/>
      <c r="F738" s="23"/>
      <c r="I738" s="24"/>
    </row>
    <row r="739" spans="1:9" hidden="1" x14ac:dyDescent="0.25">
      <c r="I739" s="32"/>
    </row>
    <row r="740" spans="1:9" ht="18.75" hidden="1" x14ac:dyDescent="0.3">
      <c r="A740" s="9" t="s">
        <v>41</v>
      </c>
      <c r="B740" s="9"/>
      <c r="D740" s="2">
        <f>'Facility Detail'!$B$1155</f>
        <v>2013</v>
      </c>
      <c r="E740" s="2">
        <f>D740+1</f>
        <v>2014</v>
      </c>
      <c r="F740" s="2">
        <f>E740+1</f>
        <v>2015</v>
      </c>
      <c r="G740" s="2">
        <f t="shared" ref="G740:H740" si="57">F740+1</f>
        <v>2016</v>
      </c>
      <c r="H740" s="2">
        <f t="shared" si="57"/>
        <v>2017</v>
      </c>
      <c r="I740" s="32"/>
    </row>
    <row r="741" spans="1:9" hidden="1" x14ac:dyDescent="0.25">
      <c r="B741" s="71" t="str">
        <f>"Total MWh Produced / Purchased from " &amp; C738</f>
        <v>Total MWh Produced / Purchased from Facility 20</v>
      </c>
      <c r="C741" s="66"/>
      <c r="D741" s="3"/>
      <c r="E741" s="4"/>
      <c r="F741" s="4"/>
      <c r="G741" s="4"/>
      <c r="H741" s="5"/>
      <c r="I741" s="32"/>
    </row>
    <row r="742" spans="1:9" hidden="1" x14ac:dyDescent="0.25">
      <c r="B742" s="71" t="s">
        <v>45</v>
      </c>
      <c r="C742" s="66"/>
      <c r="D742" s="155"/>
      <c r="E742" s="154"/>
      <c r="F742" s="154"/>
      <c r="G742" s="154"/>
      <c r="H742" s="156"/>
      <c r="I742" s="32"/>
    </row>
    <row r="743" spans="1:9" hidden="1" x14ac:dyDescent="0.25">
      <c r="B743" s="71" t="s">
        <v>40</v>
      </c>
      <c r="C743" s="66"/>
      <c r="D743" s="146"/>
      <c r="E743" s="52"/>
      <c r="F743" s="52"/>
      <c r="G743" s="52"/>
      <c r="H743" s="53"/>
      <c r="I743" s="33"/>
    </row>
    <row r="744" spans="1:9" hidden="1" x14ac:dyDescent="0.25">
      <c r="B744" s="68" t="s">
        <v>42</v>
      </c>
      <c r="C744" s="69"/>
      <c r="D744" s="41">
        <f xml:space="preserve"> D741 * D742 * D743</f>
        <v>0</v>
      </c>
      <c r="E744" s="153">
        <f xml:space="preserve"> E741 * E742 * E743</f>
        <v>0</v>
      </c>
      <c r="F744" s="153">
        <f xml:space="preserve"> F741 * F742 * F743</f>
        <v>0</v>
      </c>
      <c r="G744" s="153"/>
      <c r="H744" s="153"/>
      <c r="I744" s="33"/>
    </row>
    <row r="745" spans="1:9" hidden="1" x14ac:dyDescent="0.25">
      <c r="B745" s="23"/>
      <c r="C745" s="33"/>
      <c r="D745" s="40"/>
      <c r="E745" s="40"/>
      <c r="F745" s="40"/>
      <c r="G745" s="40"/>
      <c r="H745" s="40"/>
    </row>
    <row r="746" spans="1:9" ht="18.75" hidden="1" x14ac:dyDescent="0.3">
      <c r="A746" s="48" t="s">
        <v>139</v>
      </c>
      <c r="C746" s="33"/>
      <c r="D746" s="2">
        <f>'Facility Detail'!$B$1155</f>
        <v>2013</v>
      </c>
      <c r="E746" s="2">
        <f>D746+1</f>
        <v>2014</v>
      </c>
      <c r="F746" s="2">
        <f>E746+1</f>
        <v>2015</v>
      </c>
      <c r="G746" s="2">
        <f t="shared" ref="G746:H746" si="58">F746+1</f>
        <v>2016</v>
      </c>
      <c r="H746" s="2">
        <f t="shared" si="58"/>
        <v>2017</v>
      </c>
    </row>
    <row r="747" spans="1:9" hidden="1" x14ac:dyDescent="0.25">
      <c r="B747" s="71" t="s">
        <v>30</v>
      </c>
      <c r="C747" s="66"/>
      <c r="D747" s="54">
        <f>IF( $F347 = "Eligible", D744 * 'Facility Detail'!$B$1152, 0 )</f>
        <v>0</v>
      </c>
      <c r="E747" s="11">
        <f>IF( $F347 = "Eligible", E744 * 'Facility Detail'!$B$1152, 0 )</f>
        <v>0</v>
      </c>
      <c r="F747" s="127">
        <f>IF( $F347 = "Eligible", F744 * 'Facility Detail'!$B$1152, 0 )</f>
        <v>0</v>
      </c>
      <c r="G747" s="127">
        <f>IF( $F347 = "Eligible", G744 * 'Facility Detail'!$B$1152, 0 )</f>
        <v>0</v>
      </c>
      <c r="H747" s="12">
        <f>IF( $F347 = "Eligible", H744 * 'Facility Detail'!$B$1152, 0 )</f>
        <v>0</v>
      </c>
      <c r="I747" s="24"/>
    </row>
    <row r="748" spans="1:9" hidden="1" x14ac:dyDescent="0.25">
      <c r="B748" s="71" t="s">
        <v>6</v>
      </c>
      <c r="C748" s="66"/>
      <c r="D748" s="55">
        <f>IF( $G347 = "Eligible", D744, 0 )</f>
        <v>0</v>
      </c>
      <c r="E748" s="56">
        <f>IF( $G347 = "Eligible", E744, 0 )</f>
        <v>0</v>
      </c>
      <c r="F748" s="128">
        <f t="shared" ref="F748:H748" si="59">IF( $G347 = "Eligible", F744, 0 )</f>
        <v>0</v>
      </c>
      <c r="G748" s="128">
        <f t="shared" si="59"/>
        <v>0</v>
      </c>
      <c r="H748" s="57">
        <f t="shared" si="59"/>
        <v>0</v>
      </c>
      <c r="I748" s="24"/>
    </row>
    <row r="749" spans="1:9" hidden="1" x14ac:dyDescent="0.25">
      <c r="B749" s="70" t="s">
        <v>141</v>
      </c>
      <c r="C749" s="69"/>
      <c r="D749" s="43">
        <f>SUM(D747:D748)</f>
        <v>0</v>
      </c>
      <c r="E749" s="44">
        <f>SUM(E747:E748)</f>
        <v>0</v>
      </c>
      <c r="F749" s="44">
        <f>SUM(F747:F748)</f>
        <v>0</v>
      </c>
      <c r="G749" s="44">
        <f t="shared" ref="G749" si="60">SUM(G747:G748)</f>
        <v>0</v>
      </c>
      <c r="H749" s="44">
        <f t="shared" ref="H749" si="61">SUM(H747:H748)</f>
        <v>0</v>
      </c>
      <c r="I749" s="24"/>
    </row>
    <row r="750" spans="1:9" hidden="1" x14ac:dyDescent="0.25">
      <c r="B750" s="33"/>
      <c r="C750" s="33"/>
      <c r="D750" s="42"/>
      <c r="E750" s="34"/>
      <c r="F750" s="34"/>
      <c r="G750" s="34"/>
      <c r="H750" s="34"/>
      <c r="I750" s="24"/>
    </row>
    <row r="751" spans="1:9" ht="18.75" hidden="1" x14ac:dyDescent="0.3">
      <c r="A751" s="45" t="s">
        <v>50</v>
      </c>
      <c r="C751" s="33"/>
      <c r="D751" s="2">
        <f>'Facility Detail'!$B$1155</f>
        <v>2013</v>
      </c>
      <c r="E751" s="2">
        <f>D751+1</f>
        <v>2014</v>
      </c>
      <c r="F751" s="2">
        <f>E751+1</f>
        <v>2015</v>
      </c>
      <c r="G751" s="2">
        <f t="shared" ref="G751:H751" si="62">F751+1</f>
        <v>2016</v>
      </c>
      <c r="H751" s="2">
        <f t="shared" si="62"/>
        <v>2017</v>
      </c>
      <c r="I751" s="24"/>
    </row>
    <row r="752" spans="1:9" hidden="1" x14ac:dyDescent="0.25">
      <c r="B752" s="71" t="s">
        <v>67</v>
      </c>
      <c r="C752" s="66"/>
      <c r="D752" s="161"/>
      <c r="E752" s="4"/>
      <c r="F752" s="4"/>
      <c r="G752" s="4"/>
      <c r="H752" s="5"/>
      <c r="I752" s="24"/>
    </row>
    <row r="753" spans="1:9" hidden="1" x14ac:dyDescent="0.25">
      <c r="B753" s="72" t="s">
        <v>43</v>
      </c>
      <c r="C753" s="73"/>
      <c r="D753" s="82"/>
      <c r="E753" s="162"/>
      <c r="F753" s="162"/>
      <c r="G753" s="162"/>
      <c r="H753" s="163"/>
      <c r="I753" s="24"/>
    </row>
    <row r="754" spans="1:9" hidden="1" x14ac:dyDescent="0.25">
      <c r="B754" s="83" t="s">
        <v>109</v>
      </c>
      <c r="C754" s="81"/>
      <c r="D754" s="58"/>
      <c r="E754" s="164"/>
      <c r="F754" s="164"/>
      <c r="G754" s="164"/>
      <c r="H754" s="165"/>
      <c r="I754" s="24"/>
    </row>
    <row r="755" spans="1:9" hidden="1" x14ac:dyDescent="0.25">
      <c r="B755" s="36" t="s">
        <v>110</v>
      </c>
      <c r="D755" s="7">
        <f>SUM(D752:D754)</f>
        <v>0</v>
      </c>
      <c r="E755" s="7">
        <f>SUM(E752:E754)</f>
        <v>0</v>
      </c>
      <c r="F755" s="7">
        <f>SUM(F752:F754)</f>
        <v>0</v>
      </c>
      <c r="G755" s="7"/>
      <c r="H755" s="7"/>
      <c r="I755" s="32"/>
    </row>
    <row r="756" spans="1:9" hidden="1" x14ac:dyDescent="0.25">
      <c r="B756" s="6"/>
      <c r="D756" s="7"/>
      <c r="E756" s="7"/>
      <c r="F756" s="7"/>
      <c r="G756" s="7"/>
      <c r="H756" s="7"/>
      <c r="I756" s="32"/>
    </row>
    <row r="757" spans="1:9" ht="18.75" hidden="1" x14ac:dyDescent="0.3">
      <c r="A757" s="9" t="s">
        <v>120</v>
      </c>
      <c r="D757" s="2">
        <f>'Facility Detail'!$B$1155</f>
        <v>2013</v>
      </c>
      <c r="E757" s="2">
        <f>D757+1</f>
        <v>2014</v>
      </c>
      <c r="F757" s="2">
        <f>E757+1</f>
        <v>2015</v>
      </c>
      <c r="G757" s="2">
        <f t="shared" ref="G757:H757" si="63">F757+1</f>
        <v>2016</v>
      </c>
      <c r="H757" s="2">
        <f t="shared" si="63"/>
        <v>2017</v>
      </c>
      <c r="I757" s="32"/>
    </row>
    <row r="758" spans="1:9" hidden="1" x14ac:dyDescent="0.25">
      <c r="B758" s="71" t="str">
        <f xml:space="preserve"> 'Facility Detail'!$B$1155 &amp; " Surplus Applied to " &amp; ( 'Facility Detail'!$B$1155 + 1 )</f>
        <v>2013 Surplus Applied to 2014</v>
      </c>
      <c r="C758" s="66"/>
      <c r="D758" s="3">
        <f>D744+D749-D755</f>
        <v>0</v>
      </c>
      <c r="E758" s="59">
        <f>D758</f>
        <v>0</v>
      </c>
      <c r="F758" s="135"/>
      <c r="G758" s="135"/>
      <c r="H758" s="136"/>
      <c r="I758" s="32"/>
    </row>
    <row r="759" spans="1:9" hidden="1" x14ac:dyDescent="0.25">
      <c r="B759" s="71" t="str">
        <f xml:space="preserve"> ( 'Facility Detail'!$B$1155 + 1 ) &amp; " Surplus Applied to " &amp; ( 'Facility Detail'!$B$1155 )</f>
        <v>2014 Surplus Applied to 2013</v>
      </c>
      <c r="C759" s="66"/>
      <c r="D759" s="157">
        <f>E759</f>
        <v>0</v>
      </c>
      <c r="E759" s="10">
        <v>0</v>
      </c>
      <c r="F759" s="131"/>
      <c r="G759" s="131"/>
      <c r="H759" s="137"/>
      <c r="I759" s="32"/>
    </row>
    <row r="760" spans="1:9" hidden="1" x14ac:dyDescent="0.25">
      <c r="B760" s="71" t="str">
        <f xml:space="preserve"> ( 'Facility Detail'!$B$1155 + 1 ) &amp; " Surplus Applied to " &amp; ( 'Facility Detail'!$B$1155 + 2 )</f>
        <v>2014 Surplus Applied to 2015</v>
      </c>
      <c r="C760" s="66"/>
      <c r="D760" s="132"/>
      <c r="E760" s="10">
        <f>E744+E749-E755</f>
        <v>0</v>
      </c>
      <c r="F760" s="65">
        <f>+E760</f>
        <v>0</v>
      </c>
      <c r="G760" s="131"/>
      <c r="H760" s="137"/>
      <c r="I760" s="32"/>
    </row>
    <row r="761" spans="1:9" hidden="1" x14ac:dyDescent="0.25">
      <c r="B761" s="71" t="str">
        <f xml:space="preserve"> ( 'Facility Detail'!$B$1155 + 2 ) &amp; " Surplus Applied to " &amp; ( 'Facility Detail'!$B$1155 + 1 )</f>
        <v>2015 Surplus Applied to 2014</v>
      </c>
      <c r="C761" s="66"/>
      <c r="D761" s="132"/>
      <c r="E761" s="65">
        <f>F761</f>
        <v>0</v>
      </c>
      <c r="F761" s="10">
        <v>0</v>
      </c>
      <c r="G761" s="131"/>
      <c r="H761" s="137"/>
      <c r="I761" s="32"/>
    </row>
    <row r="762" spans="1:9" hidden="1" x14ac:dyDescent="0.25">
      <c r="B762" s="71"/>
      <c r="C762" s="33"/>
      <c r="D762" s="132"/>
      <c r="E762" s="131"/>
      <c r="F762" s="10">
        <f>F744+F749-F755</f>
        <v>0</v>
      </c>
      <c r="G762" s="65">
        <f>+F762</f>
        <v>0</v>
      </c>
      <c r="H762" s="137"/>
      <c r="I762" s="32"/>
    </row>
    <row r="763" spans="1:9" hidden="1" x14ac:dyDescent="0.25">
      <c r="B763" s="71"/>
      <c r="C763" s="33"/>
      <c r="D763" s="132"/>
      <c r="E763" s="131"/>
      <c r="F763" s="65">
        <f>G763</f>
        <v>0</v>
      </c>
      <c r="G763" s="10">
        <v>0</v>
      </c>
      <c r="H763" s="137"/>
      <c r="I763" s="32"/>
    </row>
    <row r="764" spans="1:9" hidden="1" x14ac:dyDescent="0.25">
      <c r="B764" s="71"/>
      <c r="C764" s="33"/>
      <c r="D764" s="132"/>
      <c r="E764" s="131"/>
      <c r="F764" s="131"/>
      <c r="G764" s="10">
        <f>G744+G749-G755</f>
        <v>0</v>
      </c>
      <c r="H764" s="60">
        <f>+G764</f>
        <v>0</v>
      </c>
      <c r="I764" s="32"/>
    </row>
    <row r="765" spans="1:9" hidden="1" x14ac:dyDescent="0.25">
      <c r="B765" s="71"/>
      <c r="C765" s="33"/>
      <c r="D765" s="133"/>
      <c r="E765" s="134"/>
      <c r="F765" s="134"/>
      <c r="G765" s="61">
        <f>H765</f>
        <v>0</v>
      </c>
      <c r="H765" s="51">
        <v>0</v>
      </c>
      <c r="I765" s="32"/>
    </row>
    <row r="766" spans="1:9" hidden="1" x14ac:dyDescent="0.25">
      <c r="B766" s="36" t="s">
        <v>37</v>
      </c>
      <c r="D766" s="7">
        <f xml:space="preserve"> D759 - D758</f>
        <v>0</v>
      </c>
      <c r="E766" s="7">
        <f xml:space="preserve"> E758 + E761 - E760 - E759</f>
        <v>0</v>
      </c>
      <c r="F766" s="7">
        <f>F760 - F761 - F762 + F763</f>
        <v>0</v>
      </c>
      <c r="G766" s="7">
        <f>G762  - G763 - G764  + G765</f>
        <v>0</v>
      </c>
      <c r="H766" s="7">
        <f>H764 - H765</f>
        <v>0</v>
      </c>
      <c r="I766" s="32"/>
    </row>
    <row r="767" spans="1:9" hidden="1" x14ac:dyDescent="0.25">
      <c r="B767" s="6"/>
      <c r="D767" s="7"/>
      <c r="E767" s="7"/>
      <c r="F767" s="7"/>
      <c r="G767" s="7"/>
      <c r="H767" s="7"/>
      <c r="I767" s="32"/>
    </row>
    <row r="768" spans="1:9" hidden="1" x14ac:dyDescent="0.25">
      <c r="B768" s="68" t="s">
        <v>32</v>
      </c>
      <c r="C768" s="66"/>
      <c r="D768" s="90"/>
      <c r="E768" s="91"/>
      <c r="F768" s="129"/>
      <c r="G768" s="129"/>
      <c r="H768" s="92"/>
      <c r="I768" s="32"/>
    </row>
    <row r="769" spans="1:9" hidden="1" x14ac:dyDescent="0.25">
      <c r="B769" s="6"/>
      <c r="D769" s="7"/>
      <c r="E769" s="7"/>
      <c r="F769" s="7"/>
      <c r="G769" s="7"/>
      <c r="H769" s="7"/>
      <c r="I769" s="32"/>
    </row>
    <row r="770" spans="1:9" ht="18.75" hidden="1" x14ac:dyDescent="0.3">
      <c r="A770" s="45" t="s">
        <v>46</v>
      </c>
      <c r="C770" s="66"/>
      <c r="D770" s="130">
        <f xml:space="preserve"> D744 + D749 - D755 + D766 + D768</f>
        <v>0</v>
      </c>
      <c r="E770" s="130">
        <f xml:space="preserve"> E744 + E749 - E755 + E766 + E768</f>
        <v>0</v>
      </c>
      <c r="F770" s="130">
        <f xml:space="preserve"> F744 + F749 - F755 + F766 + F768</f>
        <v>0</v>
      </c>
      <c r="G770" s="130"/>
      <c r="H770" s="49"/>
      <c r="I770" s="33"/>
    </row>
    <row r="771" spans="1:9" hidden="1" x14ac:dyDescent="0.25">
      <c r="B771" s="6"/>
      <c r="D771" s="7"/>
      <c r="E771" s="7"/>
      <c r="F771" s="7"/>
      <c r="G771" s="32"/>
      <c r="H771" s="32"/>
      <c r="I771" s="33"/>
    </row>
    <row r="772" spans="1:9" hidden="1" x14ac:dyDescent="0.25">
      <c r="I772" s="25"/>
    </row>
    <row r="773" spans="1:9" hidden="1" x14ac:dyDescent="0.25">
      <c r="A773" s="8"/>
      <c r="B773" s="8"/>
      <c r="C773" s="8"/>
      <c r="D773" s="8"/>
      <c r="E773" s="8"/>
      <c r="F773" s="8"/>
      <c r="G773" s="8"/>
      <c r="H773" s="8"/>
      <c r="I773" s="24"/>
    </row>
    <row r="774" spans="1:9" hidden="1" x14ac:dyDescent="0.25">
      <c r="B774" s="33"/>
      <c r="C774" s="33"/>
      <c r="D774" s="33"/>
      <c r="E774" s="33"/>
      <c r="F774" s="33"/>
      <c r="G774" s="33"/>
      <c r="H774" s="33"/>
      <c r="I774" s="24"/>
    </row>
    <row r="775" spans="1:9" ht="21" hidden="1" x14ac:dyDescent="0.35">
      <c r="A775" s="13" t="s">
        <v>4</v>
      </c>
      <c r="B775" s="13"/>
      <c r="C775" s="46" t="str">
        <f>B24</f>
        <v>Facility 21</v>
      </c>
      <c r="D775" s="47"/>
      <c r="E775" s="23"/>
      <c r="F775" s="23"/>
      <c r="I775" s="24"/>
    </row>
    <row r="776" spans="1:9" hidden="1" x14ac:dyDescent="0.25">
      <c r="I776" s="24"/>
    </row>
    <row r="777" spans="1:9" ht="18.75" hidden="1" x14ac:dyDescent="0.3">
      <c r="A777" s="9" t="s">
        <v>41</v>
      </c>
      <c r="B777" s="9"/>
      <c r="D777" s="2">
        <f>'Facility Detail'!$B$1155</f>
        <v>2013</v>
      </c>
      <c r="E777" s="2">
        <f>D777+1</f>
        <v>2014</v>
      </c>
      <c r="F777" s="2">
        <f>E777+1</f>
        <v>2015</v>
      </c>
      <c r="G777" s="2">
        <f t="shared" ref="G777:H777" si="64">F777+1</f>
        <v>2016</v>
      </c>
      <c r="H777" s="2">
        <f t="shared" si="64"/>
        <v>2017</v>
      </c>
      <c r="I777" s="24"/>
    </row>
    <row r="778" spans="1:9" hidden="1" x14ac:dyDescent="0.25">
      <c r="B778" s="71" t="str">
        <f>"Total MWh Produced / Purchased from " &amp; C775</f>
        <v>Total MWh Produced / Purchased from Facility 21</v>
      </c>
      <c r="C778" s="66"/>
      <c r="D778" s="3"/>
      <c r="E778" s="4"/>
      <c r="F778" s="4"/>
      <c r="G778" s="4"/>
      <c r="H778" s="5"/>
      <c r="I778" s="24"/>
    </row>
    <row r="779" spans="1:9" hidden="1" x14ac:dyDescent="0.25">
      <c r="B779" s="71" t="s">
        <v>45</v>
      </c>
      <c r="C779" s="66"/>
      <c r="D779" s="155"/>
      <c r="E779" s="154"/>
      <c r="F779" s="154"/>
      <c r="G779" s="154"/>
      <c r="H779" s="156"/>
      <c r="I779" s="24"/>
    </row>
    <row r="780" spans="1:9" hidden="1" x14ac:dyDescent="0.25">
      <c r="B780" s="71" t="s">
        <v>40</v>
      </c>
      <c r="C780" s="66"/>
      <c r="D780" s="146"/>
      <c r="E780" s="52"/>
      <c r="F780" s="52"/>
      <c r="G780" s="52"/>
      <c r="H780" s="53"/>
      <c r="I780" s="32"/>
    </row>
    <row r="781" spans="1:9" hidden="1" x14ac:dyDescent="0.25">
      <c r="B781" s="68" t="s">
        <v>42</v>
      </c>
      <c r="C781" s="69"/>
      <c r="D781" s="41">
        <f xml:space="preserve"> D778 * D779 * D780</f>
        <v>0</v>
      </c>
      <c r="E781" s="153">
        <f xml:space="preserve"> E778 * E779 * E780</f>
        <v>0</v>
      </c>
      <c r="F781" s="153">
        <f xml:space="preserve"> F778 * F779 * F780</f>
        <v>0</v>
      </c>
      <c r="G781" s="153"/>
      <c r="H781" s="153"/>
      <c r="I781" s="32"/>
    </row>
    <row r="782" spans="1:9" hidden="1" x14ac:dyDescent="0.25">
      <c r="B782" s="23"/>
      <c r="C782" s="33"/>
      <c r="D782" s="40"/>
      <c r="E782" s="40"/>
      <c r="F782" s="40"/>
      <c r="G782" s="40"/>
      <c r="H782" s="40"/>
      <c r="I782" s="32"/>
    </row>
    <row r="783" spans="1:9" ht="18.75" hidden="1" x14ac:dyDescent="0.3">
      <c r="A783" s="48" t="s">
        <v>139</v>
      </c>
      <c r="C783" s="33"/>
      <c r="D783" s="2">
        <f>'Facility Detail'!$B$1155</f>
        <v>2013</v>
      </c>
      <c r="E783" s="2">
        <f>D783+1</f>
        <v>2014</v>
      </c>
      <c r="F783" s="2">
        <f>E783+1</f>
        <v>2015</v>
      </c>
      <c r="G783" s="2">
        <f t="shared" ref="G783:H783" si="65">F783+1</f>
        <v>2016</v>
      </c>
      <c r="H783" s="2">
        <f t="shared" si="65"/>
        <v>2017</v>
      </c>
      <c r="I783" s="33"/>
    </row>
    <row r="784" spans="1:9" hidden="1" x14ac:dyDescent="0.25">
      <c r="B784" s="71" t="s">
        <v>30</v>
      </c>
      <c r="C784" s="66"/>
      <c r="D784" s="54">
        <f>IF( $F384 = "Eligible", D781 * 'Facility Detail'!$B$1152, 0 )</f>
        <v>0</v>
      </c>
      <c r="E784" s="11">
        <f>IF( $F384 = "Eligible", E781 * 'Facility Detail'!$B$1152, 0 )</f>
        <v>0</v>
      </c>
      <c r="F784" s="127">
        <f>IF( $F384 = "Eligible", F781 * 'Facility Detail'!$B$1152, 0 )</f>
        <v>0</v>
      </c>
      <c r="G784" s="127">
        <f>IF( $F384 = "Eligible", G781 * 'Facility Detail'!$B$1152, 0 )</f>
        <v>0</v>
      </c>
      <c r="H784" s="12">
        <f>IF( $F384 = "Eligible", H781 * 'Facility Detail'!$B$1152, 0 )</f>
        <v>0</v>
      </c>
    </row>
    <row r="785" spans="1:9" hidden="1" x14ac:dyDescent="0.25">
      <c r="B785" s="71" t="s">
        <v>6</v>
      </c>
      <c r="C785" s="66"/>
      <c r="D785" s="55">
        <f>IF( $G384 = "Eligible", D781, 0 )</f>
        <v>0</v>
      </c>
      <c r="E785" s="56">
        <f>IF( $G384 = "Eligible", E781, 0 )</f>
        <v>0</v>
      </c>
      <c r="F785" s="128">
        <f t="shared" ref="F785:H785" si="66">IF( $G384 = "Eligible", F781, 0 )</f>
        <v>0</v>
      </c>
      <c r="G785" s="128">
        <f t="shared" si="66"/>
        <v>0</v>
      </c>
      <c r="H785" s="57">
        <f t="shared" si="66"/>
        <v>0</v>
      </c>
    </row>
    <row r="786" spans="1:9" hidden="1" x14ac:dyDescent="0.25">
      <c r="B786" s="70" t="s">
        <v>141</v>
      </c>
      <c r="C786" s="69"/>
      <c r="D786" s="43">
        <f>SUM(D784:D785)</f>
        <v>0</v>
      </c>
      <c r="E786" s="44">
        <f>SUM(E784:E785)</f>
        <v>0</v>
      </c>
      <c r="F786" s="44">
        <f>SUM(F784:F785)</f>
        <v>0</v>
      </c>
      <c r="G786" s="44">
        <f t="shared" ref="G786" si="67">SUM(G784:G785)</f>
        <v>0</v>
      </c>
      <c r="H786" s="44">
        <f t="shared" ref="H786" si="68">SUM(H784:H785)</f>
        <v>0</v>
      </c>
      <c r="I786" s="25"/>
    </row>
    <row r="787" spans="1:9" hidden="1" x14ac:dyDescent="0.25">
      <c r="B787" s="33"/>
      <c r="C787" s="33"/>
      <c r="D787" s="42"/>
      <c r="E787" s="34"/>
      <c r="F787" s="34"/>
      <c r="G787" s="34"/>
      <c r="H787" s="34"/>
      <c r="I787" s="24"/>
    </row>
    <row r="788" spans="1:9" ht="18.75" hidden="1" x14ac:dyDescent="0.3">
      <c r="A788" s="45" t="s">
        <v>50</v>
      </c>
      <c r="C788" s="33"/>
      <c r="D788" s="2">
        <f>'Facility Detail'!$B$1155</f>
        <v>2013</v>
      </c>
      <c r="E788" s="2">
        <f>D788+1</f>
        <v>2014</v>
      </c>
      <c r="F788" s="2">
        <f>E788+1</f>
        <v>2015</v>
      </c>
      <c r="G788" s="2">
        <f t="shared" ref="G788:H788" si="69">F788+1</f>
        <v>2016</v>
      </c>
      <c r="H788" s="2">
        <f t="shared" si="69"/>
        <v>2017</v>
      </c>
      <c r="I788" s="24"/>
    </row>
    <row r="789" spans="1:9" hidden="1" x14ac:dyDescent="0.25">
      <c r="B789" s="71" t="s">
        <v>67</v>
      </c>
      <c r="C789" s="66"/>
      <c r="D789" s="161"/>
      <c r="E789" s="4"/>
      <c r="F789" s="4"/>
      <c r="G789" s="4"/>
      <c r="H789" s="5"/>
      <c r="I789" s="24"/>
    </row>
    <row r="790" spans="1:9" hidden="1" x14ac:dyDescent="0.25">
      <c r="B790" s="72" t="s">
        <v>43</v>
      </c>
      <c r="C790" s="73"/>
      <c r="D790" s="82"/>
      <c r="E790" s="162"/>
      <c r="F790" s="162"/>
      <c r="G790" s="162"/>
      <c r="H790" s="163"/>
      <c r="I790" s="24"/>
    </row>
    <row r="791" spans="1:9" hidden="1" x14ac:dyDescent="0.25">
      <c r="B791" s="83" t="s">
        <v>109</v>
      </c>
      <c r="C791" s="81"/>
      <c r="D791" s="58"/>
      <c r="E791" s="164"/>
      <c r="F791" s="164"/>
      <c r="G791" s="164"/>
      <c r="H791" s="165"/>
      <c r="I791" s="24"/>
    </row>
    <row r="792" spans="1:9" hidden="1" x14ac:dyDescent="0.25">
      <c r="B792" s="36" t="s">
        <v>110</v>
      </c>
      <c r="D792" s="7">
        <f>SUM(D789:D791)</f>
        <v>0</v>
      </c>
      <c r="E792" s="7">
        <f>SUM(E789:E791)</f>
        <v>0</v>
      </c>
      <c r="F792" s="7">
        <f>SUM(F789:F791)</f>
        <v>0</v>
      </c>
      <c r="G792" s="7"/>
      <c r="H792" s="7"/>
      <c r="I792" s="24"/>
    </row>
    <row r="793" spans="1:9" hidden="1" x14ac:dyDescent="0.25">
      <c r="B793" s="6"/>
      <c r="D793" s="7"/>
      <c r="E793" s="7"/>
      <c r="F793" s="7"/>
      <c r="G793" s="7"/>
      <c r="H793" s="7"/>
      <c r="I793" s="24"/>
    </row>
    <row r="794" spans="1:9" ht="18.75" hidden="1" x14ac:dyDescent="0.3">
      <c r="A794" s="9" t="s">
        <v>120</v>
      </c>
      <c r="D794" s="2">
        <f>'Facility Detail'!$B$1155</f>
        <v>2013</v>
      </c>
      <c r="E794" s="2">
        <f>D794+1</f>
        <v>2014</v>
      </c>
      <c r="F794" s="2">
        <f>E794+1</f>
        <v>2015</v>
      </c>
      <c r="G794" s="2">
        <f t="shared" ref="G794:H794" si="70">F794+1</f>
        <v>2016</v>
      </c>
      <c r="H794" s="2">
        <f t="shared" si="70"/>
        <v>2017</v>
      </c>
      <c r="I794" s="24"/>
    </row>
    <row r="795" spans="1:9" hidden="1" x14ac:dyDescent="0.25">
      <c r="B795" s="71" t="str">
        <f xml:space="preserve"> 'Facility Detail'!$B$1155 &amp; " Surplus Applied to " &amp; ( 'Facility Detail'!$B$1155 + 1 )</f>
        <v>2013 Surplus Applied to 2014</v>
      </c>
      <c r="C795" s="66"/>
      <c r="D795" s="3">
        <f>D781+D786-D792</f>
        <v>0</v>
      </c>
      <c r="E795" s="59">
        <f>D795</f>
        <v>0</v>
      </c>
      <c r="F795" s="135"/>
      <c r="G795" s="135"/>
      <c r="H795" s="136"/>
      <c r="I795" s="24"/>
    </row>
    <row r="796" spans="1:9" hidden="1" x14ac:dyDescent="0.25">
      <c r="B796" s="71" t="str">
        <f xml:space="preserve"> ( 'Facility Detail'!$B$1155 + 1 ) &amp; " Surplus Applied to " &amp; ( 'Facility Detail'!$B$1155 )</f>
        <v>2014 Surplus Applied to 2013</v>
      </c>
      <c r="C796" s="66"/>
      <c r="D796" s="157">
        <f>E796</f>
        <v>0</v>
      </c>
      <c r="E796" s="10">
        <v>0</v>
      </c>
      <c r="F796" s="131"/>
      <c r="G796" s="131"/>
      <c r="H796" s="137"/>
      <c r="I796" s="24"/>
    </row>
    <row r="797" spans="1:9" hidden="1" x14ac:dyDescent="0.25">
      <c r="B797" s="71" t="str">
        <f xml:space="preserve"> ( 'Facility Detail'!$B$1155 + 1 ) &amp; " Surplus Applied to " &amp; ( 'Facility Detail'!$B$1155 + 2 )</f>
        <v>2014 Surplus Applied to 2015</v>
      </c>
      <c r="C797" s="66"/>
      <c r="D797" s="132"/>
      <c r="E797" s="10">
        <f>E781+E786-E792</f>
        <v>0</v>
      </c>
      <c r="F797" s="65">
        <f>+E797</f>
        <v>0</v>
      </c>
      <c r="G797" s="131"/>
      <c r="H797" s="137"/>
      <c r="I797" s="24"/>
    </row>
    <row r="798" spans="1:9" hidden="1" x14ac:dyDescent="0.25">
      <c r="B798" s="71" t="str">
        <f xml:space="preserve"> ( 'Facility Detail'!$B$1155 + 2 ) &amp; " Surplus Applied to " &amp; ( 'Facility Detail'!$B$1155 + 1 )</f>
        <v>2015 Surplus Applied to 2014</v>
      </c>
      <c r="C798" s="66"/>
      <c r="D798" s="132"/>
      <c r="E798" s="65">
        <f>F798</f>
        <v>0</v>
      </c>
      <c r="F798" s="10">
        <v>0</v>
      </c>
      <c r="G798" s="131"/>
      <c r="H798" s="137"/>
      <c r="I798" s="24"/>
    </row>
    <row r="799" spans="1:9" hidden="1" x14ac:dyDescent="0.25">
      <c r="B799" s="71"/>
      <c r="C799" s="33"/>
      <c r="D799" s="132"/>
      <c r="E799" s="131"/>
      <c r="F799" s="10">
        <f>F781+F786-F792</f>
        <v>0</v>
      </c>
      <c r="G799" s="65">
        <f>+F799</f>
        <v>0</v>
      </c>
      <c r="H799" s="137"/>
      <c r="I799" s="24"/>
    </row>
    <row r="800" spans="1:9" hidden="1" x14ac:dyDescent="0.25">
      <c r="B800" s="71"/>
      <c r="C800" s="33"/>
      <c r="D800" s="132"/>
      <c r="E800" s="131"/>
      <c r="F800" s="65">
        <f>G800</f>
        <v>0</v>
      </c>
      <c r="G800" s="10">
        <v>0</v>
      </c>
      <c r="H800" s="137"/>
      <c r="I800" s="24"/>
    </row>
    <row r="801" spans="1:9" hidden="1" x14ac:dyDescent="0.25">
      <c r="B801" s="71"/>
      <c r="C801" s="33"/>
      <c r="D801" s="132"/>
      <c r="E801" s="131"/>
      <c r="F801" s="131"/>
      <c r="G801" s="10">
        <f>G781+G786-G792</f>
        <v>0</v>
      </c>
      <c r="H801" s="60">
        <f>+G801</f>
        <v>0</v>
      </c>
      <c r="I801" s="24"/>
    </row>
    <row r="802" spans="1:9" hidden="1" x14ac:dyDescent="0.25">
      <c r="B802" s="71"/>
      <c r="C802" s="33"/>
      <c r="D802" s="133"/>
      <c r="E802" s="134"/>
      <c r="F802" s="134"/>
      <c r="G802" s="61">
        <f>H802</f>
        <v>0</v>
      </c>
      <c r="H802" s="51">
        <v>0</v>
      </c>
      <c r="I802" s="24"/>
    </row>
    <row r="803" spans="1:9" hidden="1" x14ac:dyDescent="0.25">
      <c r="B803" s="36" t="s">
        <v>37</v>
      </c>
      <c r="D803" s="7">
        <f xml:space="preserve"> D796 - D795</f>
        <v>0</v>
      </c>
      <c r="E803" s="7">
        <f xml:space="preserve"> E795 + E798 - E797 - E796</f>
        <v>0</v>
      </c>
      <c r="F803" s="7">
        <f>F797 - F798 - F799 + F800</f>
        <v>0</v>
      </c>
      <c r="G803" s="7">
        <f>G799  - G800 - G801  + G802</f>
        <v>0</v>
      </c>
      <c r="H803" s="7">
        <f>H801 - H802</f>
        <v>0</v>
      </c>
      <c r="I803" s="24"/>
    </row>
    <row r="804" spans="1:9" hidden="1" x14ac:dyDescent="0.25">
      <c r="B804" s="6"/>
      <c r="D804" s="7"/>
      <c r="E804" s="7"/>
      <c r="F804" s="7"/>
      <c r="G804" s="7"/>
      <c r="H804" s="7"/>
      <c r="I804" s="24"/>
    </row>
    <row r="805" spans="1:9" hidden="1" x14ac:dyDescent="0.25">
      <c r="B805" s="68" t="s">
        <v>32</v>
      </c>
      <c r="C805" s="66"/>
      <c r="D805" s="90"/>
      <c r="E805" s="91"/>
      <c r="F805" s="129"/>
      <c r="G805" s="129"/>
      <c r="H805" s="92"/>
      <c r="I805" s="24"/>
    </row>
    <row r="806" spans="1:9" hidden="1" x14ac:dyDescent="0.25">
      <c r="B806" s="6"/>
      <c r="D806" s="7"/>
      <c r="E806" s="7"/>
      <c r="F806" s="7"/>
      <c r="G806" s="7"/>
      <c r="H806" s="7"/>
      <c r="I806" s="24"/>
    </row>
    <row r="807" spans="1:9" ht="18.75" hidden="1" x14ac:dyDescent="0.3">
      <c r="A807" s="45" t="s">
        <v>46</v>
      </c>
      <c r="C807" s="66"/>
      <c r="D807" s="130">
        <f xml:space="preserve"> D781 + D786 - D792 + D803 + D805</f>
        <v>0</v>
      </c>
      <c r="E807" s="130">
        <f xml:space="preserve"> E781 + E786 - E792 + E803 + E805</f>
        <v>0</v>
      </c>
      <c r="F807" s="130">
        <f xml:space="preserve"> F781 + F786 - F792 + F803 + F805</f>
        <v>0</v>
      </c>
      <c r="G807" s="130"/>
      <c r="H807" s="49"/>
      <c r="I807" s="32"/>
    </row>
    <row r="808" spans="1:9" hidden="1" x14ac:dyDescent="0.25">
      <c r="B808" s="6"/>
      <c r="D808" s="7"/>
      <c r="E808" s="7"/>
      <c r="F808" s="7"/>
      <c r="G808" s="32"/>
      <c r="H808" s="32"/>
      <c r="I808" s="32"/>
    </row>
    <row r="809" spans="1:9" hidden="1" x14ac:dyDescent="0.25">
      <c r="I809" s="33"/>
    </row>
    <row r="810" spans="1:9" hidden="1" x14ac:dyDescent="0.25">
      <c r="A810" s="8"/>
      <c r="B810" s="8"/>
      <c r="C810" s="8"/>
      <c r="D810" s="8"/>
      <c r="E810" s="8"/>
      <c r="F810" s="8"/>
      <c r="G810" s="8"/>
      <c r="H810" s="8"/>
    </row>
    <row r="811" spans="1:9" hidden="1" x14ac:dyDescent="0.25">
      <c r="B811" s="33"/>
      <c r="C811" s="33"/>
      <c r="D811" s="33"/>
      <c r="E811" s="33"/>
      <c r="F811" s="33"/>
      <c r="G811" s="33"/>
      <c r="H811" s="33"/>
    </row>
    <row r="812" spans="1:9" ht="21" hidden="1" x14ac:dyDescent="0.35">
      <c r="A812" s="13" t="s">
        <v>4</v>
      </c>
      <c r="B812" s="13"/>
      <c r="C812" s="46" t="str">
        <f>B25</f>
        <v>Facility 22</v>
      </c>
      <c r="D812" s="47"/>
      <c r="E812" s="23"/>
      <c r="F812" s="23"/>
      <c r="I812" s="25"/>
    </row>
    <row r="813" spans="1:9" hidden="1" x14ac:dyDescent="0.25">
      <c r="I813" s="24"/>
    </row>
    <row r="814" spans="1:9" ht="18.75" hidden="1" x14ac:dyDescent="0.3">
      <c r="A814" s="9" t="s">
        <v>41</v>
      </c>
      <c r="B814" s="9"/>
      <c r="D814" s="2">
        <f>'Facility Detail'!$B$1155</f>
        <v>2013</v>
      </c>
      <c r="E814" s="2">
        <f>D814+1</f>
        <v>2014</v>
      </c>
      <c r="F814" s="2">
        <f>E814+1</f>
        <v>2015</v>
      </c>
      <c r="G814" s="2">
        <f t="shared" ref="G814:H814" si="71">F814+1</f>
        <v>2016</v>
      </c>
      <c r="H814" s="2">
        <f t="shared" si="71"/>
        <v>2017</v>
      </c>
      <c r="I814" s="24"/>
    </row>
    <row r="815" spans="1:9" hidden="1" x14ac:dyDescent="0.25">
      <c r="B815" s="71" t="str">
        <f>"Total MWh Produced / Purchased from " &amp; C812</f>
        <v>Total MWh Produced / Purchased from Facility 22</v>
      </c>
      <c r="C815" s="66"/>
      <c r="D815" s="3"/>
      <c r="E815" s="4"/>
      <c r="F815" s="4"/>
      <c r="G815" s="4"/>
      <c r="H815" s="5"/>
      <c r="I815" s="24"/>
    </row>
    <row r="816" spans="1:9" hidden="1" x14ac:dyDescent="0.25">
      <c r="B816" s="71" t="s">
        <v>45</v>
      </c>
      <c r="C816" s="66"/>
      <c r="D816" s="155"/>
      <c r="E816" s="154"/>
      <c r="F816" s="154"/>
      <c r="G816" s="154"/>
      <c r="H816" s="156"/>
      <c r="I816" s="24"/>
    </row>
    <row r="817" spans="1:9" hidden="1" x14ac:dyDescent="0.25">
      <c r="B817" s="71" t="s">
        <v>40</v>
      </c>
      <c r="C817" s="66"/>
      <c r="D817" s="146"/>
      <c r="E817" s="52"/>
      <c r="F817" s="52"/>
      <c r="G817" s="52"/>
      <c r="H817" s="53"/>
      <c r="I817" s="24"/>
    </row>
    <row r="818" spans="1:9" hidden="1" x14ac:dyDescent="0.25">
      <c r="B818" s="68" t="s">
        <v>42</v>
      </c>
      <c r="C818" s="69"/>
      <c r="D818" s="41">
        <f xml:space="preserve"> D815 * D816 * D817</f>
        <v>0</v>
      </c>
      <c r="E818" s="153">
        <f xml:space="preserve"> E815 * E816 * E817</f>
        <v>0</v>
      </c>
      <c r="F818" s="153">
        <f xml:space="preserve"> F815 * F816 * F817</f>
        <v>0</v>
      </c>
      <c r="G818" s="153"/>
      <c r="H818" s="153"/>
      <c r="I818" s="24"/>
    </row>
    <row r="819" spans="1:9" hidden="1" x14ac:dyDescent="0.25">
      <c r="B819" s="23"/>
      <c r="C819" s="33"/>
      <c r="D819" s="40"/>
      <c r="E819" s="40"/>
      <c r="F819" s="40"/>
      <c r="G819" s="40"/>
      <c r="H819" s="40"/>
      <c r="I819" s="24"/>
    </row>
    <row r="820" spans="1:9" ht="18.75" hidden="1" x14ac:dyDescent="0.3">
      <c r="A820" s="48" t="s">
        <v>139</v>
      </c>
      <c r="C820" s="33"/>
      <c r="D820" s="2">
        <f>'Facility Detail'!$B$1155</f>
        <v>2013</v>
      </c>
      <c r="E820" s="2">
        <f>D820+1</f>
        <v>2014</v>
      </c>
      <c r="F820" s="2">
        <f>E820+1</f>
        <v>2015</v>
      </c>
      <c r="G820" s="2">
        <f t="shared" ref="G820:H820" si="72">F820+1</f>
        <v>2016</v>
      </c>
      <c r="H820" s="2">
        <f t="shared" si="72"/>
        <v>2017</v>
      </c>
      <c r="I820" s="32"/>
    </row>
    <row r="821" spans="1:9" hidden="1" x14ac:dyDescent="0.25">
      <c r="B821" s="71" t="s">
        <v>30</v>
      </c>
      <c r="C821" s="66"/>
      <c r="D821" s="54">
        <f>IF( $F421 = "Eligible", D818 * 'Facility Detail'!$B$1152, 0 )</f>
        <v>0</v>
      </c>
      <c r="E821" s="11">
        <f>IF( $F421 = "Eligible", E818 * 'Facility Detail'!$B$1152, 0 )</f>
        <v>0</v>
      </c>
      <c r="F821" s="127">
        <f>IF( $F421 = "Eligible", F818 * 'Facility Detail'!$B$1152, 0 )</f>
        <v>0</v>
      </c>
      <c r="G821" s="127">
        <f>IF( $F421 = "Eligible", G818 * 'Facility Detail'!$B$1152, 0 )</f>
        <v>0</v>
      </c>
      <c r="H821" s="12">
        <f>IF( $F421 = "Eligible", H818 * 'Facility Detail'!$B$1152, 0 )</f>
        <v>0</v>
      </c>
    </row>
    <row r="822" spans="1:9" hidden="1" x14ac:dyDescent="0.25">
      <c r="B822" s="71" t="s">
        <v>6</v>
      </c>
      <c r="C822" s="66"/>
      <c r="D822" s="55">
        <f>IF( $G421 = "Eligible", D818, 0 )</f>
        <v>0</v>
      </c>
      <c r="E822" s="56">
        <f>IF( $G421 = "Eligible", E818, 0 )</f>
        <v>0</v>
      </c>
      <c r="F822" s="128">
        <f t="shared" ref="F822:H822" si="73">IF( $G421 = "Eligible", F818, 0 )</f>
        <v>0</v>
      </c>
      <c r="G822" s="128">
        <f t="shared" si="73"/>
        <v>0</v>
      </c>
      <c r="H822" s="57">
        <f t="shared" si="73"/>
        <v>0</v>
      </c>
    </row>
    <row r="823" spans="1:9" hidden="1" x14ac:dyDescent="0.25">
      <c r="B823" s="70" t="s">
        <v>141</v>
      </c>
      <c r="C823" s="69"/>
      <c r="D823" s="43">
        <f>SUM(D821:D822)</f>
        <v>0</v>
      </c>
      <c r="E823" s="44">
        <f>SUM(E821:E822)</f>
        <v>0</v>
      </c>
      <c r="F823" s="44">
        <f>SUM(F821:F822)</f>
        <v>0</v>
      </c>
      <c r="G823" s="44">
        <f t="shared" ref="G823" si="74">SUM(G821:G822)</f>
        <v>0</v>
      </c>
      <c r="H823" s="44">
        <f t="shared" ref="H823" si="75">SUM(H821:H822)</f>
        <v>0</v>
      </c>
    </row>
    <row r="824" spans="1:9" hidden="1" x14ac:dyDescent="0.25">
      <c r="B824" s="33"/>
      <c r="C824" s="33"/>
      <c r="D824" s="42"/>
      <c r="E824" s="34"/>
      <c r="F824" s="34"/>
      <c r="G824" s="34"/>
      <c r="H824" s="34"/>
    </row>
    <row r="825" spans="1:9" ht="18.75" hidden="1" x14ac:dyDescent="0.3">
      <c r="A825" s="45" t="s">
        <v>50</v>
      </c>
      <c r="C825" s="33"/>
      <c r="D825" s="2">
        <f>'Facility Detail'!$B$1155</f>
        <v>2013</v>
      </c>
      <c r="E825" s="2">
        <f>D825+1</f>
        <v>2014</v>
      </c>
      <c r="F825" s="2">
        <f>E825+1</f>
        <v>2015</v>
      </c>
      <c r="G825" s="2">
        <f t="shared" ref="G825:H825" si="76">F825+1</f>
        <v>2016</v>
      </c>
      <c r="H825" s="2">
        <f t="shared" si="76"/>
        <v>2017</v>
      </c>
    </row>
    <row r="826" spans="1:9" hidden="1" x14ac:dyDescent="0.25">
      <c r="B826" s="71" t="s">
        <v>67</v>
      </c>
      <c r="C826" s="66"/>
      <c r="D826" s="161"/>
      <c r="E826" s="4"/>
      <c r="F826" s="4"/>
      <c r="G826" s="4"/>
      <c r="H826" s="5"/>
    </row>
    <row r="827" spans="1:9" hidden="1" x14ac:dyDescent="0.25">
      <c r="B827" s="72" t="s">
        <v>43</v>
      </c>
      <c r="C827" s="73"/>
      <c r="D827" s="82"/>
      <c r="E827" s="162"/>
      <c r="F827" s="162"/>
      <c r="G827" s="162"/>
      <c r="H827" s="163"/>
    </row>
    <row r="828" spans="1:9" hidden="1" x14ac:dyDescent="0.25">
      <c r="B828" s="83" t="s">
        <v>109</v>
      </c>
      <c r="C828" s="81"/>
      <c r="D828" s="58"/>
      <c r="E828" s="164"/>
      <c r="F828" s="164"/>
      <c r="G828" s="164"/>
      <c r="H828" s="165"/>
    </row>
    <row r="829" spans="1:9" hidden="1" x14ac:dyDescent="0.25">
      <c r="B829" s="36" t="s">
        <v>110</v>
      </c>
      <c r="D829" s="7">
        <f>SUM(D826:D828)</f>
        <v>0</v>
      </c>
      <c r="E829" s="7">
        <f>SUM(E826:E828)</f>
        <v>0</v>
      </c>
      <c r="F829" s="7">
        <f>SUM(F826:F828)</f>
        <v>0</v>
      </c>
      <c r="G829" s="7"/>
      <c r="H829" s="7"/>
    </row>
    <row r="830" spans="1:9" hidden="1" x14ac:dyDescent="0.25">
      <c r="B830" s="6"/>
      <c r="D830" s="7"/>
      <c r="E830" s="7"/>
      <c r="F830" s="7"/>
      <c r="G830" s="7"/>
      <c r="H830" s="7"/>
    </row>
    <row r="831" spans="1:9" ht="18.75" hidden="1" x14ac:dyDescent="0.3">
      <c r="A831" s="9" t="s">
        <v>120</v>
      </c>
      <c r="D831" s="2">
        <f>'Facility Detail'!$B$1155</f>
        <v>2013</v>
      </c>
      <c r="E831" s="2">
        <f>D831+1</f>
        <v>2014</v>
      </c>
      <c r="F831" s="2">
        <f>E831+1</f>
        <v>2015</v>
      </c>
      <c r="G831" s="2">
        <f t="shared" ref="G831:H831" si="77">F831+1</f>
        <v>2016</v>
      </c>
      <c r="H831" s="2">
        <f t="shared" si="77"/>
        <v>2017</v>
      </c>
    </row>
    <row r="832" spans="1:9" hidden="1" x14ac:dyDescent="0.25">
      <c r="B832" s="71" t="str">
        <f xml:space="preserve"> 'Facility Detail'!$B$1155 &amp; " Surplus Applied to " &amp; ( 'Facility Detail'!$B$1155 + 1 )</f>
        <v>2013 Surplus Applied to 2014</v>
      </c>
      <c r="C832" s="66"/>
      <c r="D832" s="3">
        <f>D818+D823-D829</f>
        <v>0</v>
      </c>
      <c r="E832" s="59">
        <f>D832</f>
        <v>0</v>
      </c>
      <c r="F832" s="135"/>
      <c r="G832" s="135"/>
      <c r="H832" s="136"/>
    </row>
    <row r="833" spans="1:8" hidden="1" x14ac:dyDescent="0.25">
      <c r="B833" s="71" t="str">
        <f xml:space="preserve"> ( 'Facility Detail'!$B$1155 + 1 ) &amp; " Surplus Applied to " &amp; ( 'Facility Detail'!$B$1155 )</f>
        <v>2014 Surplus Applied to 2013</v>
      </c>
      <c r="C833" s="66"/>
      <c r="D833" s="157">
        <f>E833</f>
        <v>0</v>
      </c>
      <c r="E833" s="10">
        <v>0</v>
      </c>
      <c r="F833" s="131"/>
      <c r="G833" s="131"/>
      <c r="H833" s="137"/>
    </row>
    <row r="834" spans="1:8" hidden="1" x14ac:dyDescent="0.25">
      <c r="B834" s="71" t="str">
        <f xml:space="preserve"> ( 'Facility Detail'!$B$1155 + 1 ) &amp; " Surplus Applied to " &amp; ( 'Facility Detail'!$B$1155 + 2 )</f>
        <v>2014 Surplus Applied to 2015</v>
      </c>
      <c r="C834" s="66"/>
      <c r="D834" s="132"/>
      <c r="E834" s="10">
        <f>E818+E823-E829</f>
        <v>0</v>
      </c>
      <c r="F834" s="65">
        <f>+E834</f>
        <v>0</v>
      </c>
      <c r="G834" s="131"/>
      <c r="H834" s="137"/>
    </row>
    <row r="835" spans="1:8" hidden="1" x14ac:dyDescent="0.25">
      <c r="B835" s="71" t="str">
        <f xml:space="preserve"> ( 'Facility Detail'!$B$1155 + 2 ) &amp; " Surplus Applied to " &amp; ( 'Facility Detail'!$B$1155 + 1 )</f>
        <v>2015 Surplus Applied to 2014</v>
      </c>
      <c r="C835" s="66"/>
      <c r="D835" s="132"/>
      <c r="E835" s="65">
        <f>F835</f>
        <v>0</v>
      </c>
      <c r="F835" s="10">
        <v>0</v>
      </c>
      <c r="G835" s="131"/>
      <c r="H835" s="137"/>
    </row>
    <row r="836" spans="1:8" hidden="1" x14ac:dyDescent="0.25">
      <c r="B836" s="71"/>
      <c r="C836" s="33"/>
      <c r="D836" s="132"/>
      <c r="E836" s="131"/>
      <c r="F836" s="10">
        <f>F818+F823-F829</f>
        <v>0</v>
      </c>
      <c r="G836" s="65">
        <f>+F836</f>
        <v>0</v>
      </c>
      <c r="H836" s="137"/>
    </row>
    <row r="837" spans="1:8" hidden="1" x14ac:dyDescent="0.25">
      <c r="B837" s="71"/>
      <c r="C837" s="33"/>
      <c r="D837" s="132"/>
      <c r="E837" s="131"/>
      <c r="F837" s="65">
        <f>G837</f>
        <v>0</v>
      </c>
      <c r="G837" s="10">
        <v>0</v>
      </c>
      <c r="H837" s="137"/>
    </row>
    <row r="838" spans="1:8" hidden="1" x14ac:dyDescent="0.25">
      <c r="B838" s="71"/>
      <c r="C838" s="33"/>
      <c r="D838" s="132"/>
      <c r="E838" s="131"/>
      <c r="F838" s="131"/>
      <c r="G838" s="10">
        <f>G818+G823-G829</f>
        <v>0</v>
      </c>
      <c r="H838" s="60">
        <f>+G838</f>
        <v>0</v>
      </c>
    </row>
    <row r="839" spans="1:8" hidden="1" x14ac:dyDescent="0.25">
      <c r="B839" s="71"/>
      <c r="C839" s="33"/>
      <c r="D839" s="133"/>
      <c r="E839" s="134"/>
      <c r="F839" s="134"/>
      <c r="G839" s="61">
        <f>H839</f>
        <v>0</v>
      </c>
      <c r="H839" s="51">
        <v>0</v>
      </c>
    </row>
    <row r="840" spans="1:8" hidden="1" x14ac:dyDescent="0.25">
      <c r="B840" s="36" t="s">
        <v>37</v>
      </c>
      <c r="D840" s="7">
        <f xml:space="preserve"> D833 - D832</f>
        <v>0</v>
      </c>
      <c r="E840" s="7">
        <f xml:space="preserve"> E832 + E835 - E834 - E833</f>
        <v>0</v>
      </c>
      <c r="F840" s="7">
        <f>F834 - F835 - F836 + F837</f>
        <v>0</v>
      </c>
      <c r="G840" s="7">
        <f>G836  - G837 - G838  + G839</f>
        <v>0</v>
      </c>
      <c r="H840" s="7">
        <f>H838 - H839</f>
        <v>0</v>
      </c>
    </row>
    <row r="841" spans="1:8" hidden="1" x14ac:dyDescent="0.25">
      <c r="B841" s="6"/>
      <c r="D841" s="7"/>
      <c r="E841" s="7"/>
      <c r="F841" s="7"/>
      <c r="G841" s="7"/>
      <c r="H841" s="7"/>
    </row>
    <row r="842" spans="1:8" hidden="1" x14ac:dyDescent="0.25">
      <c r="B842" s="68" t="s">
        <v>32</v>
      </c>
      <c r="C842" s="66"/>
      <c r="D842" s="90"/>
      <c r="E842" s="91"/>
      <c r="F842" s="129"/>
      <c r="G842" s="129"/>
      <c r="H842" s="92"/>
    </row>
    <row r="843" spans="1:8" hidden="1" x14ac:dyDescent="0.25">
      <c r="B843" s="6"/>
      <c r="D843" s="7"/>
      <c r="E843" s="7"/>
      <c r="F843" s="7"/>
      <c r="G843" s="7"/>
      <c r="H843" s="7"/>
    </row>
    <row r="844" spans="1:8" ht="18.75" hidden="1" x14ac:dyDescent="0.3">
      <c r="A844" s="45" t="s">
        <v>46</v>
      </c>
      <c r="C844" s="66"/>
      <c r="D844" s="130">
        <f xml:space="preserve"> D818 + D823 - D829 + D840 + D842</f>
        <v>0</v>
      </c>
      <c r="E844" s="130">
        <f xml:space="preserve"> E818 + E823 - E829 + E840 + E842</f>
        <v>0</v>
      </c>
      <c r="F844" s="130">
        <f xml:space="preserve"> F818 + F823 - F829 + F840 + F842</f>
        <v>0</v>
      </c>
      <c r="G844" s="130"/>
      <c r="H844" s="49"/>
    </row>
    <row r="845" spans="1:8" hidden="1" x14ac:dyDescent="0.25">
      <c r="B845" s="6"/>
      <c r="D845" s="7"/>
      <c r="E845" s="7"/>
      <c r="F845" s="7"/>
      <c r="G845" s="32"/>
      <c r="H845" s="32"/>
    </row>
    <row r="846" spans="1:8" hidden="1" x14ac:dyDescent="0.25"/>
    <row r="847" spans="1:8" hidden="1" x14ac:dyDescent="0.25">
      <c r="A847" s="8"/>
      <c r="B847" s="8"/>
      <c r="C847" s="8"/>
      <c r="D847" s="8"/>
      <c r="E847" s="8"/>
      <c r="F847" s="8"/>
      <c r="G847" s="8"/>
      <c r="H847" s="8"/>
    </row>
    <row r="848" spans="1:8" hidden="1" x14ac:dyDescent="0.25">
      <c r="B848" s="33"/>
      <c r="C848" s="33"/>
      <c r="D848" s="33"/>
      <c r="E848" s="33"/>
      <c r="F848" s="33"/>
      <c r="G848" s="33"/>
      <c r="H848" s="33"/>
    </row>
    <row r="849" spans="1:8" ht="21" hidden="1" x14ac:dyDescent="0.35">
      <c r="A849" s="13" t="s">
        <v>4</v>
      </c>
      <c r="B849" s="13"/>
      <c r="C849" s="46" t="str">
        <f>B26</f>
        <v>Facility 23</v>
      </c>
      <c r="D849" s="47"/>
      <c r="E849" s="23"/>
      <c r="F849" s="23"/>
    </row>
    <row r="850" spans="1:8" hidden="1" x14ac:dyDescent="0.25"/>
    <row r="851" spans="1:8" ht="18.75" hidden="1" x14ac:dyDescent="0.3">
      <c r="A851" s="9" t="s">
        <v>41</v>
      </c>
      <c r="B851" s="9"/>
      <c r="D851" s="2">
        <f>'Facility Detail'!$B$1155</f>
        <v>2013</v>
      </c>
      <c r="E851" s="2">
        <f>D851+1</f>
        <v>2014</v>
      </c>
      <c r="F851" s="2">
        <f>E851+1</f>
        <v>2015</v>
      </c>
      <c r="G851" s="2">
        <f t="shared" ref="G851:H851" si="78">F851+1</f>
        <v>2016</v>
      </c>
      <c r="H851" s="2">
        <f t="shared" si="78"/>
        <v>2017</v>
      </c>
    </row>
    <row r="852" spans="1:8" hidden="1" x14ac:dyDescent="0.25">
      <c r="B852" s="71" t="str">
        <f>"Total MWh Produced / Purchased from " &amp; C849</f>
        <v>Total MWh Produced / Purchased from Facility 23</v>
      </c>
      <c r="C852" s="66"/>
      <c r="D852" s="3"/>
      <c r="E852" s="4"/>
      <c r="F852" s="4"/>
      <c r="G852" s="4"/>
      <c r="H852" s="5"/>
    </row>
    <row r="853" spans="1:8" hidden="1" x14ac:dyDescent="0.25">
      <c r="B853" s="71" t="s">
        <v>45</v>
      </c>
      <c r="C853" s="66"/>
      <c r="D853" s="155"/>
      <c r="E853" s="154"/>
      <c r="F853" s="154"/>
      <c r="G853" s="154"/>
      <c r="H853" s="156"/>
    </row>
    <row r="854" spans="1:8" hidden="1" x14ac:dyDescent="0.25">
      <c r="B854" s="71" t="s">
        <v>40</v>
      </c>
      <c r="C854" s="66"/>
      <c r="D854" s="146"/>
      <c r="E854" s="52"/>
      <c r="F854" s="52"/>
      <c r="G854" s="52"/>
      <c r="H854" s="53"/>
    </row>
    <row r="855" spans="1:8" hidden="1" x14ac:dyDescent="0.25">
      <c r="B855" s="68" t="s">
        <v>42</v>
      </c>
      <c r="C855" s="69"/>
      <c r="D855" s="41">
        <f xml:space="preserve"> D852 * D853 * D854</f>
        <v>0</v>
      </c>
      <c r="E855" s="153">
        <f xml:space="preserve"> E852 * E853 * E854</f>
        <v>0</v>
      </c>
      <c r="F855" s="153">
        <f xml:space="preserve"> F852 * F853 * F854</f>
        <v>0</v>
      </c>
      <c r="G855" s="153"/>
      <c r="H855" s="153"/>
    </row>
    <row r="856" spans="1:8" hidden="1" x14ac:dyDescent="0.25">
      <c r="B856" s="23"/>
      <c r="C856" s="33"/>
      <c r="D856" s="40"/>
      <c r="E856" s="40"/>
      <c r="F856" s="40"/>
      <c r="G856" s="40"/>
      <c r="H856" s="40"/>
    </row>
    <row r="857" spans="1:8" ht="18.75" hidden="1" x14ac:dyDescent="0.3">
      <c r="A857" s="48" t="s">
        <v>139</v>
      </c>
      <c r="C857" s="33"/>
      <c r="D857" s="2">
        <f>'Facility Detail'!$B$1155</f>
        <v>2013</v>
      </c>
      <c r="E857" s="2">
        <f>D857+1</f>
        <v>2014</v>
      </c>
      <c r="F857" s="2">
        <f>E857+1</f>
        <v>2015</v>
      </c>
      <c r="G857" s="2">
        <f t="shared" ref="G857:H857" si="79">F857+1</f>
        <v>2016</v>
      </c>
      <c r="H857" s="2">
        <f t="shared" si="79"/>
        <v>2017</v>
      </c>
    </row>
    <row r="858" spans="1:8" hidden="1" x14ac:dyDescent="0.25">
      <c r="B858" s="71" t="s">
        <v>30</v>
      </c>
      <c r="C858" s="66"/>
      <c r="D858" s="54">
        <f>IF( $F458 = "Eligible", D855 * 'Facility Detail'!$B$1152, 0 )</f>
        <v>0</v>
      </c>
      <c r="E858" s="11">
        <f>IF( $F458 = "Eligible", E855 * 'Facility Detail'!$B$1152, 0 )</f>
        <v>0</v>
      </c>
      <c r="F858" s="127">
        <f>IF( $F458 = "Eligible", F855 * 'Facility Detail'!$B$1152, 0 )</f>
        <v>0</v>
      </c>
      <c r="G858" s="127">
        <f>IF( $F458 = "Eligible", G855 * 'Facility Detail'!$B$1152, 0 )</f>
        <v>0</v>
      </c>
      <c r="H858" s="12">
        <f>IF( $F458 = "Eligible", H855 * 'Facility Detail'!$B$1152, 0 )</f>
        <v>0</v>
      </c>
    </row>
    <row r="859" spans="1:8" hidden="1" x14ac:dyDescent="0.25">
      <c r="B859" s="71" t="s">
        <v>6</v>
      </c>
      <c r="C859" s="66"/>
      <c r="D859" s="55">
        <f>IF( $G458 = "Eligible", D855, 0 )</f>
        <v>0</v>
      </c>
      <c r="E859" s="56">
        <f>IF( $G458 = "Eligible", E855, 0 )</f>
        <v>0</v>
      </c>
      <c r="F859" s="128">
        <f t="shared" ref="F859:H859" si="80">IF( $G458 = "Eligible", F855, 0 )</f>
        <v>0</v>
      </c>
      <c r="G859" s="128">
        <f t="shared" si="80"/>
        <v>0</v>
      </c>
      <c r="H859" s="57">
        <f t="shared" si="80"/>
        <v>0</v>
      </c>
    </row>
    <row r="860" spans="1:8" hidden="1" x14ac:dyDescent="0.25">
      <c r="B860" s="70" t="s">
        <v>141</v>
      </c>
      <c r="C860" s="69"/>
      <c r="D860" s="43">
        <f>SUM(D858:D859)</f>
        <v>0</v>
      </c>
      <c r="E860" s="44">
        <f>SUM(E858:E859)</f>
        <v>0</v>
      </c>
      <c r="F860" s="44">
        <f>SUM(F858:F859)</f>
        <v>0</v>
      </c>
      <c r="G860" s="44">
        <f t="shared" ref="G860" si="81">SUM(G858:G859)</f>
        <v>0</v>
      </c>
      <c r="H860" s="44">
        <f t="shared" ref="H860" si="82">SUM(H858:H859)</f>
        <v>0</v>
      </c>
    </row>
    <row r="861" spans="1:8" hidden="1" x14ac:dyDescent="0.25">
      <c r="B861" s="33"/>
      <c r="C861" s="33"/>
      <c r="D861" s="42"/>
      <c r="E861" s="34"/>
      <c r="F861" s="34"/>
      <c r="G861" s="34"/>
      <c r="H861" s="34"/>
    </row>
    <row r="862" spans="1:8" ht="18.75" hidden="1" x14ac:dyDescent="0.3">
      <c r="A862" s="45" t="s">
        <v>50</v>
      </c>
      <c r="C862" s="33"/>
      <c r="D862" s="2">
        <f>'Facility Detail'!$B$1155</f>
        <v>2013</v>
      </c>
      <c r="E862" s="2">
        <f>D862+1</f>
        <v>2014</v>
      </c>
      <c r="F862" s="2">
        <f>E862+1</f>
        <v>2015</v>
      </c>
      <c r="G862" s="2">
        <f t="shared" ref="G862:H862" si="83">F862+1</f>
        <v>2016</v>
      </c>
      <c r="H862" s="2">
        <f t="shared" si="83"/>
        <v>2017</v>
      </c>
    </row>
    <row r="863" spans="1:8" hidden="1" x14ac:dyDescent="0.25">
      <c r="B863" s="71" t="s">
        <v>67</v>
      </c>
      <c r="C863" s="66"/>
      <c r="D863" s="161"/>
      <c r="E863" s="4"/>
      <c r="F863" s="4"/>
      <c r="G863" s="4"/>
      <c r="H863" s="5"/>
    </row>
    <row r="864" spans="1:8" hidden="1" x14ac:dyDescent="0.25">
      <c r="B864" s="72" t="s">
        <v>43</v>
      </c>
      <c r="C864" s="73"/>
      <c r="D864" s="82"/>
      <c r="E864" s="162"/>
      <c r="F864" s="162"/>
      <c r="G864" s="162"/>
      <c r="H864" s="163"/>
    </row>
    <row r="865" spans="1:8" hidden="1" x14ac:dyDescent="0.25">
      <c r="B865" s="83" t="s">
        <v>109</v>
      </c>
      <c r="C865" s="81"/>
      <c r="D865" s="58"/>
      <c r="E865" s="164"/>
      <c r="F865" s="164"/>
      <c r="G865" s="164"/>
      <c r="H865" s="165"/>
    </row>
    <row r="866" spans="1:8" hidden="1" x14ac:dyDescent="0.25">
      <c r="B866" s="36" t="s">
        <v>110</v>
      </c>
      <c r="D866" s="7">
        <f>SUM(D863:D865)</f>
        <v>0</v>
      </c>
      <c r="E866" s="7">
        <f>SUM(E863:E865)</f>
        <v>0</v>
      </c>
      <c r="F866" s="7">
        <f>SUM(F863:F865)</f>
        <v>0</v>
      </c>
      <c r="G866" s="7"/>
      <c r="H866" s="7"/>
    </row>
    <row r="867" spans="1:8" hidden="1" x14ac:dyDescent="0.25">
      <c r="B867" s="6"/>
      <c r="D867" s="7"/>
      <c r="E867" s="7"/>
      <c r="F867" s="7"/>
      <c r="G867" s="7"/>
      <c r="H867" s="7"/>
    </row>
    <row r="868" spans="1:8" ht="18.75" hidden="1" x14ac:dyDescent="0.3">
      <c r="A868" s="9" t="s">
        <v>120</v>
      </c>
      <c r="D868" s="2">
        <f>'Facility Detail'!$B$1155</f>
        <v>2013</v>
      </c>
      <c r="E868" s="2">
        <f>D868+1</f>
        <v>2014</v>
      </c>
      <c r="F868" s="2">
        <f>E868+1</f>
        <v>2015</v>
      </c>
      <c r="G868" s="2">
        <f t="shared" ref="G868:H868" si="84">F868+1</f>
        <v>2016</v>
      </c>
      <c r="H868" s="2">
        <f t="shared" si="84"/>
        <v>2017</v>
      </c>
    </row>
    <row r="869" spans="1:8" hidden="1" x14ac:dyDescent="0.25">
      <c r="B869" s="71" t="str">
        <f xml:space="preserve"> 'Facility Detail'!$B$1155 &amp; " Surplus Applied to " &amp; ( 'Facility Detail'!$B$1155 + 1 )</f>
        <v>2013 Surplus Applied to 2014</v>
      </c>
      <c r="C869" s="66"/>
      <c r="D869" s="3">
        <f>D855+D860-D866</f>
        <v>0</v>
      </c>
      <c r="E869" s="59">
        <f>D869</f>
        <v>0</v>
      </c>
      <c r="F869" s="135"/>
      <c r="G869" s="135"/>
      <c r="H869" s="136"/>
    </row>
    <row r="870" spans="1:8" hidden="1" x14ac:dyDescent="0.25">
      <c r="B870" s="71" t="str">
        <f xml:space="preserve"> ( 'Facility Detail'!$B$1155 + 1 ) &amp; " Surplus Applied to " &amp; ( 'Facility Detail'!$B$1155 )</f>
        <v>2014 Surplus Applied to 2013</v>
      </c>
      <c r="C870" s="66"/>
      <c r="D870" s="157">
        <f>E870</f>
        <v>0</v>
      </c>
      <c r="E870" s="10">
        <v>0</v>
      </c>
      <c r="F870" s="131"/>
      <c r="G870" s="131"/>
      <c r="H870" s="137"/>
    </row>
    <row r="871" spans="1:8" hidden="1" x14ac:dyDescent="0.25">
      <c r="B871" s="71" t="str">
        <f xml:space="preserve"> ( 'Facility Detail'!$B$1155 + 1 ) &amp; " Surplus Applied to " &amp; ( 'Facility Detail'!$B$1155 + 2 )</f>
        <v>2014 Surplus Applied to 2015</v>
      </c>
      <c r="C871" s="66"/>
      <c r="D871" s="132"/>
      <c r="E871" s="10">
        <f>E855+E860-E866</f>
        <v>0</v>
      </c>
      <c r="F871" s="65">
        <f>+E871</f>
        <v>0</v>
      </c>
      <c r="G871" s="131"/>
      <c r="H871" s="137"/>
    </row>
    <row r="872" spans="1:8" hidden="1" x14ac:dyDescent="0.25">
      <c r="B872" s="71" t="str">
        <f xml:space="preserve"> ( 'Facility Detail'!$B$1155 + 2 ) &amp; " Surplus Applied to " &amp; ( 'Facility Detail'!$B$1155 + 1 )</f>
        <v>2015 Surplus Applied to 2014</v>
      </c>
      <c r="C872" s="66"/>
      <c r="D872" s="132"/>
      <c r="E872" s="65">
        <f>F872</f>
        <v>0</v>
      </c>
      <c r="F872" s="10">
        <v>0</v>
      </c>
      <c r="G872" s="131"/>
      <c r="H872" s="137"/>
    </row>
    <row r="873" spans="1:8" hidden="1" x14ac:dyDescent="0.25">
      <c r="B873" s="71"/>
      <c r="C873" s="33"/>
      <c r="D873" s="132"/>
      <c r="E873" s="131"/>
      <c r="F873" s="10">
        <f>F855+F860-F866</f>
        <v>0</v>
      </c>
      <c r="G873" s="65">
        <f>+F873</f>
        <v>0</v>
      </c>
      <c r="H873" s="137"/>
    </row>
    <row r="874" spans="1:8" hidden="1" x14ac:dyDescent="0.25">
      <c r="B874" s="71"/>
      <c r="C874" s="33"/>
      <c r="D874" s="132"/>
      <c r="E874" s="131"/>
      <c r="F874" s="65">
        <f>G874</f>
        <v>0</v>
      </c>
      <c r="G874" s="10">
        <v>0</v>
      </c>
      <c r="H874" s="137"/>
    </row>
    <row r="875" spans="1:8" hidden="1" x14ac:dyDescent="0.25">
      <c r="B875" s="71"/>
      <c r="C875" s="33"/>
      <c r="D875" s="132"/>
      <c r="E875" s="131"/>
      <c r="F875" s="131"/>
      <c r="G875" s="10">
        <f>G855+G860-G866</f>
        <v>0</v>
      </c>
      <c r="H875" s="60">
        <f>+G875</f>
        <v>0</v>
      </c>
    </row>
    <row r="876" spans="1:8" hidden="1" x14ac:dyDescent="0.25">
      <c r="B876" s="71"/>
      <c r="C876" s="33"/>
      <c r="D876" s="133"/>
      <c r="E876" s="134"/>
      <c r="F876" s="134"/>
      <c r="G876" s="61">
        <f>H876</f>
        <v>0</v>
      </c>
      <c r="H876" s="51">
        <v>0</v>
      </c>
    </row>
    <row r="877" spans="1:8" hidden="1" x14ac:dyDescent="0.25">
      <c r="B877" s="36" t="s">
        <v>37</v>
      </c>
      <c r="D877" s="7">
        <f xml:space="preserve"> D870 - D869</f>
        <v>0</v>
      </c>
      <c r="E877" s="7">
        <f xml:space="preserve"> E869 + E872 - E871 - E870</f>
        <v>0</v>
      </c>
      <c r="F877" s="7">
        <f>F871 - F872 - F873 + F874</f>
        <v>0</v>
      </c>
      <c r="G877" s="7">
        <f>G873  - G874 - G875  + G876</f>
        <v>0</v>
      </c>
      <c r="H877" s="7">
        <f>H875 - H876</f>
        <v>0</v>
      </c>
    </row>
    <row r="878" spans="1:8" hidden="1" x14ac:dyDescent="0.25">
      <c r="B878" s="6"/>
      <c r="D878" s="7"/>
      <c r="E878" s="7"/>
      <c r="F878" s="7"/>
      <c r="G878" s="7"/>
      <c r="H878" s="7"/>
    </row>
    <row r="879" spans="1:8" hidden="1" x14ac:dyDescent="0.25">
      <c r="B879" s="68" t="s">
        <v>32</v>
      </c>
      <c r="C879" s="66"/>
      <c r="D879" s="90"/>
      <c r="E879" s="91"/>
      <c r="F879" s="129"/>
      <c r="G879" s="129"/>
      <c r="H879" s="92"/>
    </row>
    <row r="880" spans="1:8" hidden="1" x14ac:dyDescent="0.25">
      <c r="B880" s="6"/>
      <c r="D880" s="7"/>
      <c r="E880" s="7"/>
      <c r="F880" s="7"/>
      <c r="G880" s="7"/>
      <c r="H880" s="7"/>
    </row>
    <row r="881" spans="1:8" ht="18.75" hidden="1" x14ac:dyDescent="0.3">
      <c r="A881" s="45" t="s">
        <v>46</v>
      </c>
      <c r="C881" s="66"/>
      <c r="D881" s="130">
        <f xml:space="preserve"> D855 + D860 - D866 + D877 + D879</f>
        <v>0</v>
      </c>
      <c r="E881" s="130">
        <f xml:space="preserve"> E855 + E860 - E866 + E877 + E879</f>
        <v>0</v>
      </c>
      <c r="F881" s="130">
        <f xml:space="preserve"> F855 + F860 - F866 + F877 + F879</f>
        <v>0</v>
      </c>
      <c r="G881" s="130"/>
      <c r="H881" s="49"/>
    </row>
    <row r="882" spans="1:8" hidden="1" x14ac:dyDescent="0.25">
      <c r="B882" s="6"/>
      <c r="D882" s="7"/>
      <c r="E882" s="7"/>
      <c r="F882" s="7"/>
      <c r="G882" s="32"/>
      <c r="H882" s="32"/>
    </row>
    <row r="883" spans="1:8" hidden="1" x14ac:dyDescent="0.25"/>
    <row r="884" spans="1:8" hidden="1" x14ac:dyDescent="0.25">
      <c r="A884" s="8"/>
      <c r="B884" s="8"/>
      <c r="C884" s="8"/>
      <c r="D884" s="8"/>
      <c r="E884" s="8"/>
      <c r="F884" s="8"/>
      <c r="G884" s="8"/>
      <c r="H884" s="8"/>
    </row>
    <row r="885" spans="1:8" hidden="1" x14ac:dyDescent="0.25">
      <c r="B885" s="33"/>
      <c r="C885" s="33"/>
      <c r="D885" s="33"/>
      <c r="E885" s="33"/>
      <c r="F885" s="33"/>
      <c r="G885" s="33"/>
      <c r="H885" s="33"/>
    </row>
    <row r="886" spans="1:8" ht="21" hidden="1" x14ac:dyDescent="0.35">
      <c r="A886" s="13" t="s">
        <v>4</v>
      </c>
      <c r="B886" s="13"/>
      <c r="C886" s="46" t="str">
        <f>B27</f>
        <v>Facility 24</v>
      </c>
      <c r="D886" s="47"/>
      <c r="E886" s="23"/>
      <c r="F886" s="23"/>
    </row>
    <row r="887" spans="1:8" hidden="1" x14ac:dyDescent="0.25"/>
    <row r="888" spans="1:8" ht="18.75" hidden="1" x14ac:dyDescent="0.3">
      <c r="A888" s="9" t="s">
        <v>41</v>
      </c>
      <c r="B888" s="9"/>
      <c r="D888" s="2">
        <f>'Facility Detail'!$B$1155</f>
        <v>2013</v>
      </c>
      <c r="E888" s="2">
        <f>D888+1</f>
        <v>2014</v>
      </c>
      <c r="F888" s="2">
        <f>E888+1</f>
        <v>2015</v>
      </c>
      <c r="G888" s="2">
        <f t="shared" ref="G888:H888" si="85">F888+1</f>
        <v>2016</v>
      </c>
      <c r="H888" s="2">
        <f t="shared" si="85"/>
        <v>2017</v>
      </c>
    </row>
    <row r="889" spans="1:8" hidden="1" x14ac:dyDescent="0.25">
      <c r="B889" s="71" t="str">
        <f>"Total MWh Produced / Purchased from " &amp; C886</f>
        <v>Total MWh Produced / Purchased from Facility 24</v>
      </c>
      <c r="C889" s="66"/>
      <c r="D889" s="3"/>
      <c r="E889" s="4"/>
      <c r="F889" s="4"/>
      <c r="G889" s="4"/>
      <c r="H889" s="5"/>
    </row>
    <row r="890" spans="1:8" hidden="1" x14ac:dyDescent="0.25">
      <c r="B890" s="71" t="s">
        <v>45</v>
      </c>
      <c r="C890" s="66"/>
      <c r="D890" s="155"/>
      <c r="E890" s="154"/>
      <c r="F890" s="154"/>
      <c r="G890" s="154"/>
      <c r="H890" s="156"/>
    </row>
    <row r="891" spans="1:8" hidden="1" x14ac:dyDescent="0.25">
      <c r="B891" s="71" t="s">
        <v>40</v>
      </c>
      <c r="C891" s="66"/>
      <c r="D891" s="146"/>
      <c r="E891" s="52"/>
      <c r="F891" s="52"/>
      <c r="G891" s="52"/>
      <c r="H891" s="53"/>
    </row>
    <row r="892" spans="1:8" hidden="1" x14ac:dyDescent="0.25">
      <c r="B892" s="68" t="s">
        <v>42</v>
      </c>
      <c r="C892" s="69"/>
      <c r="D892" s="41">
        <f xml:space="preserve"> D889 * D890 * D891</f>
        <v>0</v>
      </c>
      <c r="E892" s="153">
        <f xml:space="preserve"> E889 * E890 * E891</f>
        <v>0</v>
      </c>
      <c r="F892" s="153">
        <f xml:space="preserve"> F889 * F890 * F891</f>
        <v>0</v>
      </c>
      <c r="G892" s="153"/>
      <c r="H892" s="153"/>
    </row>
    <row r="893" spans="1:8" hidden="1" x14ac:dyDescent="0.25">
      <c r="B893" s="23"/>
      <c r="C893" s="33"/>
      <c r="D893" s="40"/>
      <c r="E893" s="40"/>
      <c r="F893" s="40"/>
      <c r="G893" s="40"/>
      <c r="H893" s="40"/>
    </row>
    <row r="894" spans="1:8" ht="18.75" hidden="1" x14ac:dyDescent="0.3">
      <c r="A894" s="48" t="s">
        <v>139</v>
      </c>
      <c r="C894" s="33"/>
      <c r="D894" s="2">
        <f>'Facility Detail'!$B$1155</f>
        <v>2013</v>
      </c>
      <c r="E894" s="2">
        <f>D894+1</f>
        <v>2014</v>
      </c>
      <c r="F894" s="2">
        <f>E894+1</f>
        <v>2015</v>
      </c>
      <c r="G894" s="2">
        <f t="shared" ref="G894:H894" si="86">F894+1</f>
        <v>2016</v>
      </c>
      <c r="H894" s="2">
        <f t="shared" si="86"/>
        <v>2017</v>
      </c>
    </row>
    <row r="895" spans="1:8" hidden="1" x14ac:dyDescent="0.25">
      <c r="B895" s="71" t="s">
        <v>30</v>
      </c>
      <c r="C895" s="66"/>
      <c r="D895" s="54">
        <f>IF( $F495 = "Eligible", D892 * 'Facility Detail'!$B$1152, 0 )</f>
        <v>0</v>
      </c>
      <c r="E895" s="11">
        <f>IF( $F495 = "Eligible", E892 * 'Facility Detail'!$B$1152, 0 )</f>
        <v>0</v>
      </c>
      <c r="F895" s="127">
        <f>IF( $F495 = "Eligible", F892 * 'Facility Detail'!$B$1152, 0 )</f>
        <v>0</v>
      </c>
      <c r="G895" s="127">
        <f>IF( $F495 = "Eligible", G892 * 'Facility Detail'!$B$1152, 0 )</f>
        <v>0</v>
      </c>
      <c r="H895" s="12">
        <f>IF( $F495 = "Eligible", H892 * 'Facility Detail'!$B$1152, 0 )</f>
        <v>0</v>
      </c>
    </row>
    <row r="896" spans="1:8" hidden="1" x14ac:dyDescent="0.25">
      <c r="B896" s="71" t="s">
        <v>6</v>
      </c>
      <c r="C896" s="66"/>
      <c r="D896" s="55">
        <f>IF( $G495 = "Eligible", D892, 0 )</f>
        <v>0</v>
      </c>
      <c r="E896" s="56">
        <f>IF( $G495 = "Eligible", E892, 0 )</f>
        <v>0</v>
      </c>
      <c r="F896" s="128">
        <f t="shared" ref="F896:H896" si="87">IF( $G495 = "Eligible", F892, 0 )</f>
        <v>0</v>
      </c>
      <c r="G896" s="128">
        <f t="shared" si="87"/>
        <v>0</v>
      </c>
      <c r="H896" s="57">
        <f t="shared" si="87"/>
        <v>0</v>
      </c>
    </row>
    <row r="897" spans="1:8" hidden="1" x14ac:dyDescent="0.25">
      <c r="B897" s="70" t="s">
        <v>141</v>
      </c>
      <c r="C897" s="69"/>
      <c r="D897" s="43">
        <f>SUM(D895:D896)</f>
        <v>0</v>
      </c>
      <c r="E897" s="44">
        <f>SUM(E895:E896)</f>
        <v>0</v>
      </c>
      <c r="F897" s="44">
        <f>SUM(F895:F896)</f>
        <v>0</v>
      </c>
      <c r="G897" s="44">
        <f t="shared" ref="G897" si="88">SUM(G895:G896)</f>
        <v>0</v>
      </c>
      <c r="H897" s="44">
        <f t="shared" ref="H897" si="89">SUM(H895:H896)</f>
        <v>0</v>
      </c>
    </row>
    <row r="898" spans="1:8" hidden="1" x14ac:dyDescent="0.25">
      <c r="B898" s="33"/>
      <c r="C898" s="33"/>
      <c r="D898" s="42"/>
      <c r="E898" s="34"/>
      <c r="F898" s="34"/>
      <c r="G898" s="34"/>
      <c r="H898" s="34"/>
    </row>
    <row r="899" spans="1:8" ht="18.75" hidden="1" x14ac:dyDescent="0.3">
      <c r="A899" s="45" t="s">
        <v>50</v>
      </c>
      <c r="C899" s="33"/>
      <c r="D899" s="2">
        <f>'Facility Detail'!$B$1155</f>
        <v>2013</v>
      </c>
      <c r="E899" s="2">
        <f>D899+1</f>
        <v>2014</v>
      </c>
      <c r="F899" s="2">
        <f>E899+1</f>
        <v>2015</v>
      </c>
      <c r="G899" s="2">
        <f t="shared" ref="G899:H899" si="90">F899+1</f>
        <v>2016</v>
      </c>
      <c r="H899" s="2">
        <f t="shared" si="90"/>
        <v>2017</v>
      </c>
    </row>
    <row r="900" spans="1:8" hidden="1" x14ac:dyDescent="0.25">
      <c r="B900" s="71" t="s">
        <v>67</v>
      </c>
      <c r="C900" s="66"/>
      <c r="D900" s="161"/>
      <c r="E900" s="4"/>
      <c r="F900" s="4"/>
      <c r="G900" s="4"/>
      <c r="H900" s="5"/>
    </row>
    <row r="901" spans="1:8" hidden="1" x14ac:dyDescent="0.25">
      <c r="B901" s="72" t="s">
        <v>43</v>
      </c>
      <c r="C901" s="73"/>
      <c r="D901" s="82"/>
      <c r="E901" s="162"/>
      <c r="F901" s="162"/>
      <c r="G901" s="162"/>
      <c r="H901" s="163"/>
    </row>
    <row r="902" spans="1:8" hidden="1" x14ac:dyDescent="0.25">
      <c r="B902" s="83" t="s">
        <v>109</v>
      </c>
      <c r="C902" s="81"/>
      <c r="D902" s="58"/>
      <c r="E902" s="164"/>
      <c r="F902" s="164"/>
      <c r="G902" s="164"/>
      <c r="H902" s="165"/>
    </row>
    <row r="903" spans="1:8" hidden="1" x14ac:dyDescent="0.25">
      <c r="B903" s="36" t="s">
        <v>110</v>
      </c>
      <c r="D903" s="7">
        <f>SUM(D900:D902)</f>
        <v>0</v>
      </c>
      <c r="E903" s="7">
        <f>SUM(E900:E902)</f>
        <v>0</v>
      </c>
      <c r="F903" s="7">
        <f>SUM(F900:F902)</f>
        <v>0</v>
      </c>
      <c r="G903" s="7"/>
      <c r="H903" s="7"/>
    </row>
    <row r="904" spans="1:8" hidden="1" x14ac:dyDescent="0.25">
      <c r="B904" s="6"/>
      <c r="D904" s="7"/>
      <c r="E904" s="7"/>
      <c r="F904" s="7"/>
      <c r="G904" s="7"/>
      <c r="H904" s="7"/>
    </row>
    <row r="905" spans="1:8" ht="18.75" hidden="1" x14ac:dyDescent="0.3">
      <c r="A905" s="9" t="s">
        <v>120</v>
      </c>
      <c r="D905" s="2">
        <f>'Facility Detail'!$B$1155</f>
        <v>2013</v>
      </c>
      <c r="E905" s="2">
        <f>D905+1</f>
        <v>2014</v>
      </c>
      <c r="F905" s="2">
        <f>E905+1</f>
        <v>2015</v>
      </c>
      <c r="G905" s="2">
        <f t="shared" ref="G905:H905" si="91">F905+1</f>
        <v>2016</v>
      </c>
      <c r="H905" s="2">
        <f t="shared" si="91"/>
        <v>2017</v>
      </c>
    </row>
    <row r="906" spans="1:8" hidden="1" x14ac:dyDescent="0.25">
      <c r="B906" s="71" t="str">
        <f xml:space="preserve"> 'Facility Detail'!$B$1155 &amp; " Surplus Applied to " &amp; ( 'Facility Detail'!$B$1155 + 1 )</f>
        <v>2013 Surplus Applied to 2014</v>
      </c>
      <c r="C906" s="66"/>
      <c r="D906" s="3">
        <f>D892+D897-D903</f>
        <v>0</v>
      </c>
      <c r="E906" s="59">
        <f>D906</f>
        <v>0</v>
      </c>
      <c r="F906" s="135"/>
      <c r="G906" s="135"/>
      <c r="H906" s="136"/>
    </row>
    <row r="907" spans="1:8" hidden="1" x14ac:dyDescent="0.25">
      <c r="B907" s="71" t="str">
        <f xml:space="preserve"> ( 'Facility Detail'!$B$1155 + 1 ) &amp; " Surplus Applied to " &amp; ( 'Facility Detail'!$B$1155 )</f>
        <v>2014 Surplus Applied to 2013</v>
      </c>
      <c r="C907" s="66"/>
      <c r="D907" s="157">
        <f>E907</f>
        <v>0</v>
      </c>
      <c r="E907" s="10">
        <v>0</v>
      </c>
      <c r="F907" s="131"/>
      <c r="G907" s="131"/>
      <c r="H907" s="137"/>
    </row>
    <row r="908" spans="1:8" hidden="1" x14ac:dyDescent="0.25">
      <c r="B908" s="71" t="str">
        <f xml:space="preserve"> ( 'Facility Detail'!$B$1155 + 1 ) &amp; " Surplus Applied to " &amp; ( 'Facility Detail'!$B$1155 + 2 )</f>
        <v>2014 Surplus Applied to 2015</v>
      </c>
      <c r="C908" s="66"/>
      <c r="D908" s="132"/>
      <c r="E908" s="10">
        <f>E892+E897-E903</f>
        <v>0</v>
      </c>
      <c r="F908" s="65">
        <f>+E908</f>
        <v>0</v>
      </c>
      <c r="G908" s="131"/>
      <c r="H908" s="137"/>
    </row>
    <row r="909" spans="1:8" hidden="1" x14ac:dyDescent="0.25">
      <c r="B909" s="71" t="str">
        <f xml:space="preserve"> ( 'Facility Detail'!$B$1155 + 2 ) &amp; " Surplus Applied to " &amp; ( 'Facility Detail'!$B$1155 + 1 )</f>
        <v>2015 Surplus Applied to 2014</v>
      </c>
      <c r="C909" s="66"/>
      <c r="D909" s="132"/>
      <c r="E909" s="65">
        <f>F909</f>
        <v>0</v>
      </c>
      <c r="F909" s="10">
        <v>0</v>
      </c>
      <c r="G909" s="131"/>
      <c r="H909" s="137"/>
    </row>
    <row r="910" spans="1:8" hidden="1" x14ac:dyDescent="0.25">
      <c r="B910" s="71"/>
      <c r="C910" s="33"/>
      <c r="D910" s="132"/>
      <c r="E910" s="131"/>
      <c r="F910" s="10">
        <f>F892+F897-F903</f>
        <v>0</v>
      </c>
      <c r="G910" s="65">
        <f>+F910</f>
        <v>0</v>
      </c>
      <c r="H910" s="137"/>
    </row>
    <row r="911" spans="1:8" hidden="1" x14ac:dyDescent="0.25">
      <c r="B911" s="71"/>
      <c r="C911" s="33"/>
      <c r="D911" s="132"/>
      <c r="E911" s="131"/>
      <c r="F911" s="65">
        <f>G911</f>
        <v>0</v>
      </c>
      <c r="G911" s="10">
        <v>0</v>
      </c>
      <c r="H911" s="137"/>
    </row>
    <row r="912" spans="1:8" hidden="1" x14ac:dyDescent="0.25">
      <c r="B912" s="71"/>
      <c r="C912" s="33"/>
      <c r="D912" s="132"/>
      <c r="E912" s="131"/>
      <c r="F912" s="131"/>
      <c r="G912" s="10">
        <f>G892+G897-G903</f>
        <v>0</v>
      </c>
      <c r="H912" s="60">
        <f>+G912</f>
        <v>0</v>
      </c>
    </row>
    <row r="913" spans="1:8" hidden="1" x14ac:dyDescent="0.25">
      <c r="B913" s="71"/>
      <c r="C913" s="33"/>
      <c r="D913" s="133"/>
      <c r="E913" s="134"/>
      <c r="F913" s="134"/>
      <c r="G913" s="61">
        <f>H913</f>
        <v>0</v>
      </c>
      <c r="H913" s="51">
        <v>0</v>
      </c>
    </row>
    <row r="914" spans="1:8" hidden="1" x14ac:dyDescent="0.25">
      <c r="B914" s="36" t="s">
        <v>37</v>
      </c>
      <c r="D914" s="7">
        <f xml:space="preserve"> D907 - D906</f>
        <v>0</v>
      </c>
      <c r="E914" s="7">
        <f xml:space="preserve"> E906 + E909 - E908 - E907</f>
        <v>0</v>
      </c>
      <c r="F914" s="7">
        <f>F908 - F909 - F910 + F911</f>
        <v>0</v>
      </c>
      <c r="G914" s="7">
        <f>G910  - G911 - G912  + G913</f>
        <v>0</v>
      </c>
      <c r="H914" s="7">
        <f>H912 - H913</f>
        <v>0</v>
      </c>
    </row>
    <row r="915" spans="1:8" hidden="1" x14ac:dyDescent="0.25">
      <c r="B915" s="6"/>
      <c r="D915" s="7"/>
      <c r="E915" s="7"/>
      <c r="F915" s="7"/>
      <c r="G915" s="7"/>
      <c r="H915" s="7"/>
    </row>
    <row r="916" spans="1:8" hidden="1" x14ac:dyDescent="0.25">
      <c r="B916" s="68" t="s">
        <v>32</v>
      </c>
      <c r="C916" s="66"/>
      <c r="D916" s="90"/>
      <c r="E916" s="91"/>
      <c r="F916" s="129"/>
      <c r="G916" s="129"/>
      <c r="H916" s="92"/>
    </row>
    <row r="917" spans="1:8" hidden="1" x14ac:dyDescent="0.25">
      <c r="B917" s="6"/>
      <c r="D917" s="7"/>
      <c r="E917" s="7"/>
      <c r="F917" s="7"/>
      <c r="G917" s="7"/>
      <c r="H917" s="7"/>
    </row>
    <row r="918" spans="1:8" ht="18.75" hidden="1" x14ac:dyDescent="0.3">
      <c r="A918" s="45" t="s">
        <v>46</v>
      </c>
      <c r="C918" s="66"/>
      <c r="D918" s="130">
        <f xml:space="preserve"> D892 + D897 - D903 + D914 + D916</f>
        <v>0</v>
      </c>
      <c r="E918" s="130">
        <f xml:space="preserve"> E892 + E897 - E903 + E914 + E916</f>
        <v>0</v>
      </c>
      <c r="F918" s="130">
        <f xml:space="preserve"> F892 + F897 - F903 + F914 + F916</f>
        <v>0</v>
      </c>
      <c r="G918" s="130"/>
      <c r="H918" s="49"/>
    </row>
    <row r="919" spans="1:8" hidden="1" x14ac:dyDescent="0.25">
      <c r="B919" s="6"/>
      <c r="D919" s="7"/>
      <c r="E919" s="7"/>
      <c r="F919" s="7"/>
      <c r="G919" s="32"/>
      <c r="H919" s="32"/>
    </row>
    <row r="920" spans="1:8" hidden="1" x14ac:dyDescent="0.25"/>
    <row r="921" spans="1:8" hidden="1" x14ac:dyDescent="0.25">
      <c r="A921" s="8"/>
      <c r="B921" s="8"/>
      <c r="C921" s="8"/>
      <c r="D921" s="8"/>
      <c r="E921" s="8"/>
      <c r="F921" s="8"/>
      <c r="G921" s="8"/>
      <c r="H921" s="8"/>
    </row>
    <row r="922" spans="1:8" hidden="1" x14ac:dyDescent="0.25">
      <c r="B922" s="33"/>
      <c r="C922" s="33"/>
      <c r="D922" s="33"/>
      <c r="E922" s="33"/>
      <c r="F922" s="33"/>
      <c r="G922" s="33"/>
      <c r="H922" s="33"/>
    </row>
    <row r="923" spans="1:8" ht="21" hidden="1" x14ac:dyDescent="0.35">
      <c r="A923" s="13" t="s">
        <v>4</v>
      </c>
      <c r="B923" s="13"/>
      <c r="C923" s="46" t="str">
        <f>B28</f>
        <v>Facility 25</v>
      </c>
      <c r="D923" s="47"/>
      <c r="E923" s="23"/>
      <c r="F923" s="23"/>
    </row>
    <row r="924" spans="1:8" hidden="1" x14ac:dyDescent="0.25"/>
    <row r="925" spans="1:8" ht="18.75" hidden="1" x14ac:dyDescent="0.3">
      <c r="A925" s="9" t="s">
        <v>41</v>
      </c>
      <c r="B925" s="9"/>
      <c r="D925" s="2">
        <f>'Facility Detail'!$B$1155</f>
        <v>2013</v>
      </c>
      <c r="E925" s="2">
        <f>D925+1</f>
        <v>2014</v>
      </c>
      <c r="F925" s="2">
        <f>E925+1</f>
        <v>2015</v>
      </c>
      <c r="G925" s="2">
        <f t="shared" ref="G925:H925" si="92">F925+1</f>
        <v>2016</v>
      </c>
      <c r="H925" s="2">
        <f t="shared" si="92"/>
        <v>2017</v>
      </c>
    </row>
    <row r="926" spans="1:8" hidden="1" x14ac:dyDescent="0.25">
      <c r="B926" s="71" t="str">
        <f>"Total MWh Produced / Purchased from " &amp; C923</f>
        <v>Total MWh Produced / Purchased from Facility 25</v>
      </c>
      <c r="C926" s="66"/>
      <c r="D926" s="3"/>
      <c r="E926" s="4"/>
      <c r="F926" s="4"/>
      <c r="G926" s="4"/>
      <c r="H926" s="5"/>
    </row>
    <row r="927" spans="1:8" hidden="1" x14ac:dyDescent="0.25">
      <c r="B927" s="71" t="s">
        <v>45</v>
      </c>
      <c r="C927" s="66"/>
      <c r="D927" s="155"/>
      <c r="E927" s="154"/>
      <c r="F927" s="154"/>
      <c r="G927" s="154"/>
      <c r="H927" s="156"/>
    </row>
    <row r="928" spans="1:8" hidden="1" x14ac:dyDescent="0.25">
      <c r="B928" s="71" t="s">
        <v>40</v>
      </c>
      <c r="C928" s="66"/>
      <c r="D928" s="146"/>
      <c r="E928" s="52"/>
      <c r="F928" s="52"/>
      <c r="G928" s="52"/>
      <c r="H928" s="53"/>
    </row>
    <row r="929" spans="1:8" hidden="1" x14ac:dyDescent="0.25">
      <c r="B929" s="68" t="s">
        <v>42</v>
      </c>
      <c r="C929" s="69"/>
      <c r="D929" s="41">
        <f xml:space="preserve"> D926 * D927 * D928</f>
        <v>0</v>
      </c>
      <c r="E929" s="153">
        <f xml:space="preserve"> E926 * E927 * E928</f>
        <v>0</v>
      </c>
      <c r="F929" s="153">
        <f xml:space="preserve"> F926 * F927 * F928</f>
        <v>0</v>
      </c>
      <c r="G929" s="153"/>
      <c r="H929" s="153"/>
    </row>
    <row r="930" spans="1:8" hidden="1" x14ac:dyDescent="0.25">
      <c r="B930" s="23"/>
      <c r="C930" s="33"/>
      <c r="D930" s="40"/>
      <c r="E930" s="40"/>
      <c r="F930" s="40"/>
      <c r="G930" s="40"/>
      <c r="H930" s="40"/>
    </row>
    <row r="931" spans="1:8" ht="18.75" hidden="1" x14ac:dyDescent="0.3">
      <c r="A931" s="48" t="s">
        <v>139</v>
      </c>
      <c r="C931" s="33"/>
      <c r="D931" s="2">
        <f>'Facility Detail'!$B$1155</f>
        <v>2013</v>
      </c>
      <c r="E931" s="2">
        <f>D931+1</f>
        <v>2014</v>
      </c>
      <c r="F931" s="2">
        <f>E931+1</f>
        <v>2015</v>
      </c>
      <c r="G931" s="2">
        <f t="shared" ref="G931:H931" si="93">F931+1</f>
        <v>2016</v>
      </c>
      <c r="H931" s="2">
        <f t="shared" si="93"/>
        <v>2017</v>
      </c>
    </row>
    <row r="932" spans="1:8" hidden="1" x14ac:dyDescent="0.25">
      <c r="B932" s="71" t="s">
        <v>30</v>
      </c>
      <c r="C932" s="66"/>
      <c r="D932" s="54">
        <f>IF( $F532 = "Eligible", D929 * 'Facility Detail'!$B$1152, 0 )</f>
        <v>0</v>
      </c>
      <c r="E932" s="11">
        <f>IF( $F532 = "Eligible", E929 * 'Facility Detail'!$B$1152, 0 )</f>
        <v>0</v>
      </c>
      <c r="F932" s="127">
        <f>IF( $F532 = "Eligible", F929 * 'Facility Detail'!$B$1152, 0 )</f>
        <v>0</v>
      </c>
      <c r="G932" s="127">
        <f>IF( $F532 = "Eligible", G929 * 'Facility Detail'!$B$1152, 0 )</f>
        <v>0</v>
      </c>
      <c r="H932" s="12">
        <f>IF( $F532 = "Eligible", H929 * 'Facility Detail'!$B$1152, 0 )</f>
        <v>0</v>
      </c>
    </row>
    <row r="933" spans="1:8" hidden="1" x14ac:dyDescent="0.25">
      <c r="B933" s="71" t="s">
        <v>6</v>
      </c>
      <c r="C933" s="66"/>
      <c r="D933" s="55">
        <f>IF( $G532 = "Eligible", D929, 0 )</f>
        <v>0</v>
      </c>
      <c r="E933" s="56">
        <f>IF( $G532 = "Eligible", E929, 0 )</f>
        <v>0</v>
      </c>
      <c r="F933" s="128">
        <f t="shared" ref="F933:H933" si="94">IF( $G532 = "Eligible", F929, 0 )</f>
        <v>0</v>
      </c>
      <c r="G933" s="128">
        <f t="shared" si="94"/>
        <v>0</v>
      </c>
      <c r="H933" s="57">
        <f t="shared" si="94"/>
        <v>0</v>
      </c>
    </row>
    <row r="934" spans="1:8" hidden="1" x14ac:dyDescent="0.25">
      <c r="B934" s="70" t="s">
        <v>141</v>
      </c>
      <c r="C934" s="69"/>
      <c r="D934" s="43">
        <f>SUM(D932:D933)</f>
        <v>0</v>
      </c>
      <c r="E934" s="44">
        <f>SUM(E932:E933)</f>
        <v>0</v>
      </c>
      <c r="F934" s="44">
        <f>SUM(F932:F933)</f>
        <v>0</v>
      </c>
      <c r="G934" s="44">
        <f t="shared" ref="G934" si="95">SUM(G932:G933)</f>
        <v>0</v>
      </c>
      <c r="H934" s="44">
        <f t="shared" ref="H934" si="96">SUM(H932:H933)</f>
        <v>0</v>
      </c>
    </row>
    <row r="935" spans="1:8" hidden="1" x14ac:dyDescent="0.25">
      <c r="B935" s="33"/>
      <c r="C935" s="33"/>
      <c r="D935" s="42"/>
      <c r="E935" s="34"/>
      <c r="F935" s="34"/>
      <c r="G935" s="34"/>
      <c r="H935" s="34"/>
    </row>
    <row r="936" spans="1:8" ht="18.75" hidden="1" x14ac:dyDescent="0.3">
      <c r="A936" s="45" t="s">
        <v>50</v>
      </c>
      <c r="C936" s="33"/>
      <c r="D936" s="2">
        <f>'Facility Detail'!$B$1155</f>
        <v>2013</v>
      </c>
      <c r="E936" s="2">
        <f>D936+1</f>
        <v>2014</v>
      </c>
      <c r="F936" s="2">
        <f>E936+1</f>
        <v>2015</v>
      </c>
      <c r="G936" s="2">
        <f t="shared" ref="G936:H936" si="97">F936+1</f>
        <v>2016</v>
      </c>
      <c r="H936" s="2">
        <f t="shared" si="97"/>
        <v>2017</v>
      </c>
    </row>
    <row r="937" spans="1:8" hidden="1" x14ac:dyDescent="0.25">
      <c r="B937" s="71" t="s">
        <v>67</v>
      </c>
      <c r="C937" s="66"/>
      <c r="D937" s="161"/>
      <c r="E937" s="4"/>
      <c r="F937" s="4"/>
      <c r="G937" s="4"/>
      <c r="H937" s="5"/>
    </row>
    <row r="938" spans="1:8" hidden="1" x14ac:dyDescent="0.25">
      <c r="B938" s="72" t="s">
        <v>43</v>
      </c>
      <c r="C938" s="73"/>
      <c r="D938" s="82"/>
      <c r="E938" s="162"/>
      <c r="F938" s="162"/>
      <c r="G938" s="162"/>
      <c r="H938" s="163"/>
    </row>
    <row r="939" spans="1:8" hidden="1" x14ac:dyDescent="0.25">
      <c r="B939" s="83" t="s">
        <v>109</v>
      </c>
      <c r="C939" s="81"/>
      <c r="D939" s="58"/>
      <c r="E939" s="164"/>
      <c r="F939" s="164"/>
      <c r="G939" s="164"/>
      <c r="H939" s="165"/>
    </row>
    <row r="940" spans="1:8" hidden="1" x14ac:dyDescent="0.25">
      <c r="B940" s="36" t="s">
        <v>110</v>
      </c>
      <c r="D940" s="7">
        <f>SUM(D937:D939)</f>
        <v>0</v>
      </c>
      <c r="E940" s="7">
        <f>SUM(E937:E939)</f>
        <v>0</v>
      </c>
      <c r="F940" s="7">
        <f>SUM(F937:F939)</f>
        <v>0</v>
      </c>
      <c r="G940" s="7"/>
      <c r="H940" s="7"/>
    </row>
    <row r="941" spans="1:8" hidden="1" x14ac:dyDescent="0.25">
      <c r="B941" s="6"/>
      <c r="D941" s="7"/>
      <c r="E941" s="7"/>
      <c r="F941" s="7"/>
      <c r="G941" s="7"/>
      <c r="H941" s="7"/>
    </row>
    <row r="942" spans="1:8" ht="18.75" hidden="1" x14ac:dyDescent="0.3">
      <c r="A942" s="9" t="s">
        <v>120</v>
      </c>
      <c r="D942" s="2">
        <f>'Facility Detail'!$B$1155</f>
        <v>2013</v>
      </c>
      <c r="E942" s="2">
        <f>D942+1</f>
        <v>2014</v>
      </c>
      <c r="F942" s="2">
        <f>E942+1</f>
        <v>2015</v>
      </c>
      <c r="G942" s="2">
        <f t="shared" ref="G942:H942" si="98">F942+1</f>
        <v>2016</v>
      </c>
      <c r="H942" s="2">
        <f t="shared" si="98"/>
        <v>2017</v>
      </c>
    </row>
    <row r="943" spans="1:8" hidden="1" x14ac:dyDescent="0.25">
      <c r="B943" s="71" t="str">
        <f xml:space="preserve"> 'Facility Detail'!$B$1155 &amp; " Surplus Applied to " &amp; ( 'Facility Detail'!$B$1155 + 1 )</f>
        <v>2013 Surplus Applied to 2014</v>
      </c>
      <c r="C943" s="66"/>
      <c r="D943" s="3">
        <f>D929+D934-D940</f>
        <v>0</v>
      </c>
      <c r="E943" s="59">
        <f>D943</f>
        <v>0</v>
      </c>
      <c r="F943" s="135"/>
      <c r="G943" s="135"/>
      <c r="H943" s="136"/>
    </row>
    <row r="944" spans="1:8" hidden="1" x14ac:dyDescent="0.25">
      <c r="B944" s="71" t="str">
        <f xml:space="preserve"> ( 'Facility Detail'!$B$1155 + 1 ) &amp; " Surplus Applied to " &amp; ( 'Facility Detail'!$B$1155 )</f>
        <v>2014 Surplus Applied to 2013</v>
      </c>
      <c r="C944" s="66"/>
      <c r="D944" s="157">
        <f>E944</f>
        <v>0</v>
      </c>
      <c r="E944" s="10">
        <v>0</v>
      </c>
      <c r="F944" s="131"/>
      <c r="G944" s="131"/>
      <c r="H944" s="137"/>
    </row>
    <row r="945" spans="1:8" hidden="1" x14ac:dyDescent="0.25">
      <c r="B945" s="71" t="str">
        <f xml:space="preserve"> ( 'Facility Detail'!$B$1155 + 1 ) &amp; " Surplus Applied to " &amp; ( 'Facility Detail'!$B$1155 + 2 )</f>
        <v>2014 Surplus Applied to 2015</v>
      </c>
      <c r="C945" s="66"/>
      <c r="D945" s="132"/>
      <c r="E945" s="10">
        <f>E929+E934-E940</f>
        <v>0</v>
      </c>
      <c r="F945" s="65">
        <f>+E945</f>
        <v>0</v>
      </c>
      <c r="G945" s="131"/>
      <c r="H945" s="137"/>
    </row>
    <row r="946" spans="1:8" hidden="1" x14ac:dyDescent="0.25">
      <c r="B946" s="71" t="str">
        <f xml:space="preserve"> ( 'Facility Detail'!$B$1155 + 2 ) &amp; " Surplus Applied to " &amp; ( 'Facility Detail'!$B$1155 + 1 )</f>
        <v>2015 Surplus Applied to 2014</v>
      </c>
      <c r="C946" s="66"/>
      <c r="D946" s="132"/>
      <c r="E946" s="65">
        <f>F946</f>
        <v>0</v>
      </c>
      <c r="F946" s="10">
        <v>0</v>
      </c>
      <c r="G946" s="131"/>
      <c r="H946" s="137"/>
    </row>
    <row r="947" spans="1:8" hidden="1" x14ac:dyDescent="0.25">
      <c r="B947" s="71"/>
      <c r="C947" s="33"/>
      <c r="D947" s="132"/>
      <c r="E947" s="131"/>
      <c r="F947" s="10">
        <f>F929+F934-F940</f>
        <v>0</v>
      </c>
      <c r="G947" s="65">
        <f>+F947</f>
        <v>0</v>
      </c>
      <c r="H947" s="137"/>
    </row>
    <row r="948" spans="1:8" hidden="1" x14ac:dyDescent="0.25">
      <c r="B948" s="71"/>
      <c r="C948" s="33"/>
      <c r="D948" s="132"/>
      <c r="E948" s="131"/>
      <c r="F948" s="65">
        <f>G948</f>
        <v>0</v>
      </c>
      <c r="G948" s="10">
        <v>0</v>
      </c>
      <c r="H948" s="137"/>
    </row>
    <row r="949" spans="1:8" hidden="1" x14ac:dyDescent="0.25">
      <c r="B949" s="71"/>
      <c r="C949" s="33"/>
      <c r="D949" s="132"/>
      <c r="E949" s="131"/>
      <c r="F949" s="131"/>
      <c r="G949" s="10">
        <f>G929+G934-G940</f>
        <v>0</v>
      </c>
      <c r="H949" s="60">
        <f>+G949</f>
        <v>0</v>
      </c>
    </row>
    <row r="950" spans="1:8" hidden="1" x14ac:dyDescent="0.25">
      <c r="B950" s="71"/>
      <c r="C950" s="33"/>
      <c r="D950" s="133"/>
      <c r="E950" s="134"/>
      <c r="F950" s="134"/>
      <c r="G950" s="61">
        <f>H950</f>
        <v>0</v>
      </c>
      <c r="H950" s="51">
        <v>0</v>
      </c>
    </row>
    <row r="951" spans="1:8" hidden="1" x14ac:dyDescent="0.25">
      <c r="B951" s="36" t="s">
        <v>37</v>
      </c>
      <c r="D951" s="7">
        <f xml:space="preserve"> D944 - D943</f>
        <v>0</v>
      </c>
      <c r="E951" s="7">
        <f xml:space="preserve"> E943 + E946 - E945 - E944</f>
        <v>0</v>
      </c>
      <c r="F951" s="7">
        <f>F945 - F946 - F947 + F948</f>
        <v>0</v>
      </c>
      <c r="G951" s="7">
        <f>G947  - G948 - G949  + G950</f>
        <v>0</v>
      </c>
      <c r="H951" s="7">
        <f>H949 - H950</f>
        <v>0</v>
      </c>
    </row>
    <row r="952" spans="1:8" hidden="1" x14ac:dyDescent="0.25">
      <c r="B952" s="6"/>
      <c r="D952" s="7"/>
      <c r="E952" s="7"/>
      <c r="F952" s="7"/>
      <c r="G952" s="7"/>
      <c r="H952" s="7"/>
    </row>
    <row r="953" spans="1:8" hidden="1" x14ac:dyDescent="0.25">
      <c r="B953" s="68" t="s">
        <v>32</v>
      </c>
      <c r="C953" s="66"/>
      <c r="D953" s="90"/>
      <c r="E953" s="91"/>
      <c r="F953" s="129"/>
      <c r="G953" s="129"/>
      <c r="H953" s="92"/>
    </row>
    <row r="954" spans="1:8" hidden="1" x14ac:dyDescent="0.25">
      <c r="B954" s="6"/>
      <c r="D954" s="7"/>
      <c r="E954" s="7"/>
      <c r="F954" s="7"/>
      <c r="G954" s="7"/>
      <c r="H954" s="7"/>
    </row>
    <row r="955" spans="1:8" ht="18.75" hidden="1" x14ac:dyDescent="0.3">
      <c r="A955" s="45" t="s">
        <v>46</v>
      </c>
      <c r="C955" s="66"/>
      <c r="D955" s="130">
        <f xml:space="preserve"> D929 + D934 - D940 + D951 + D953</f>
        <v>0</v>
      </c>
      <c r="E955" s="130">
        <f xml:space="preserve"> E929 + E934 - E940 + E951 + E953</f>
        <v>0</v>
      </c>
      <c r="F955" s="130">
        <f xml:space="preserve"> F929 + F934 - F940 + F951 + F953</f>
        <v>0</v>
      </c>
      <c r="G955" s="130"/>
      <c r="H955" s="49"/>
    </row>
    <row r="956" spans="1:8" hidden="1" x14ac:dyDescent="0.25">
      <c r="B956" s="6"/>
      <c r="D956" s="7"/>
      <c r="E956" s="7"/>
      <c r="F956" s="7"/>
      <c r="G956" s="32"/>
      <c r="H956" s="32"/>
    </row>
    <row r="957" spans="1:8" hidden="1" x14ac:dyDescent="0.25"/>
    <row r="958" spans="1:8" hidden="1" x14ac:dyDescent="0.25">
      <c r="A958" s="8"/>
      <c r="B958" s="8"/>
      <c r="C958" s="8"/>
      <c r="D958" s="8"/>
      <c r="E958" s="8"/>
      <c r="F958" s="8"/>
      <c r="G958" s="8"/>
      <c r="H958" s="8"/>
    </row>
    <row r="959" spans="1:8" hidden="1" x14ac:dyDescent="0.25">
      <c r="B959" s="33"/>
      <c r="C959" s="33"/>
      <c r="D959" s="33"/>
      <c r="E959" s="33"/>
      <c r="F959" s="33"/>
      <c r="G959" s="33"/>
      <c r="H959" s="33"/>
    </row>
    <row r="960" spans="1:8" ht="21" hidden="1" x14ac:dyDescent="0.35">
      <c r="A960" s="13" t="s">
        <v>4</v>
      </c>
      <c r="B960" s="13"/>
      <c r="C960" s="46" t="str">
        <f>B29</f>
        <v>Facility 26</v>
      </c>
      <c r="D960" s="47"/>
      <c r="E960" s="23"/>
      <c r="F960" s="23"/>
    </row>
    <row r="961" spans="1:8" hidden="1" x14ac:dyDescent="0.25"/>
    <row r="962" spans="1:8" ht="18.75" hidden="1" x14ac:dyDescent="0.3">
      <c r="A962" s="9" t="s">
        <v>41</v>
      </c>
      <c r="B962" s="9"/>
      <c r="D962" s="2">
        <f>'Facility Detail'!$B$1155</f>
        <v>2013</v>
      </c>
      <c r="E962" s="2">
        <f>D962+1</f>
        <v>2014</v>
      </c>
      <c r="F962" s="2">
        <f>E962+1</f>
        <v>2015</v>
      </c>
      <c r="G962" s="2">
        <f t="shared" ref="G962:H962" si="99">F962+1</f>
        <v>2016</v>
      </c>
      <c r="H962" s="2">
        <f t="shared" si="99"/>
        <v>2017</v>
      </c>
    </row>
    <row r="963" spans="1:8" hidden="1" x14ac:dyDescent="0.25">
      <c r="B963" s="71" t="str">
        <f>"Total MWh Produced / Purchased from " &amp; C960</f>
        <v>Total MWh Produced / Purchased from Facility 26</v>
      </c>
      <c r="C963" s="66"/>
      <c r="D963" s="3"/>
      <c r="E963" s="4"/>
      <c r="F963" s="4"/>
      <c r="G963" s="4"/>
      <c r="H963" s="5"/>
    </row>
    <row r="964" spans="1:8" hidden="1" x14ac:dyDescent="0.25">
      <c r="B964" s="71" t="s">
        <v>45</v>
      </c>
      <c r="C964" s="66"/>
      <c r="D964" s="155"/>
      <c r="E964" s="154"/>
      <c r="F964" s="154"/>
      <c r="G964" s="154"/>
      <c r="H964" s="156"/>
    </row>
    <row r="965" spans="1:8" hidden="1" x14ac:dyDescent="0.25">
      <c r="B965" s="71" t="s">
        <v>40</v>
      </c>
      <c r="C965" s="66"/>
      <c r="D965" s="146"/>
      <c r="E965" s="52"/>
      <c r="F965" s="52"/>
      <c r="G965" s="52"/>
      <c r="H965" s="53"/>
    </row>
    <row r="966" spans="1:8" hidden="1" x14ac:dyDescent="0.25">
      <c r="B966" s="68" t="s">
        <v>42</v>
      </c>
      <c r="C966" s="69"/>
      <c r="D966" s="41">
        <f xml:space="preserve"> D963 * D964 * D965</f>
        <v>0</v>
      </c>
      <c r="E966" s="153">
        <f xml:space="preserve"> E963 * E964 * E965</f>
        <v>0</v>
      </c>
      <c r="F966" s="153">
        <f xml:space="preserve"> F963 * F964 * F965</f>
        <v>0</v>
      </c>
      <c r="G966" s="153"/>
      <c r="H966" s="153"/>
    </row>
    <row r="967" spans="1:8" hidden="1" x14ac:dyDescent="0.25">
      <c r="B967" s="23"/>
      <c r="C967" s="33"/>
      <c r="D967" s="40"/>
      <c r="E967" s="40"/>
      <c r="F967" s="40"/>
      <c r="G967" s="40"/>
      <c r="H967" s="40"/>
    </row>
    <row r="968" spans="1:8" ht="18.75" hidden="1" x14ac:dyDescent="0.3">
      <c r="A968" s="48" t="s">
        <v>139</v>
      </c>
      <c r="C968" s="33"/>
      <c r="D968" s="2">
        <f>'Facility Detail'!$B$1155</f>
        <v>2013</v>
      </c>
      <c r="E968" s="2">
        <f>D968+1</f>
        <v>2014</v>
      </c>
      <c r="F968" s="2">
        <f>E968+1</f>
        <v>2015</v>
      </c>
      <c r="G968" s="2">
        <f t="shared" ref="G968:H968" si="100">F968+1</f>
        <v>2016</v>
      </c>
      <c r="H968" s="2">
        <f t="shared" si="100"/>
        <v>2017</v>
      </c>
    </row>
    <row r="969" spans="1:8" hidden="1" x14ac:dyDescent="0.25">
      <c r="B969" s="71" t="s">
        <v>30</v>
      </c>
      <c r="C969" s="66"/>
      <c r="D969" s="54">
        <f>IF( $F569 = "Eligible", D966 * 'Facility Detail'!$B$1152, 0 )</f>
        <v>0</v>
      </c>
      <c r="E969" s="11">
        <f>IF( $F569 = "Eligible", E966 * 'Facility Detail'!$B$1152, 0 )</f>
        <v>0</v>
      </c>
      <c r="F969" s="127">
        <f>IF( $F569 = "Eligible", F966 * 'Facility Detail'!$B$1152, 0 )</f>
        <v>0</v>
      </c>
      <c r="G969" s="127">
        <f>IF( $F569 = "Eligible", G966 * 'Facility Detail'!$B$1152, 0 )</f>
        <v>0</v>
      </c>
      <c r="H969" s="12">
        <f>IF( $F569 = "Eligible", H966 * 'Facility Detail'!$B$1152, 0 )</f>
        <v>0</v>
      </c>
    </row>
    <row r="970" spans="1:8" hidden="1" x14ac:dyDescent="0.25">
      <c r="B970" s="71" t="s">
        <v>6</v>
      </c>
      <c r="C970" s="66"/>
      <c r="D970" s="55">
        <f>IF( $G569 = "Eligible", D966, 0 )</f>
        <v>0</v>
      </c>
      <c r="E970" s="56">
        <f>IF( $G569 = "Eligible", E966, 0 )</f>
        <v>0</v>
      </c>
      <c r="F970" s="128">
        <f t="shared" ref="F970:H970" si="101">IF( $G569 = "Eligible", F966, 0 )</f>
        <v>0</v>
      </c>
      <c r="G970" s="128">
        <f t="shared" si="101"/>
        <v>0</v>
      </c>
      <c r="H970" s="57">
        <f t="shared" si="101"/>
        <v>0</v>
      </c>
    </row>
    <row r="971" spans="1:8" hidden="1" x14ac:dyDescent="0.25">
      <c r="B971" s="70" t="s">
        <v>141</v>
      </c>
      <c r="C971" s="69"/>
      <c r="D971" s="43">
        <f>SUM(D969:D970)</f>
        <v>0</v>
      </c>
      <c r="E971" s="44">
        <f>SUM(E969:E970)</f>
        <v>0</v>
      </c>
      <c r="F971" s="44">
        <f>SUM(F969:F970)</f>
        <v>0</v>
      </c>
      <c r="G971" s="44">
        <f t="shared" ref="G971" si="102">SUM(G969:G970)</f>
        <v>0</v>
      </c>
      <c r="H971" s="44">
        <f t="shared" ref="H971" si="103">SUM(H969:H970)</f>
        <v>0</v>
      </c>
    </row>
    <row r="972" spans="1:8" hidden="1" x14ac:dyDescent="0.25">
      <c r="B972" s="33"/>
      <c r="C972" s="33"/>
      <c r="D972" s="42"/>
      <c r="E972" s="34"/>
      <c r="F972" s="34"/>
      <c r="G972" s="34"/>
      <c r="H972" s="34"/>
    </row>
    <row r="973" spans="1:8" ht="18.75" hidden="1" x14ac:dyDescent="0.3">
      <c r="A973" s="45" t="s">
        <v>50</v>
      </c>
      <c r="C973" s="33"/>
      <c r="D973" s="2">
        <f>'Facility Detail'!$B$1155</f>
        <v>2013</v>
      </c>
      <c r="E973" s="2">
        <f>D973+1</f>
        <v>2014</v>
      </c>
      <c r="F973" s="2">
        <f>E973+1</f>
        <v>2015</v>
      </c>
      <c r="G973" s="2">
        <f t="shared" ref="G973:H973" si="104">F973+1</f>
        <v>2016</v>
      </c>
      <c r="H973" s="2">
        <f t="shared" si="104"/>
        <v>2017</v>
      </c>
    </row>
    <row r="974" spans="1:8" hidden="1" x14ac:dyDescent="0.25">
      <c r="B974" s="71" t="s">
        <v>67</v>
      </c>
      <c r="C974" s="66"/>
      <c r="D974" s="161"/>
      <c r="E974" s="4"/>
      <c r="F974" s="4"/>
      <c r="G974" s="4"/>
      <c r="H974" s="5"/>
    </row>
    <row r="975" spans="1:8" hidden="1" x14ac:dyDescent="0.25">
      <c r="B975" s="72" t="s">
        <v>43</v>
      </c>
      <c r="C975" s="73"/>
      <c r="D975" s="82"/>
      <c r="E975" s="162"/>
      <c r="F975" s="162"/>
      <c r="G975" s="162"/>
      <c r="H975" s="163"/>
    </row>
    <row r="976" spans="1:8" hidden="1" x14ac:dyDescent="0.25">
      <c r="B976" s="83" t="s">
        <v>109</v>
      </c>
      <c r="C976" s="81"/>
      <c r="D976" s="58"/>
      <c r="E976" s="164"/>
      <c r="F976" s="164"/>
      <c r="G976" s="164"/>
      <c r="H976" s="165"/>
    </row>
    <row r="977" spans="1:8" hidden="1" x14ac:dyDescent="0.25">
      <c r="B977" s="36" t="s">
        <v>110</v>
      </c>
      <c r="D977" s="7">
        <f>SUM(D974:D976)</f>
        <v>0</v>
      </c>
      <c r="E977" s="7">
        <f>SUM(E974:E976)</f>
        <v>0</v>
      </c>
      <c r="F977" s="7">
        <f>SUM(F974:F976)</f>
        <v>0</v>
      </c>
      <c r="G977" s="7"/>
      <c r="H977" s="7"/>
    </row>
    <row r="978" spans="1:8" hidden="1" x14ac:dyDescent="0.25">
      <c r="B978" s="6"/>
      <c r="D978" s="7"/>
      <c r="E978" s="7"/>
      <c r="F978" s="7"/>
      <c r="G978" s="7"/>
      <c r="H978" s="7"/>
    </row>
    <row r="979" spans="1:8" ht="18.75" hidden="1" x14ac:dyDescent="0.3">
      <c r="A979" s="9" t="s">
        <v>120</v>
      </c>
      <c r="D979" s="2">
        <f>'Facility Detail'!$B$1155</f>
        <v>2013</v>
      </c>
      <c r="E979" s="2">
        <f>D979+1</f>
        <v>2014</v>
      </c>
      <c r="F979" s="2">
        <f>E979+1</f>
        <v>2015</v>
      </c>
      <c r="G979" s="2">
        <f t="shared" ref="G979:H979" si="105">F979+1</f>
        <v>2016</v>
      </c>
      <c r="H979" s="2">
        <f t="shared" si="105"/>
        <v>2017</v>
      </c>
    </row>
    <row r="980" spans="1:8" hidden="1" x14ac:dyDescent="0.25">
      <c r="B980" s="71" t="str">
        <f xml:space="preserve"> 'Facility Detail'!$B$1155 &amp; " Surplus Applied to " &amp; ( 'Facility Detail'!$B$1155 + 1 )</f>
        <v>2013 Surplus Applied to 2014</v>
      </c>
      <c r="C980" s="66"/>
      <c r="D980" s="3">
        <f>D966+D971-D977</f>
        <v>0</v>
      </c>
      <c r="E980" s="59">
        <f>D980</f>
        <v>0</v>
      </c>
      <c r="F980" s="135"/>
      <c r="G980" s="135"/>
      <c r="H980" s="136"/>
    </row>
    <row r="981" spans="1:8" hidden="1" x14ac:dyDescent="0.25">
      <c r="B981" s="71" t="str">
        <f xml:space="preserve"> ( 'Facility Detail'!$B$1155 + 1 ) &amp; " Surplus Applied to " &amp; ( 'Facility Detail'!$B$1155 )</f>
        <v>2014 Surplus Applied to 2013</v>
      </c>
      <c r="C981" s="66"/>
      <c r="D981" s="157">
        <f>E981</f>
        <v>0</v>
      </c>
      <c r="E981" s="10">
        <v>0</v>
      </c>
      <c r="F981" s="131"/>
      <c r="G981" s="131"/>
      <c r="H981" s="137"/>
    </row>
    <row r="982" spans="1:8" hidden="1" x14ac:dyDescent="0.25">
      <c r="B982" s="71" t="str">
        <f xml:space="preserve"> ( 'Facility Detail'!$B$1155 + 1 ) &amp; " Surplus Applied to " &amp; ( 'Facility Detail'!$B$1155 + 2 )</f>
        <v>2014 Surplus Applied to 2015</v>
      </c>
      <c r="C982" s="66"/>
      <c r="D982" s="132"/>
      <c r="E982" s="10">
        <f>E966+E971-E977</f>
        <v>0</v>
      </c>
      <c r="F982" s="65">
        <f>+E982</f>
        <v>0</v>
      </c>
      <c r="G982" s="131"/>
      <c r="H982" s="137"/>
    </row>
    <row r="983" spans="1:8" hidden="1" x14ac:dyDescent="0.25">
      <c r="B983" s="71" t="str">
        <f xml:space="preserve"> ( 'Facility Detail'!$B$1155 + 2 ) &amp; " Surplus Applied to " &amp; ( 'Facility Detail'!$B$1155 + 1 )</f>
        <v>2015 Surplus Applied to 2014</v>
      </c>
      <c r="C983" s="66"/>
      <c r="D983" s="132"/>
      <c r="E983" s="65">
        <f>F983</f>
        <v>0</v>
      </c>
      <c r="F983" s="10">
        <v>0</v>
      </c>
      <c r="G983" s="131"/>
      <c r="H983" s="137"/>
    </row>
    <row r="984" spans="1:8" hidden="1" x14ac:dyDescent="0.25">
      <c r="B984" s="71"/>
      <c r="C984" s="33"/>
      <c r="D984" s="132"/>
      <c r="E984" s="131"/>
      <c r="F984" s="10">
        <f>F966+F971-F977</f>
        <v>0</v>
      </c>
      <c r="G984" s="65">
        <f>+F984</f>
        <v>0</v>
      </c>
      <c r="H984" s="137"/>
    </row>
    <row r="985" spans="1:8" hidden="1" x14ac:dyDescent="0.25">
      <c r="B985" s="71"/>
      <c r="C985" s="33"/>
      <c r="D985" s="132"/>
      <c r="E985" s="131"/>
      <c r="F985" s="65">
        <f>G985</f>
        <v>0</v>
      </c>
      <c r="G985" s="10">
        <v>0</v>
      </c>
      <c r="H985" s="137"/>
    </row>
    <row r="986" spans="1:8" hidden="1" x14ac:dyDescent="0.25">
      <c r="B986" s="71"/>
      <c r="C986" s="33"/>
      <c r="D986" s="132"/>
      <c r="E986" s="131"/>
      <c r="F986" s="131"/>
      <c r="G986" s="10">
        <f>G966+G971-G977</f>
        <v>0</v>
      </c>
      <c r="H986" s="60">
        <f>+G986</f>
        <v>0</v>
      </c>
    </row>
    <row r="987" spans="1:8" hidden="1" x14ac:dyDescent="0.25">
      <c r="B987" s="71"/>
      <c r="C987" s="33"/>
      <c r="D987" s="133"/>
      <c r="E987" s="134"/>
      <c r="F987" s="134"/>
      <c r="G987" s="61">
        <f>H987</f>
        <v>0</v>
      </c>
      <c r="H987" s="51">
        <v>0</v>
      </c>
    </row>
    <row r="988" spans="1:8" hidden="1" x14ac:dyDescent="0.25">
      <c r="B988" s="36" t="s">
        <v>37</v>
      </c>
      <c r="D988" s="7">
        <f xml:space="preserve"> D981 - D980</f>
        <v>0</v>
      </c>
      <c r="E988" s="7">
        <f xml:space="preserve"> E980 + E983 - E982 - E981</f>
        <v>0</v>
      </c>
      <c r="F988" s="7">
        <f>F982 - F983 - F984 + F985</f>
        <v>0</v>
      </c>
      <c r="G988" s="7">
        <f>G984  - G985 - G986  + G987</f>
        <v>0</v>
      </c>
      <c r="H988" s="7">
        <f>H986 - H987</f>
        <v>0</v>
      </c>
    </row>
    <row r="989" spans="1:8" hidden="1" x14ac:dyDescent="0.25">
      <c r="B989" s="6"/>
      <c r="D989" s="7"/>
      <c r="E989" s="7"/>
      <c r="F989" s="7"/>
      <c r="G989" s="7"/>
      <c r="H989" s="7"/>
    </row>
    <row r="990" spans="1:8" hidden="1" x14ac:dyDescent="0.25">
      <c r="B990" s="68" t="s">
        <v>32</v>
      </c>
      <c r="C990" s="66"/>
      <c r="D990" s="90"/>
      <c r="E990" s="91"/>
      <c r="F990" s="129"/>
      <c r="G990" s="129"/>
      <c r="H990" s="92"/>
    </row>
    <row r="991" spans="1:8" hidden="1" x14ac:dyDescent="0.25">
      <c r="B991" s="6"/>
      <c r="D991" s="7"/>
      <c r="E991" s="7"/>
      <c r="F991" s="7"/>
      <c r="G991" s="7"/>
      <c r="H991" s="7"/>
    </row>
    <row r="992" spans="1:8" ht="18.75" hidden="1" x14ac:dyDescent="0.3">
      <c r="A992" s="45" t="s">
        <v>46</v>
      </c>
      <c r="C992" s="66"/>
      <c r="D992" s="130">
        <f xml:space="preserve"> D966 + D971 - D977 + D988 + D990</f>
        <v>0</v>
      </c>
      <c r="E992" s="130">
        <f xml:space="preserve"> E966 + E971 - E977 + E988 + E990</f>
        <v>0</v>
      </c>
      <c r="F992" s="130">
        <f xml:space="preserve"> F966 + F971 - F977 + F988 + F990</f>
        <v>0</v>
      </c>
      <c r="G992" s="130"/>
      <c r="H992" s="49"/>
    </row>
    <row r="993" spans="1:8" hidden="1" x14ac:dyDescent="0.25">
      <c r="B993" s="6"/>
      <c r="D993" s="7"/>
      <c r="E993" s="7"/>
      <c r="F993" s="7"/>
      <c r="G993" s="32"/>
      <c r="H993" s="32"/>
    </row>
    <row r="994" spans="1:8" hidden="1" x14ac:dyDescent="0.25"/>
    <row r="995" spans="1:8" hidden="1" x14ac:dyDescent="0.25">
      <c r="A995" s="8"/>
      <c r="B995" s="8"/>
      <c r="C995" s="8"/>
      <c r="D995" s="8"/>
      <c r="E995" s="8"/>
      <c r="F995" s="8"/>
      <c r="G995" s="8"/>
      <c r="H995" s="8"/>
    </row>
    <row r="996" spans="1:8" hidden="1" x14ac:dyDescent="0.25">
      <c r="B996" s="33"/>
      <c r="C996" s="33"/>
      <c r="D996" s="33"/>
      <c r="E996" s="33"/>
      <c r="F996" s="33"/>
      <c r="G996" s="33"/>
      <c r="H996" s="33"/>
    </row>
    <row r="997" spans="1:8" ht="21" hidden="1" x14ac:dyDescent="0.35">
      <c r="A997" s="13" t="s">
        <v>4</v>
      </c>
      <c r="B997" s="13"/>
      <c r="C997" s="46" t="str">
        <f>B30</f>
        <v>Facility 27</v>
      </c>
      <c r="D997" s="47"/>
      <c r="E997" s="23"/>
      <c r="F997" s="23"/>
    </row>
    <row r="998" spans="1:8" hidden="1" x14ac:dyDescent="0.25"/>
    <row r="999" spans="1:8" ht="18.75" hidden="1" x14ac:dyDescent="0.3">
      <c r="A999" s="9" t="s">
        <v>41</v>
      </c>
      <c r="B999" s="9"/>
      <c r="D999" s="2">
        <f>'Facility Detail'!$B$1155</f>
        <v>2013</v>
      </c>
      <c r="E999" s="2">
        <f>D999+1</f>
        <v>2014</v>
      </c>
      <c r="F999" s="2">
        <f>E999+1</f>
        <v>2015</v>
      </c>
      <c r="G999" s="2">
        <f t="shared" ref="G999:H999" si="106">F999+1</f>
        <v>2016</v>
      </c>
      <c r="H999" s="2">
        <f t="shared" si="106"/>
        <v>2017</v>
      </c>
    </row>
    <row r="1000" spans="1:8" hidden="1" x14ac:dyDescent="0.25">
      <c r="B1000" s="71" t="str">
        <f>"Total MWh Produced / Purchased from " &amp; C997</f>
        <v>Total MWh Produced / Purchased from Facility 27</v>
      </c>
      <c r="C1000" s="66"/>
      <c r="D1000" s="3"/>
      <c r="E1000" s="4"/>
      <c r="F1000" s="4"/>
      <c r="G1000" s="4"/>
      <c r="H1000" s="5"/>
    </row>
    <row r="1001" spans="1:8" hidden="1" x14ac:dyDescent="0.25">
      <c r="B1001" s="71" t="s">
        <v>45</v>
      </c>
      <c r="C1001" s="66"/>
      <c r="D1001" s="155"/>
      <c r="E1001" s="154"/>
      <c r="F1001" s="154"/>
      <c r="G1001" s="154"/>
      <c r="H1001" s="156"/>
    </row>
    <row r="1002" spans="1:8" hidden="1" x14ac:dyDescent="0.25">
      <c r="B1002" s="71" t="s">
        <v>40</v>
      </c>
      <c r="C1002" s="66"/>
      <c r="D1002" s="146"/>
      <c r="E1002" s="52"/>
      <c r="F1002" s="52"/>
      <c r="G1002" s="52"/>
      <c r="H1002" s="53"/>
    </row>
    <row r="1003" spans="1:8" hidden="1" x14ac:dyDescent="0.25">
      <c r="B1003" s="68" t="s">
        <v>42</v>
      </c>
      <c r="C1003" s="69"/>
      <c r="D1003" s="41">
        <f xml:space="preserve"> D1000 * D1001 * D1002</f>
        <v>0</v>
      </c>
      <c r="E1003" s="153">
        <f xml:space="preserve"> E1000 * E1001 * E1002</f>
        <v>0</v>
      </c>
      <c r="F1003" s="153">
        <f xml:space="preserve"> F1000 * F1001 * F1002</f>
        <v>0</v>
      </c>
      <c r="G1003" s="153"/>
      <c r="H1003" s="153"/>
    </row>
    <row r="1004" spans="1:8" hidden="1" x14ac:dyDescent="0.25">
      <c r="B1004" s="23"/>
      <c r="C1004" s="33"/>
      <c r="D1004" s="40"/>
      <c r="E1004" s="40"/>
      <c r="F1004" s="40"/>
      <c r="G1004" s="40"/>
      <c r="H1004" s="40"/>
    </row>
    <row r="1005" spans="1:8" ht="18.75" hidden="1" x14ac:dyDescent="0.3">
      <c r="A1005" s="48" t="s">
        <v>139</v>
      </c>
      <c r="C1005" s="33"/>
      <c r="D1005" s="2">
        <f>'Facility Detail'!$B$1155</f>
        <v>2013</v>
      </c>
      <c r="E1005" s="2">
        <f>D1005+1</f>
        <v>2014</v>
      </c>
      <c r="F1005" s="2">
        <f>E1005+1</f>
        <v>2015</v>
      </c>
      <c r="G1005" s="2">
        <f t="shared" ref="G1005:H1005" si="107">F1005+1</f>
        <v>2016</v>
      </c>
      <c r="H1005" s="2">
        <f t="shared" si="107"/>
        <v>2017</v>
      </c>
    </row>
    <row r="1006" spans="1:8" hidden="1" x14ac:dyDescent="0.25">
      <c r="B1006" s="71" t="s">
        <v>30</v>
      </c>
      <c r="C1006" s="66"/>
      <c r="D1006" s="54">
        <f>IF( $F606 = "Eligible", D1003 * 'Facility Detail'!$B$1152, 0 )</f>
        <v>0</v>
      </c>
      <c r="E1006" s="11">
        <f>IF( $F606 = "Eligible", E1003 * 'Facility Detail'!$B$1152, 0 )</f>
        <v>0</v>
      </c>
      <c r="F1006" s="127">
        <f>IF( $F606 = "Eligible", F1003 * 'Facility Detail'!$B$1152, 0 )</f>
        <v>0</v>
      </c>
      <c r="G1006" s="127">
        <f>IF( $F606 = "Eligible", G1003 * 'Facility Detail'!$B$1152, 0 )</f>
        <v>0</v>
      </c>
      <c r="H1006" s="12">
        <f>IF( $F606 = "Eligible", H1003 * 'Facility Detail'!$B$1152, 0 )</f>
        <v>0</v>
      </c>
    </row>
    <row r="1007" spans="1:8" hidden="1" x14ac:dyDescent="0.25">
      <c r="B1007" s="71" t="s">
        <v>6</v>
      </c>
      <c r="C1007" s="66"/>
      <c r="D1007" s="55">
        <f>IF( $G606 = "Eligible", D1003, 0 )</f>
        <v>0</v>
      </c>
      <c r="E1007" s="56">
        <f>IF( $G606 = "Eligible", E1003, 0 )</f>
        <v>0</v>
      </c>
      <c r="F1007" s="128">
        <f t="shared" ref="F1007:H1007" si="108">IF( $G606 = "Eligible", F1003, 0 )</f>
        <v>0</v>
      </c>
      <c r="G1007" s="128">
        <f t="shared" si="108"/>
        <v>0</v>
      </c>
      <c r="H1007" s="57">
        <f t="shared" si="108"/>
        <v>0</v>
      </c>
    </row>
    <row r="1008" spans="1:8" hidden="1" x14ac:dyDescent="0.25">
      <c r="B1008" s="70" t="s">
        <v>141</v>
      </c>
      <c r="C1008" s="69"/>
      <c r="D1008" s="43">
        <f>SUM(D1006:D1007)</f>
        <v>0</v>
      </c>
      <c r="E1008" s="44">
        <f>SUM(E1006:E1007)</f>
        <v>0</v>
      </c>
      <c r="F1008" s="44">
        <f>SUM(F1006:F1007)</f>
        <v>0</v>
      </c>
      <c r="G1008" s="44">
        <f t="shared" ref="G1008" si="109">SUM(G1006:G1007)</f>
        <v>0</v>
      </c>
      <c r="H1008" s="44">
        <f t="shared" ref="H1008" si="110">SUM(H1006:H1007)</f>
        <v>0</v>
      </c>
    </row>
    <row r="1009" spans="1:8" hidden="1" x14ac:dyDescent="0.25">
      <c r="B1009" s="33"/>
      <c r="C1009" s="33"/>
      <c r="D1009" s="42"/>
      <c r="E1009" s="34"/>
      <c r="F1009" s="34"/>
      <c r="G1009" s="34"/>
      <c r="H1009" s="34"/>
    </row>
    <row r="1010" spans="1:8" ht="18.75" hidden="1" x14ac:dyDescent="0.3">
      <c r="A1010" s="45" t="s">
        <v>50</v>
      </c>
      <c r="C1010" s="33"/>
      <c r="D1010" s="2">
        <f>'Facility Detail'!$B$1155</f>
        <v>2013</v>
      </c>
      <c r="E1010" s="2">
        <f>D1010+1</f>
        <v>2014</v>
      </c>
      <c r="F1010" s="2">
        <f>E1010+1</f>
        <v>2015</v>
      </c>
      <c r="G1010" s="2">
        <f t="shared" ref="G1010:H1010" si="111">F1010+1</f>
        <v>2016</v>
      </c>
      <c r="H1010" s="2">
        <f t="shared" si="111"/>
        <v>2017</v>
      </c>
    </row>
    <row r="1011" spans="1:8" hidden="1" x14ac:dyDescent="0.25">
      <c r="B1011" s="71" t="s">
        <v>67</v>
      </c>
      <c r="C1011" s="66"/>
      <c r="D1011" s="161"/>
      <c r="E1011" s="4"/>
      <c r="F1011" s="4"/>
      <c r="G1011" s="4"/>
      <c r="H1011" s="5"/>
    </row>
    <row r="1012" spans="1:8" hidden="1" x14ac:dyDescent="0.25">
      <c r="B1012" s="72" t="s">
        <v>43</v>
      </c>
      <c r="C1012" s="73"/>
      <c r="D1012" s="82"/>
      <c r="E1012" s="162"/>
      <c r="F1012" s="162"/>
      <c r="G1012" s="162"/>
      <c r="H1012" s="163"/>
    </row>
    <row r="1013" spans="1:8" hidden="1" x14ac:dyDescent="0.25">
      <c r="B1013" s="83" t="s">
        <v>109</v>
      </c>
      <c r="C1013" s="81"/>
      <c r="D1013" s="58"/>
      <c r="E1013" s="164"/>
      <c r="F1013" s="164"/>
      <c r="G1013" s="164"/>
      <c r="H1013" s="165"/>
    </row>
    <row r="1014" spans="1:8" hidden="1" x14ac:dyDescent="0.25">
      <c r="B1014" s="36" t="s">
        <v>110</v>
      </c>
      <c r="D1014" s="7">
        <f>SUM(D1011:D1013)</f>
        <v>0</v>
      </c>
      <c r="E1014" s="7">
        <f>SUM(E1011:E1013)</f>
        <v>0</v>
      </c>
      <c r="F1014" s="7">
        <f>SUM(F1011:F1013)</f>
        <v>0</v>
      </c>
      <c r="G1014" s="7"/>
      <c r="H1014" s="7"/>
    </row>
    <row r="1015" spans="1:8" hidden="1" x14ac:dyDescent="0.25">
      <c r="B1015" s="6"/>
      <c r="D1015" s="7"/>
      <c r="E1015" s="7"/>
      <c r="F1015" s="7"/>
      <c r="G1015" s="7"/>
      <c r="H1015" s="7"/>
    </row>
    <row r="1016" spans="1:8" ht="18.75" hidden="1" x14ac:dyDescent="0.3">
      <c r="A1016" s="9" t="s">
        <v>120</v>
      </c>
      <c r="D1016" s="2">
        <f>'Facility Detail'!$B$1155</f>
        <v>2013</v>
      </c>
      <c r="E1016" s="2">
        <f>D1016+1</f>
        <v>2014</v>
      </c>
      <c r="F1016" s="2">
        <f>E1016+1</f>
        <v>2015</v>
      </c>
      <c r="G1016" s="2">
        <f t="shared" ref="G1016:H1016" si="112">F1016+1</f>
        <v>2016</v>
      </c>
      <c r="H1016" s="2">
        <f t="shared" si="112"/>
        <v>2017</v>
      </c>
    </row>
    <row r="1017" spans="1:8" hidden="1" x14ac:dyDescent="0.25">
      <c r="B1017" s="71" t="str">
        <f xml:space="preserve"> 'Facility Detail'!$B$1155 &amp; " Surplus Applied to " &amp; ( 'Facility Detail'!$B$1155 + 1 )</f>
        <v>2013 Surplus Applied to 2014</v>
      </c>
      <c r="C1017" s="66"/>
      <c r="D1017" s="3">
        <f>D1003+D1008-D1014</f>
        <v>0</v>
      </c>
      <c r="E1017" s="59">
        <f>D1017</f>
        <v>0</v>
      </c>
      <c r="F1017" s="135"/>
      <c r="G1017" s="135"/>
      <c r="H1017" s="136"/>
    </row>
    <row r="1018" spans="1:8" hidden="1" x14ac:dyDescent="0.25">
      <c r="B1018" s="71" t="str">
        <f xml:space="preserve"> ( 'Facility Detail'!$B$1155 + 1 ) &amp; " Surplus Applied to " &amp; ( 'Facility Detail'!$B$1155 )</f>
        <v>2014 Surplus Applied to 2013</v>
      </c>
      <c r="C1018" s="66"/>
      <c r="D1018" s="157">
        <f>E1018</f>
        <v>0</v>
      </c>
      <c r="E1018" s="10">
        <v>0</v>
      </c>
      <c r="F1018" s="131"/>
      <c r="G1018" s="131"/>
      <c r="H1018" s="137"/>
    </row>
    <row r="1019" spans="1:8" hidden="1" x14ac:dyDescent="0.25">
      <c r="B1019" s="71" t="str">
        <f xml:space="preserve"> ( 'Facility Detail'!$B$1155 + 1 ) &amp; " Surplus Applied to " &amp; ( 'Facility Detail'!$B$1155 + 2 )</f>
        <v>2014 Surplus Applied to 2015</v>
      </c>
      <c r="C1019" s="66"/>
      <c r="D1019" s="132"/>
      <c r="E1019" s="10">
        <f>E1003+E1008-E1014</f>
        <v>0</v>
      </c>
      <c r="F1019" s="65">
        <f>+E1019</f>
        <v>0</v>
      </c>
      <c r="G1019" s="131"/>
      <c r="H1019" s="137"/>
    </row>
    <row r="1020" spans="1:8" hidden="1" x14ac:dyDescent="0.25">
      <c r="B1020" s="71" t="str">
        <f xml:space="preserve"> ( 'Facility Detail'!$B$1155 + 2 ) &amp; " Surplus Applied to " &amp; ( 'Facility Detail'!$B$1155 + 1 )</f>
        <v>2015 Surplus Applied to 2014</v>
      </c>
      <c r="C1020" s="66"/>
      <c r="D1020" s="132"/>
      <c r="E1020" s="65">
        <f>F1020</f>
        <v>0</v>
      </c>
      <c r="F1020" s="10">
        <v>0</v>
      </c>
      <c r="G1020" s="131"/>
      <c r="H1020" s="137"/>
    </row>
    <row r="1021" spans="1:8" hidden="1" x14ac:dyDescent="0.25">
      <c r="B1021" s="71"/>
      <c r="C1021" s="33"/>
      <c r="D1021" s="132"/>
      <c r="E1021" s="131"/>
      <c r="F1021" s="10">
        <f>F1003+F1008-F1014</f>
        <v>0</v>
      </c>
      <c r="G1021" s="65">
        <f>+F1021</f>
        <v>0</v>
      </c>
      <c r="H1021" s="137"/>
    </row>
    <row r="1022" spans="1:8" hidden="1" x14ac:dyDescent="0.25">
      <c r="B1022" s="71"/>
      <c r="C1022" s="33"/>
      <c r="D1022" s="132"/>
      <c r="E1022" s="131"/>
      <c r="F1022" s="65">
        <f>G1022</f>
        <v>0</v>
      </c>
      <c r="G1022" s="10">
        <v>0</v>
      </c>
      <c r="H1022" s="137"/>
    </row>
    <row r="1023" spans="1:8" hidden="1" x14ac:dyDescent="0.25">
      <c r="B1023" s="71"/>
      <c r="C1023" s="33"/>
      <c r="D1023" s="132"/>
      <c r="E1023" s="131"/>
      <c r="F1023" s="131"/>
      <c r="G1023" s="10">
        <f>G1003+G1008-G1014</f>
        <v>0</v>
      </c>
      <c r="H1023" s="60">
        <f>+G1023</f>
        <v>0</v>
      </c>
    </row>
    <row r="1024" spans="1:8" hidden="1" x14ac:dyDescent="0.25">
      <c r="B1024" s="71"/>
      <c r="C1024" s="33"/>
      <c r="D1024" s="133"/>
      <c r="E1024" s="134"/>
      <c r="F1024" s="134"/>
      <c r="G1024" s="61">
        <f>H1024</f>
        <v>0</v>
      </c>
      <c r="H1024" s="51">
        <v>0</v>
      </c>
    </row>
    <row r="1025" spans="1:8" hidden="1" x14ac:dyDescent="0.25">
      <c r="B1025" s="36" t="s">
        <v>37</v>
      </c>
      <c r="D1025" s="7">
        <f xml:space="preserve"> D1018 - D1017</f>
        <v>0</v>
      </c>
      <c r="E1025" s="7">
        <f xml:space="preserve"> E1017 + E1020 - E1019 - E1018</f>
        <v>0</v>
      </c>
      <c r="F1025" s="7">
        <f>F1019 - F1020 - F1021 + F1022</f>
        <v>0</v>
      </c>
      <c r="G1025" s="7">
        <f>G1021  - G1022 - G1023  + G1024</f>
        <v>0</v>
      </c>
      <c r="H1025" s="7">
        <f>H1023 - H1024</f>
        <v>0</v>
      </c>
    </row>
    <row r="1026" spans="1:8" hidden="1" x14ac:dyDescent="0.25">
      <c r="B1026" s="6"/>
      <c r="D1026" s="7"/>
      <c r="E1026" s="7"/>
      <c r="F1026" s="7"/>
      <c r="G1026" s="7"/>
      <c r="H1026" s="7"/>
    </row>
    <row r="1027" spans="1:8" hidden="1" x14ac:dyDescent="0.25">
      <c r="B1027" s="68" t="s">
        <v>32</v>
      </c>
      <c r="C1027" s="66"/>
      <c r="D1027" s="90"/>
      <c r="E1027" s="91"/>
      <c r="F1027" s="129"/>
      <c r="G1027" s="129"/>
      <c r="H1027" s="92"/>
    </row>
    <row r="1028" spans="1:8" hidden="1" x14ac:dyDescent="0.25">
      <c r="B1028" s="6"/>
      <c r="D1028" s="7"/>
      <c r="E1028" s="7"/>
      <c r="F1028" s="7"/>
      <c r="G1028" s="7"/>
      <c r="H1028" s="7"/>
    </row>
    <row r="1029" spans="1:8" ht="18.75" hidden="1" x14ac:dyDescent="0.3">
      <c r="A1029" s="45" t="s">
        <v>46</v>
      </c>
      <c r="C1029" s="66"/>
      <c r="D1029" s="130">
        <f xml:space="preserve"> D1003 + D1008 - D1014 + D1025 + D1027</f>
        <v>0</v>
      </c>
      <c r="E1029" s="130">
        <f xml:space="preserve"> E1003 + E1008 - E1014 + E1025 + E1027</f>
        <v>0</v>
      </c>
      <c r="F1029" s="130">
        <f xml:space="preserve"> F1003 + F1008 - F1014 + F1025 + F1027</f>
        <v>0</v>
      </c>
      <c r="G1029" s="130"/>
      <c r="H1029" s="49"/>
    </row>
    <row r="1030" spans="1:8" hidden="1" x14ac:dyDescent="0.25">
      <c r="B1030" s="6"/>
      <c r="D1030" s="7"/>
      <c r="E1030" s="7"/>
      <c r="F1030" s="7"/>
      <c r="G1030" s="32"/>
      <c r="H1030" s="32"/>
    </row>
    <row r="1031" spans="1:8" hidden="1" x14ac:dyDescent="0.25"/>
    <row r="1032" spans="1:8" hidden="1" x14ac:dyDescent="0.25">
      <c r="A1032" s="8"/>
      <c r="B1032" s="8"/>
      <c r="C1032" s="8"/>
      <c r="D1032" s="8"/>
      <c r="E1032" s="8"/>
      <c r="F1032" s="8"/>
      <c r="G1032" s="8"/>
      <c r="H1032" s="8"/>
    </row>
    <row r="1033" spans="1:8" hidden="1" x14ac:dyDescent="0.25">
      <c r="B1033" s="33"/>
      <c r="C1033" s="33"/>
      <c r="D1033" s="33"/>
      <c r="E1033" s="33"/>
      <c r="F1033" s="33"/>
      <c r="G1033" s="33"/>
      <c r="H1033" s="33"/>
    </row>
    <row r="1034" spans="1:8" ht="21" hidden="1" x14ac:dyDescent="0.35">
      <c r="A1034" s="13" t="s">
        <v>4</v>
      </c>
      <c r="B1034" s="13"/>
      <c r="C1034" s="46" t="str">
        <f>B31</f>
        <v>Facility 28</v>
      </c>
      <c r="D1034" s="47"/>
      <c r="E1034" s="23"/>
      <c r="F1034" s="23"/>
    </row>
    <row r="1035" spans="1:8" hidden="1" x14ac:dyDescent="0.25"/>
    <row r="1036" spans="1:8" ht="18.75" hidden="1" x14ac:dyDescent="0.3">
      <c r="A1036" s="9" t="s">
        <v>41</v>
      </c>
      <c r="B1036" s="9"/>
      <c r="D1036" s="2">
        <f>'Facility Detail'!$B$1155</f>
        <v>2013</v>
      </c>
      <c r="E1036" s="2">
        <f>D1036+1</f>
        <v>2014</v>
      </c>
      <c r="F1036" s="2">
        <f>E1036+1</f>
        <v>2015</v>
      </c>
      <c r="G1036" s="2">
        <f t="shared" ref="G1036:H1036" si="113">F1036+1</f>
        <v>2016</v>
      </c>
      <c r="H1036" s="2">
        <f t="shared" si="113"/>
        <v>2017</v>
      </c>
    </row>
    <row r="1037" spans="1:8" hidden="1" x14ac:dyDescent="0.25">
      <c r="B1037" s="71" t="str">
        <f>"Total MWh Produced / Purchased from " &amp; C1034</f>
        <v>Total MWh Produced / Purchased from Facility 28</v>
      </c>
      <c r="C1037" s="66"/>
      <c r="D1037" s="3"/>
      <c r="E1037" s="4"/>
      <c r="F1037" s="4"/>
      <c r="G1037" s="4"/>
      <c r="H1037" s="5"/>
    </row>
    <row r="1038" spans="1:8" hidden="1" x14ac:dyDescent="0.25">
      <c r="B1038" s="71" t="s">
        <v>45</v>
      </c>
      <c r="C1038" s="66"/>
      <c r="D1038" s="155"/>
      <c r="E1038" s="154"/>
      <c r="F1038" s="154"/>
      <c r="G1038" s="154"/>
      <c r="H1038" s="156"/>
    </row>
    <row r="1039" spans="1:8" hidden="1" x14ac:dyDescent="0.25">
      <c r="B1039" s="71" t="s">
        <v>40</v>
      </c>
      <c r="C1039" s="66"/>
      <c r="D1039" s="146"/>
      <c r="E1039" s="52"/>
      <c r="F1039" s="52"/>
      <c r="G1039" s="52"/>
      <c r="H1039" s="53"/>
    </row>
    <row r="1040" spans="1:8" hidden="1" x14ac:dyDescent="0.25">
      <c r="B1040" s="68" t="s">
        <v>42</v>
      </c>
      <c r="C1040" s="69"/>
      <c r="D1040" s="41">
        <f xml:space="preserve"> D1037 * D1038 * D1039</f>
        <v>0</v>
      </c>
      <c r="E1040" s="153">
        <f xml:space="preserve"> E1037 * E1038 * E1039</f>
        <v>0</v>
      </c>
      <c r="F1040" s="153">
        <f xml:space="preserve"> F1037 * F1038 * F1039</f>
        <v>0</v>
      </c>
      <c r="G1040" s="153"/>
      <c r="H1040" s="153"/>
    </row>
    <row r="1041" spans="1:8" hidden="1" x14ac:dyDescent="0.25">
      <c r="B1041" s="23"/>
      <c r="C1041" s="33"/>
      <c r="D1041" s="40"/>
      <c r="E1041" s="40"/>
      <c r="F1041" s="40"/>
      <c r="G1041" s="40"/>
      <c r="H1041" s="40"/>
    </row>
    <row r="1042" spans="1:8" ht="18.75" hidden="1" x14ac:dyDescent="0.3">
      <c r="A1042" s="48" t="s">
        <v>139</v>
      </c>
      <c r="C1042" s="33"/>
      <c r="D1042" s="2">
        <f>'Facility Detail'!$B$1155</f>
        <v>2013</v>
      </c>
      <c r="E1042" s="2">
        <f>D1042+1</f>
        <v>2014</v>
      </c>
      <c r="F1042" s="2">
        <f>E1042+1</f>
        <v>2015</v>
      </c>
      <c r="G1042" s="2">
        <f t="shared" ref="G1042:H1042" si="114">F1042+1</f>
        <v>2016</v>
      </c>
      <c r="H1042" s="2">
        <f t="shared" si="114"/>
        <v>2017</v>
      </c>
    </row>
    <row r="1043" spans="1:8" hidden="1" x14ac:dyDescent="0.25">
      <c r="B1043" s="71" t="s">
        <v>30</v>
      </c>
      <c r="C1043" s="66"/>
      <c r="D1043" s="54">
        <f>IF( $F643 = "Eligible", D1040 * 'Facility Detail'!$B$1152, 0 )</f>
        <v>0</v>
      </c>
      <c r="E1043" s="11">
        <f>IF( $F643 = "Eligible", E1040 * 'Facility Detail'!$B$1152, 0 )</f>
        <v>0</v>
      </c>
      <c r="F1043" s="127">
        <f>IF( $F643 = "Eligible", F1040 * 'Facility Detail'!$B$1152, 0 )</f>
        <v>0</v>
      </c>
      <c r="G1043" s="127">
        <f>IF( $F643 = "Eligible", G1040 * 'Facility Detail'!$B$1152, 0 )</f>
        <v>0</v>
      </c>
      <c r="H1043" s="12">
        <f>IF( $F643 = "Eligible", H1040 * 'Facility Detail'!$B$1152, 0 )</f>
        <v>0</v>
      </c>
    </row>
    <row r="1044" spans="1:8" hidden="1" x14ac:dyDescent="0.25">
      <c r="B1044" s="71" t="s">
        <v>6</v>
      </c>
      <c r="C1044" s="66"/>
      <c r="D1044" s="55">
        <f>IF( $G643 = "Eligible", D1040, 0 )</f>
        <v>0</v>
      </c>
      <c r="E1044" s="56">
        <f>IF( $G643 = "Eligible", E1040, 0 )</f>
        <v>0</v>
      </c>
      <c r="F1044" s="128">
        <f t="shared" ref="F1044:H1044" si="115">IF( $G643 = "Eligible", F1040, 0 )</f>
        <v>0</v>
      </c>
      <c r="G1044" s="128">
        <f t="shared" si="115"/>
        <v>0</v>
      </c>
      <c r="H1044" s="57">
        <f t="shared" si="115"/>
        <v>0</v>
      </c>
    </row>
    <row r="1045" spans="1:8" hidden="1" x14ac:dyDescent="0.25">
      <c r="B1045" s="70" t="s">
        <v>141</v>
      </c>
      <c r="C1045" s="69"/>
      <c r="D1045" s="43">
        <f>SUM(D1043:D1044)</f>
        <v>0</v>
      </c>
      <c r="E1045" s="44">
        <f>SUM(E1043:E1044)</f>
        <v>0</v>
      </c>
      <c r="F1045" s="44">
        <f>SUM(F1043:F1044)</f>
        <v>0</v>
      </c>
      <c r="G1045" s="44">
        <f t="shared" ref="G1045" si="116">SUM(G1043:G1044)</f>
        <v>0</v>
      </c>
      <c r="H1045" s="44">
        <f t="shared" ref="H1045" si="117">SUM(H1043:H1044)</f>
        <v>0</v>
      </c>
    </row>
    <row r="1046" spans="1:8" hidden="1" x14ac:dyDescent="0.25">
      <c r="B1046" s="33"/>
      <c r="C1046" s="33"/>
      <c r="D1046" s="42"/>
      <c r="E1046" s="34"/>
      <c r="F1046" s="34"/>
      <c r="G1046" s="34"/>
      <c r="H1046" s="34"/>
    </row>
    <row r="1047" spans="1:8" ht="18.75" hidden="1" x14ac:dyDescent="0.3">
      <c r="A1047" s="45" t="s">
        <v>50</v>
      </c>
      <c r="C1047" s="33"/>
      <c r="D1047" s="2">
        <f>'Facility Detail'!$B$1155</f>
        <v>2013</v>
      </c>
      <c r="E1047" s="2">
        <f>D1047+1</f>
        <v>2014</v>
      </c>
      <c r="F1047" s="2">
        <f>E1047+1</f>
        <v>2015</v>
      </c>
      <c r="G1047" s="2">
        <f t="shared" ref="G1047:H1047" si="118">F1047+1</f>
        <v>2016</v>
      </c>
      <c r="H1047" s="2">
        <f t="shared" si="118"/>
        <v>2017</v>
      </c>
    </row>
    <row r="1048" spans="1:8" hidden="1" x14ac:dyDescent="0.25">
      <c r="B1048" s="71" t="s">
        <v>67</v>
      </c>
      <c r="C1048" s="66"/>
      <c r="D1048" s="161"/>
      <c r="E1048" s="4"/>
      <c r="F1048" s="4"/>
      <c r="G1048" s="4"/>
      <c r="H1048" s="5"/>
    </row>
    <row r="1049" spans="1:8" hidden="1" x14ac:dyDescent="0.25">
      <c r="B1049" s="72" t="s">
        <v>43</v>
      </c>
      <c r="C1049" s="73"/>
      <c r="D1049" s="82"/>
      <c r="E1049" s="162"/>
      <c r="F1049" s="162"/>
      <c r="G1049" s="162"/>
      <c r="H1049" s="163"/>
    </row>
    <row r="1050" spans="1:8" hidden="1" x14ac:dyDescent="0.25">
      <c r="B1050" s="83" t="s">
        <v>109</v>
      </c>
      <c r="C1050" s="81"/>
      <c r="D1050" s="58"/>
      <c r="E1050" s="164"/>
      <c r="F1050" s="164"/>
      <c r="G1050" s="164"/>
      <c r="H1050" s="165"/>
    </row>
    <row r="1051" spans="1:8" hidden="1" x14ac:dyDescent="0.25">
      <c r="B1051" s="36" t="s">
        <v>110</v>
      </c>
      <c r="D1051" s="7">
        <f>SUM(D1048:D1050)</f>
        <v>0</v>
      </c>
      <c r="E1051" s="7">
        <f>SUM(E1048:E1050)</f>
        <v>0</v>
      </c>
      <c r="F1051" s="7">
        <f>SUM(F1048:F1050)</f>
        <v>0</v>
      </c>
      <c r="G1051" s="7"/>
      <c r="H1051" s="7"/>
    </row>
    <row r="1052" spans="1:8" hidden="1" x14ac:dyDescent="0.25">
      <c r="B1052" s="6"/>
      <c r="D1052" s="7"/>
      <c r="E1052" s="7"/>
      <c r="F1052" s="7"/>
      <c r="G1052" s="7"/>
      <c r="H1052" s="7"/>
    </row>
    <row r="1053" spans="1:8" ht="18.75" hidden="1" x14ac:dyDescent="0.3">
      <c r="A1053" s="9" t="s">
        <v>120</v>
      </c>
      <c r="D1053" s="2">
        <f>'Facility Detail'!$B$1155</f>
        <v>2013</v>
      </c>
      <c r="E1053" s="2">
        <f>D1053+1</f>
        <v>2014</v>
      </c>
      <c r="F1053" s="2">
        <f>E1053+1</f>
        <v>2015</v>
      </c>
      <c r="G1053" s="2">
        <f t="shared" ref="G1053:H1053" si="119">F1053+1</f>
        <v>2016</v>
      </c>
      <c r="H1053" s="2">
        <f t="shared" si="119"/>
        <v>2017</v>
      </c>
    </row>
    <row r="1054" spans="1:8" hidden="1" x14ac:dyDescent="0.25">
      <c r="B1054" s="71" t="str">
        <f xml:space="preserve"> 'Facility Detail'!$B$1155 &amp; " Surplus Applied to " &amp; ( 'Facility Detail'!$B$1155 + 1 )</f>
        <v>2013 Surplus Applied to 2014</v>
      </c>
      <c r="C1054" s="66"/>
      <c r="D1054" s="3">
        <f>D1040+D1045-D1051</f>
        <v>0</v>
      </c>
      <c r="E1054" s="59">
        <f>D1054</f>
        <v>0</v>
      </c>
      <c r="F1054" s="135"/>
      <c r="G1054" s="135"/>
      <c r="H1054" s="136"/>
    </row>
    <row r="1055" spans="1:8" hidden="1" x14ac:dyDescent="0.25">
      <c r="B1055" s="71" t="str">
        <f xml:space="preserve"> ( 'Facility Detail'!$B$1155 + 1 ) &amp; " Surplus Applied to " &amp; ( 'Facility Detail'!$B$1155 )</f>
        <v>2014 Surplus Applied to 2013</v>
      </c>
      <c r="C1055" s="66"/>
      <c r="D1055" s="157">
        <f>E1055</f>
        <v>0</v>
      </c>
      <c r="E1055" s="10">
        <v>0</v>
      </c>
      <c r="F1055" s="131"/>
      <c r="G1055" s="131"/>
      <c r="H1055" s="137"/>
    </row>
    <row r="1056" spans="1:8" hidden="1" x14ac:dyDescent="0.25">
      <c r="B1056" s="71" t="str">
        <f xml:space="preserve"> ( 'Facility Detail'!$B$1155 + 1 ) &amp; " Surplus Applied to " &amp; ( 'Facility Detail'!$B$1155 + 2 )</f>
        <v>2014 Surplus Applied to 2015</v>
      </c>
      <c r="C1056" s="66"/>
      <c r="D1056" s="132"/>
      <c r="E1056" s="10">
        <f>E1040+E1045-E1051</f>
        <v>0</v>
      </c>
      <c r="F1056" s="65">
        <f>+E1056</f>
        <v>0</v>
      </c>
      <c r="G1056" s="131"/>
      <c r="H1056" s="137"/>
    </row>
    <row r="1057" spans="1:8" hidden="1" x14ac:dyDescent="0.25">
      <c r="B1057" s="71" t="str">
        <f xml:space="preserve"> ( 'Facility Detail'!$B$1155 + 2 ) &amp; " Surplus Applied to " &amp; ( 'Facility Detail'!$B$1155 + 1 )</f>
        <v>2015 Surplus Applied to 2014</v>
      </c>
      <c r="C1057" s="66"/>
      <c r="D1057" s="132"/>
      <c r="E1057" s="65">
        <f>F1057</f>
        <v>0</v>
      </c>
      <c r="F1057" s="10">
        <v>0</v>
      </c>
      <c r="G1057" s="131"/>
      <c r="H1057" s="137"/>
    </row>
    <row r="1058" spans="1:8" hidden="1" x14ac:dyDescent="0.25">
      <c r="B1058" s="71"/>
      <c r="C1058" s="33"/>
      <c r="D1058" s="132"/>
      <c r="E1058" s="131"/>
      <c r="F1058" s="10">
        <f>F1040+F1045-F1051</f>
        <v>0</v>
      </c>
      <c r="G1058" s="65">
        <f>+F1058</f>
        <v>0</v>
      </c>
      <c r="H1058" s="137"/>
    </row>
    <row r="1059" spans="1:8" hidden="1" x14ac:dyDescent="0.25">
      <c r="B1059" s="71"/>
      <c r="C1059" s="33"/>
      <c r="D1059" s="132"/>
      <c r="E1059" s="131"/>
      <c r="F1059" s="65">
        <f>G1059</f>
        <v>0</v>
      </c>
      <c r="G1059" s="10">
        <v>0</v>
      </c>
      <c r="H1059" s="137"/>
    </row>
    <row r="1060" spans="1:8" hidden="1" x14ac:dyDescent="0.25">
      <c r="B1060" s="71"/>
      <c r="C1060" s="33"/>
      <c r="D1060" s="132"/>
      <c r="E1060" s="131"/>
      <c r="F1060" s="131"/>
      <c r="G1060" s="10">
        <f>G1040+G1045-G1051</f>
        <v>0</v>
      </c>
      <c r="H1060" s="60">
        <f>+G1060</f>
        <v>0</v>
      </c>
    </row>
    <row r="1061" spans="1:8" hidden="1" x14ac:dyDescent="0.25">
      <c r="B1061" s="71"/>
      <c r="C1061" s="33"/>
      <c r="D1061" s="133"/>
      <c r="E1061" s="134"/>
      <c r="F1061" s="134"/>
      <c r="G1061" s="61">
        <f>H1061</f>
        <v>0</v>
      </c>
      <c r="H1061" s="51">
        <v>0</v>
      </c>
    </row>
    <row r="1062" spans="1:8" hidden="1" x14ac:dyDescent="0.25">
      <c r="B1062" s="36" t="s">
        <v>37</v>
      </c>
      <c r="D1062" s="7">
        <f xml:space="preserve"> D1055 - D1054</f>
        <v>0</v>
      </c>
      <c r="E1062" s="7">
        <f xml:space="preserve"> E1054 + E1057 - E1056 - E1055</f>
        <v>0</v>
      </c>
      <c r="F1062" s="7">
        <f>F1056 - F1057 - F1058 + F1059</f>
        <v>0</v>
      </c>
      <c r="G1062" s="7">
        <f>G1058  - G1059 - G1060  + G1061</f>
        <v>0</v>
      </c>
      <c r="H1062" s="7">
        <f>H1060 - H1061</f>
        <v>0</v>
      </c>
    </row>
    <row r="1063" spans="1:8" hidden="1" x14ac:dyDescent="0.25">
      <c r="B1063" s="6"/>
      <c r="D1063" s="7"/>
      <c r="E1063" s="7"/>
      <c r="F1063" s="7"/>
      <c r="G1063" s="7"/>
      <c r="H1063" s="7"/>
    </row>
    <row r="1064" spans="1:8" hidden="1" x14ac:dyDescent="0.25">
      <c r="B1064" s="68" t="s">
        <v>32</v>
      </c>
      <c r="C1064" s="66"/>
      <c r="D1064" s="90"/>
      <c r="E1064" s="91"/>
      <c r="F1064" s="129"/>
      <c r="G1064" s="129"/>
      <c r="H1064" s="92"/>
    </row>
    <row r="1065" spans="1:8" hidden="1" x14ac:dyDescent="0.25">
      <c r="B1065" s="6"/>
      <c r="D1065" s="7"/>
      <c r="E1065" s="7"/>
      <c r="F1065" s="7"/>
      <c r="G1065" s="7"/>
      <c r="H1065" s="7"/>
    </row>
    <row r="1066" spans="1:8" ht="18.75" hidden="1" x14ac:dyDescent="0.3">
      <c r="A1066" s="45" t="s">
        <v>46</v>
      </c>
      <c r="C1066" s="66"/>
      <c r="D1066" s="130">
        <f xml:space="preserve"> D1040 + D1045 - D1051 + D1062 + D1064</f>
        <v>0</v>
      </c>
      <c r="E1066" s="130">
        <f xml:space="preserve"> E1040 + E1045 - E1051 + E1062 + E1064</f>
        <v>0</v>
      </c>
      <c r="F1066" s="130">
        <f xml:space="preserve"> F1040 + F1045 - F1051 + F1062 + F1064</f>
        <v>0</v>
      </c>
      <c r="G1066" s="130"/>
      <c r="H1066" s="49"/>
    </row>
    <row r="1067" spans="1:8" hidden="1" x14ac:dyDescent="0.25">
      <c r="B1067" s="6"/>
      <c r="D1067" s="7"/>
      <c r="E1067" s="7"/>
      <c r="F1067" s="7"/>
      <c r="G1067" s="32"/>
      <c r="H1067" s="32"/>
    </row>
    <row r="1068" spans="1:8" hidden="1" x14ac:dyDescent="0.25"/>
    <row r="1069" spans="1:8" hidden="1" x14ac:dyDescent="0.25">
      <c r="A1069" s="8"/>
      <c r="B1069" s="8"/>
      <c r="C1069" s="8"/>
      <c r="D1069" s="8"/>
      <c r="E1069" s="8"/>
      <c r="F1069" s="8"/>
      <c r="G1069" s="8"/>
      <c r="H1069" s="8"/>
    </row>
    <row r="1070" spans="1:8" hidden="1" x14ac:dyDescent="0.25">
      <c r="B1070" s="33"/>
      <c r="C1070" s="33"/>
      <c r="D1070" s="33"/>
      <c r="E1070" s="33"/>
      <c r="F1070" s="33"/>
      <c r="G1070" s="33"/>
      <c r="H1070" s="33"/>
    </row>
    <row r="1071" spans="1:8" ht="21" hidden="1" x14ac:dyDescent="0.35">
      <c r="A1071" s="13" t="s">
        <v>4</v>
      </c>
      <c r="B1071" s="13"/>
      <c r="C1071" s="46" t="str">
        <f>B32</f>
        <v>Facility 29</v>
      </c>
      <c r="D1071" s="47"/>
      <c r="E1071" s="23"/>
      <c r="F1071" s="23"/>
    </row>
    <row r="1072" spans="1:8" hidden="1" x14ac:dyDescent="0.25"/>
    <row r="1073" spans="1:8" ht="18.75" hidden="1" x14ac:dyDescent="0.3">
      <c r="A1073" s="9" t="s">
        <v>41</v>
      </c>
      <c r="B1073" s="9"/>
      <c r="D1073" s="2">
        <f>'Facility Detail'!$B$1155</f>
        <v>2013</v>
      </c>
      <c r="E1073" s="2">
        <f>D1073+1</f>
        <v>2014</v>
      </c>
      <c r="F1073" s="2">
        <f>E1073+1</f>
        <v>2015</v>
      </c>
      <c r="G1073" s="2">
        <f t="shared" ref="G1073:H1073" si="120">F1073+1</f>
        <v>2016</v>
      </c>
      <c r="H1073" s="2">
        <f t="shared" si="120"/>
        <v>2017</v>
      </c>
    </row>
    <row r="1074" spans="1:8" hidden="1" x14ac:dyDescent="0.25">
      <c r="B1074" s="71" t="str">
        <f>"Total MWh Produced / Purchased from " &amp; C1071</f>
        <v>Total MWh Produced / Purchased from Facility 29</v>
      </c>
      <c r="C1074" s="66"/>
      <c r="D1074" s="3"/>
      <c r="E1074" s="4"/>
      <c r="F1074" s="4"/>
      <c r="G1074" s="4"/>
      <c r="H1074" s="5"/>
    </row>
    <row r="1075" spans="1:8" hidden="1" x14ac:dyDescent="0.25">
      <c r="B1075" s="71" t="s">
        <v>45</v>
      </c>
      <c r="C1075" s="66"/>
      <c r="D1075" s="155"/>
      <c r="E1075" s="154"/>
      <c r="F1075" s="154"/>
      <c r="G1075" s="154"/>
      <c r="H1075" s="156"/>
    </row>
    <row r="1076" spans="1:8" hidden="1" x14ac:dyDescent="0.25">
      <c r="B1076" s="71" t="s">
        <v>40</v>
      </c>
      <c r="C1076" s="66"/>
      <c r="D1076" s="146"/>
      <c r="E1076" s="52"/>
      <c r="F1076" s="52"/>
      <c r="G1076" s="52"/>
      <c r="H1076" s="53"/>
    </row>
    <row r="1077" spans="1:8" hidden="1" x14ac:dyDescent="0.25">
      <c r="B1077" s="68" t="s">
        <v>42</v>
      </c>
      <c r="C1077" s="69"/>
      <c r="D1077" s="41">
        <f xml:space="preserve"> D1074 * D1075 * D1076</f>
        <v>0</v>
      </c>
      <c r="E1077" s="153">
        <f xml:space="preserve"> E1074 * E1075 * E1076</f>
        <v>0</v>
      </c>
      <c r="F1077" s="153">
        <f xml:space="preserve"> F1074 * F1075 * F1076</f>
        <v>0</v>
      </c>
      <c r="G1077" s="153"/>
      <c r="H1077" s="153"/>
    </row>
    <row r="1078" spans="1:8" hidden="1" x14ac:dyDescent="0.25">
      <c r="B1078" s="23"/>
      <c r="C1078" s="33"/>
      <c r="D1078" s="40"/>
      <c r="E1078" s="40"/>
      <c r="F1078" s="40"/>
      <c r="G1078" s="40"/>
      <c r="H1078" s="40"/>
    </row>
    <row r="1079" spans="1:8" ht="18.75" hidden="1" x14ac:dyDescent="0.3">
      <c r="A1079" s="48" t="s">
        <v>139</v>
      </c>
      <c r="C1079" s="33"/>
      <c r="D1079" s="2">
        <f>'Facility Detail'!$B$1155</f>
        <v>2013</v>
      </c>
      <c r="E1079" s="2">
        <f>D1079+1</f>
        <v>2014</v>
      </c>
      <c r="F1079" s="2">
        <f>E1079+1</f>
        <v>2015</v>
      </c>
      <c r="G1079" s="2">
        <f t="shared" ref="G1079:H1079" si="121">F1079+1</f>
        <v>2016</v>
      </c>
      <c r="H1079" s="2">
        <f t="shared" si="121"/>
        <v>2017</v>
      </c>
    </row>
    <row r="1080" spans="1:8" hidden="1" x14ac:dyDescent="0.25">
      <c r="B1080" s="71" t="s">
        <v>30</v>
      </c>
      <c r="C1080" s="66"/>
      <c r="D1080" s="54">
        <f>IF( $F680 = "Eligible", D1077 * 'Facility Detail'!$B$1152, 0 )</f>
        <v>0</v>
      </c>
      <c r="E1080" s="11">
        <f>IF( $F680 = "Eligible", E1077 * 'Facility Detail'!$B$1152, 0 )</f>
        <v>0</v>
      </c>
      <c r="F1080" s="127">
        <f>IF( $F680 = "Eligible", F1077 * 'Facility Detail'!$B$1152, 0 )</f>
        <v>0</v>
      </c>
      <c r="G1080" s="127">
        <f>IF( $F680 = "Eligible", G1077 * 'Facility Detail'!$B$1152, 0 )</f>
        <v>0</v>
      </c>
      <c r="H1080" s="12">
        <f>IF( $F680 = "Eligible", H1077 * 'Facility Detail'!$B$1152, 0 )</f>
        <v>0</v>
      </c>
    </row>
    <row r="1081" spans="1:8" hidden="1" x14ac:dyDescent="0.25">
      <c r="B1081" s="71" t="s">
        <v>6</v>
      </c>
      <c r="C1081" s="66"/>
      <c r="D1081" s="55">
        <f>IF( $G680 = "Eligible", D1077, 0 )</f>
        <v>0</v>
      </c>
      <c r="E1081" s="56">
        <f>IF( $G680 = "Eligible", E1077, 0 )</f>
        <v>0</v>
      </c>
      <c r="F1081" s="128">
        <f t="shared" ref="F1081:H1081" si="122">IF( $G680 = "Eligible", F1077, 0 )</f>
        <v>0</v>
      </c>
      <c r="G1081" s="128">
        <f t="shared" si="122"/>
        <v>0</v>
      </c>
      <c r="H1081" s="57">
        <f t="shared" si="122"/>
        <v>0</v>
      </c>
    </row>
    <row r="1082" spans="1:8" hidden="1" x14ac:dyDescent="0.25">
      <c r="B1082" s="70" t="s">
        <v>141</v>
      </c>
      <c r="C1082" s="69"/>
      <c r="D1082" s="43">
        <f>SUM(D1080:D1081)</f>
        <v>0</v>
      </c>
      <c r="E1082" s="44">
        <f>SUM(E1080:E1081)</f>
        <v>0</v>
      </c>
      <c r="F1082" s="44">
        <f>SUM(F1080:F1081)</f>
        <v>0</v>
      </c>
      <c r="G1082" s="44">
        <f t="shared" ref="G1082" si="123">SUM(G1080:G1081)</f>
        <v>0</v>
      </c>
      <c r="H1082" s="44">
        <f t="shared" ref="H1082" si="124">SUM(H1080:H1081)</f>
        <v>0</v>
      </c>
    </row>
    <row r="1083" spans="1:8" hidden="1" x14ac:dyDescent="0.25">
      <c r="B1083" s="33"/>
      <c r="C1083" s="33"/>
      <c r="D1083" s="42"/>
      <c r="E1083" s="34"/>
      <c r="F1083" s="34"/>
      <c r="G1083" s="34"/>
      <c r="H1083" s="34"/>
    </row>
    <row r="1084" spans="1:8" ht="18.75" hidden="1" x14ac:dyDescent="0.3">
      <c r="A1084" s="45" t="s">
        <v>50</v>
      </c>
      <c r="C1084" s="33"/>
      <c r="D1084" s="2">
        <f>'Facility Detail'!$B$1155</f>
        <v>2013</v>
      </c>
      <c r="E1084" s="2">
        <f>D1084+1</f>
        <v>2014</v>
      </c>
      <c r="F1084" s="2">
        <f>E1084+1</f>
        <v>2015</v>
      </c>
      <c r="G1084" s="2">
        <f t="shared" ref="G1084:H1084" si="125">F1084+1</f>
        <v>2016</v>
      </c>
      <c r="H1084" s="2">
        <f t="shared" si="125"/>
        <v>2017</v>
      </c>
    </row>
    <row r="1085" spans="1:8" hidden="1" x14ac:dyDescent="0.25">
      <c r="B1085" s="71" t="s">
        <v>67</v>
      </c>
      <c r="C1085" s="66"/>
      <c r="D1085" s="161"/>
      <c r="E1085" s="4"/>
      <c r="F1085" s="4"/>
      <c r="G1085" s="4"/>
      <c r="H1085" s="5"/>
    </row>
    <row r="1086" spans="1:8" hidden="1" x14ac:dyDescent="0.25">
      <c r="B1086" s="72" t="s">
        <v>43</v>
      </c>
      <c r="C1086" s="73"/>
      <c r="D1086" s="82"/>
      <c r="E1086" s="162"/>
      <c r="F1086" s="162"/>
      <c r="G1086" s="162"/>
      <c r="H1086" s="163"/>
    </row>
    <row r="1087" spans="1:8" hidden="1" x14ac:dyDescent="0.25">
      <c r="B1087" s="83" t="s">
        <v>109</v>
      </c>
      <c r="C1087" s="81"/>
      <c r="D1087" s="58"/>
      <c r="E1087" s="164"/>
      <c r="F1087" s="164"/>
      <c r="G1087" s="164"/>
      <c r="H1087" s="165"/>
    </row>
    <row r="1088" spans="1:8" hidden="1" x14ac:dyDescent="0.25">
      <c r="B1088" s="36" t="s">
        <v>110</v>
      </c>
      <c r="D1088" s="7">
        <f>SUM(D1085:D1087)</f>
        <v>0</v>
      </c>
      <c r="E1088" s="7">
        <f>SUM(E1085:E1087)</f>
        <v>0</v>
      </c>
      <c r="F1088" s="7">
        <f>SUM(F1085:F1087)</f>
        <v>0</v>
      </c>
      <c r="G1088" s="7"/>
      <c r="H1088" s="7"/>
    </row>
    <row r="1089" spans="1:8" hidden="1" x14ac:dyDescent="0.25">
      <c r="B1089" s="6"/>
      <c r="D1089" s="7"/>
      <c r="E1089" s="7"/>
      <c r="F1089" s="7"/>
      <c r="G1089" s="7"/>
      <c r="H1089" s="7"/>
    </row>
    <row r="1090" spans="1:8" ht="18.75" hidden="1" x14ac:dyDescent="0.3">
      <c r="A1090" s="9" t="s">
        <v>120</v>
      </c>
      <c r="D1090" s="2">
        <f>'Facility Detail'!$B$1155</f>
        <v>2013</v>
      </c>
      <c r="E1090" s="2">
        <f>D1090+1</f>
        <v>2014</v>
      </c>
      <c r="F1090" s="2">
        <f>E1090+1</f>
        <v>2015</v>
      </c>
      <c r="G1090" s="2">
        <f t="shared" ref="G1090:H1090" si="126">F1090+1</f>
        <v>2016</v>
      </c>
      <c r="H1090" s="2">
        <f t="shared" si="126"/>
        <v>2017</v>
      </c>
    </row>
    <row r="1091" spans="1:8" hidden="1" x14ac:dyDescent="0.25">
      <c r="B1091" s="71" t="str">
        <f xml:space="preserve"> 'Facility Detail'!$B$1155 &amp; " Surplus Applied to " &amp; ( 'Facility Detail'!$B$1155 + 1 )</f>
        <v>2013 Surplus Applied to 2014</v>
      </c>
      <c r="C1091" s="66"/>
      <c r="D1091" s="3">
        <f>D1077+D1082-D1088</f>
        <v>0</v>
      </c>
      <c r="E1091" s="59">
        <f>D1091</f>
        <v>0</v>
      </c>
      <c r="F1091" s="135"/>
      <c r="G1091" s="135"/>
      <c r="H1091" s="136"/>
    </row>
    <row r="1092" spans="1:8" hidden="1" x14ac:dyDescent="0.25">
      <c r="B1092" s="71" t="str">
        <f xml:space="preserve"> ( 'Facility Detail'!$B$1155 + 1 ) &amp; " Surplus Applied to " &amp; ( 'Facility Detail'!$B$1155 )</f>
        <v>2014 Surplus Applied to 2013</v>
      </c>
      <c r="C1092" s="66"/>
      <c r="D1092" s="157">
        <f>E1092</f>
        <v>0</v>
      </c>
      <c r="E1092" s="10">
        <v>0</v>
      </c>
      <c r="F1092" s="131"/>
      <c r="G1092" s="131"/>
      <c r="H1092" s="137"/>
    </row>
    <row r="1093" spans="1:8" hidden="1" x14ac:dyDescent="0.25">
      <c r="B1093" s="71" t="str">
        <f xml:space="preserve"> ( 'Facility Detail'!$B$1155 + 1 ) &amp; " Surplus Applied to " &amp; ( 'Facility Detail'!$B$1155 + 2 )</f>
        <v>2014 Surplus Applied to 2015</v>
      </c>
      <c r="C1093" s="66"/>
      <c r="D1093" s="132"/>
      <c r="E1093" s="10">
        <f>E1077+E1082-E1088</f>
        <v>0</v>
      </c>
      <c r="F1093" s="65">
        <f>+E1093</f>
        <v>0</v>
      </c>
      <c r="G1093" s="131"/>
      <c r="H1093" s="137"/>
    </row>
    <row r="1094" spans="1:8" hidden="1" x14ac:dyDescent="0.25">
      <c r="B1094" s="71" t="str">
        <f xml:space="preserve"> ( 'Facility Detail'!$B$1155 + 2 ) &amp; " Surplus Applied to " &amp; ( 'Facility Detail'!$B$1155 + 1 )</f>
        <v>2015 Surplus Applied to 2014</v>
      </c>
      <c r="C1094" s="66"/>
      <c r="D1094" s="132"/>
      <c r="E1094" s="65">
        <f>F1094</f>
        <v>0</v>
      </c>
      <c r="F1094" s="10">
        <v>0</v>
      </c>
      <c r="G1094" s="131"/>
      <c r="H1094" s="137"/>
    </row>
    <row r="1095" spans="1:8" hidden="1" x14ac:dyDescent="0.25">
      <c r="B1095" s="71"/>
      <c r="C1095" s="33"/>
      <c r="D1095" s="132"/>
      <c r="E1095" s="131"/>
      <c r="F1095" s="10">
        <f>F1077+F1082-F1088</f>
        <v>0</v>
      </c>
      <c r="G1095" s="65">
        <f>+F1095</f>
        <v>0</v>
      </c>
      <c r="H1095" s="137"/>
    </row>
    <row r="1096" spans="1:8" hidden="1" x14ac:dyDescent="0.25">
      <c r="B1096" s="71"/>
      <c r="C1096" s="33"/>
      <c r="D1096" s="132"/>
      <c r="E1096" s="131"/>
      <c r="F1096" s="65">
        <f>G1096</f>
        <v>0</v>
      </c>
      <c r="G1096" s="10">
        <v>0</v>
      </c>
      <c r="H1096" s="137"/>
    </row>
    <row r="1097" spans="1:8" hidden="1" x14ac:dyDescent="0.25">
      <c r="B1097" s="71"/>
      <c r="C1097" s="33"/>
      <c r="D1097" s="132"/>
      <c r="E1097" s="131"/>
      <c r="F1097" s="131"/>
      <c r="G1097" s="10">
        <f>G1077+G1082-G1088</f>
        <v>0</v>
      </c>
      <c r="H1097" s="60">
        <f>+G1097</f>
        <v>0</v>
      </c>
    </row>
    <row r="1098" spans="1:8" hidden="1" x14ac:dyDescent="0.25">
      <c r="B1098" s="71"/>
      <c r="C1098" s="33"/>
      <c r="D1098" s="133"/>
      <c r="E1098" s="134"/>
      <c r="F1098" s="134"/>
      <c r="G1098" s="61">
        <f>H1098</f>
        <v>0</v>
      </c>
      <c r="H1098" s="51">
        <v>0</v>
      </c>
    </row>
    <row r="1099" spans="1:8" hidden="1" x14ac:dyDescent="0.25">
      <c r="B1099" s="36" t="s">
        <v>37</v>
      </c>
      <c r="D1099" s="7">
        <f xml:space="preserve"> D1092 - D1091</f>
        <v>0</v>
      </c>
      <c r="E1099" s="7">
        <f xml:space="preserve"> E1091 + E1094 - E1093 - E1092</f>
        <v>0</v>
      </c>
      <c r="F1099" s="7">
        <f>F1093 - F1094 - F1095 + F1096</f>
        <v>0</v>
      </c>
      <c r="G1099" s="7">
        <f>G1095  - G1096 - G1097  + G1098</f>
        <v>0</v>
      </c>
      <c r="H1099" s="7">
        <f>H1097 - H1098</f>
        <v>0</v>
      </c>
    </row>
    <row r="1100" spans="1:8" hidden="1" x14ac:dyDescent="0.25">
      <c r="B1100" s="6"/>
      <c r="D1100" s="7"/>
      <c r="E1100" s="7"/>
      <c r="F1100" s="7"/>
      <c r="G1100" s="7"/>
      <c r="H1100" s="7"/>
    </row>
    <row r="1101" spans="1:8" hidden="1" x14ac:dyDescent="0.25">
      <c r="B1101" s="68" t="s">
        <v>32</v>
      </c>
      <c r="C1101" s="66"/>
      <c r="D1101" s="90"/>
      <c r="E1101" s="91"/>
      <c r="F1101" s="129"/>
      <c r="G1101" s="129"/>
      <c r="H1101" s="92"/>
    </row>
    <row r="1102" spans="1:8" hidden="1" x14ac:dyDescent="0.25">
      <c r="B1102" s="6"/>
      <c r="D1102" s="7"/>
      <c r="E1102" s="7"/>
      <c r="F1102" s="7"/>
      <c r="G1102" s="7"/>
      <c r="H1102" s="7"/>
    </row>
    <row r="1103" spans="1:8" ht="18.75" hidden="1" x14ac:dyDescent="0.3">
      <c r="A1103" s="45" t="s">
        <v>46</v>
      </c>
      <c r="C1103" s="66"/>
      <c r="D1103" s="130">
        <f xml:space="preserve"> D1077 + D1082 - D1088 + D1099 + D1101</f>
        <v>0</v>
      </c>
      <c r="E1103" s="130">
        <f xml:space="preserve"> E1077 + E1082 - E1088 + E1099 + E1101</f>
        <v>0</v>
      </c>
      <c r="F1103" s="130">
        <f xml:space="preserve"> F1077 + F1082 - F1088 + F1099 + F1101</f>
        <v>0</v>
      </c>
      <c r="G1103" s="130"/>
      <c r="H1103" s="49"/>
    </row>
    <row r="1104" spans="1:8" hidden="1" x14ac:dyDescent="0.25">
      <c r="B1104" s="6"/>
      <c r="D1104" s="7"/>
      <c r="E1104" s="7"/>
      <c r="F1104" s="7"/>
      <c r="G1104" s="32"/>
      <c r="H1104" s="32"/>
    </row>
    <row r="1105" spans="1:8" hidden="1" x14ac:dyDescent="0.25"/>
    <row r="1106" spans="1:8" hidden="1" x14ac:dyDescent="0.25">
      <c r="A1106" s="8"/>
      <c r="B1106" s="8"/>
      <c r="C1106" s="8"/>
      <c r="D1106" s="8"/>
      <c r="E1106" s="8"/>
      <c r="F1106" s="8"/>
      <c r="G1106" s="8"/>
      <c r="H1106" s="8"/>
    </row>
    <row r="1107" spans="1:8" hidden="1" x14ac:dyDescent="0.25">
      <c r="B1107" s="33"/>
      <c r="C1107" s="33"/>
      <c r="D1107" s="33"/>
      <c r="E1107" s="33"/>
      <c r="F1107" s="33"/>
      <c r="G1107" s="33"/>
      <c r="H1107" s="33"/>
    </row>
    <row r="1108" spans="1:8" ht="21" hidden="1" x14ac:dyDescent="0.35">
      <c r="A1108" s="13" t="s">
        <v>4</v>
      </c>
      <c r="B1108" s="13"/>
      <c r="C1108" s="46" t="str">
        <f>B33</f>
        <v>Facility 30</v>
      </c>
      <c r="D1108" s="47"/>
      <c r="E1108" s="23"/>
      <c r="F1108" s="23"/>
    </row>
    <row r="1109" spans="1:8" hidden="1" x14ac:dyDescent="0.25"/>
    <row r="1110" spans="1:8" ht="18.75" hidden="1" x14ac:dyDescent="0.3">
      <c r="A1110" s="9" t="s">
        <v>41</v>
      </c>
      <c r="B1110" s="9"/>
      <c r="D1110" s="2">
        <f>'Facility Detail'!$B$1155</f>
        <v>2013</v>
      </c>
      <c r="E1110" s="2">
        <f>D1110+1</f>
        <v>2014</v>
      </c>
      <c r="F1110" s="2">
        <f>E1110+1</f>
        <v>2015</v>
      </c>
      <c r="G1110" s="2">
        <f t="shared" ref="G1110:H1110" si="127">F1110+1</f>
        <v>2016</v>
      </c>
      <c r="H1110" s="2">
        <f t="shared" si="127"/>
        <v>2017</v>
      </c>
    </row>
    <row r="1111" spans="1:8" hidden="1" x14ac:dyDescent="0.25">
      <c r="B1111" s="71" t="str">
        <f>"Total MWh Produced / Purchased from " &amp; C1108</f>
        <v>Total MWh Produced / Purchased from Facility 30</v>
      </c>
      <c r="C1111" s="66"/>
      <c r="D1111" s="3"/>
      <c r="E1111" s="4"/>
      <c r="F1111" s="4"/>
      <c r="G1111" s="4"/>
      <c r="H1111" s="5"/>
    </row>
    <row r="1112" spans="1:8" hidden="1" x14ac:dyDescent="0.25">
      <c r="B1112" s="71" t="s">
        <v>45</v>
      </c>
      <c r="C1112" s="66"/>
      <c r="D1112" s="155"/>
      <c r="E1112" s="154"/>
      <c r="F1112" s="154"/>
      <c r="G1112" s="154"/>
      <c r="H1112" s="156"/>
    </row>
    <row r="1113" spans="1:8" hidden="1" x14ac:dyDescent="0.25">
      <c r="B1113" s="71" t="s">
        <v>40</v>
      </c>
      <c r="C1113" s="66"/>
      <c r="D1113" s="146"/>
      <c r="E1113" s="52"/>
      <c r="F1113" s="52"/>
      <c r="G1113" s="52"/>
      <c r="H1113" s="53"/>
    </row>
    <row r="1114" spans="1:8" hidden="1" x14ac:dyDescent="0.25">
      <c r="B1114" s="68" t="s">
        <v>42</v>
      </c>
      <c r="C1114" s="69"/>
      <c r="D1114" s="41">
        <f xml:space="preserve"> D1111 * D1112 * D1113</f>
        <v>0</v>
      </c>
      <c r="E1114" s="153">
        <f xml:space="preserve"> E1111 * E1112 * E1113</f>
        <v>0</v>
      </c>
      <c r="F1114" s="153">
        <f xml:space="preserve"> F1111 * F1112 * F1113</f>
        <v>0</v>
      </c>
      <c r="G1114" s="153"/>
      <c r="H1114" s="153"/>
    </row>
    <row r="1115" spans="1:8" hidden="1" x14ac:dyDescent="0.25">
      <c r="B1115" s="23"/>
      <c r="C1115" s="33"/>
      <c r="D1115" s="40"/>
      <c r="E1115" s="40"/>
      <c r="F1115" s="40"/>
      <c r="G1115" s="40"/>
      <c r="H1115" s="40"/>
    </row>
    <row r="1116" spans="1:8" ht="18.75" hidden="1" x14ac:dyDescent="0.3">
      <c r="A1116" s="48" t="s">
        <v>139</v>
      </c>
      <c r="C1116" s="33"/>
      <c r="D1116" s="2">
        <f>'Facility Detail'!$B$1155</f>
        <v>2013</v>
      </c>
      <c r="E1116" s="2">
        <f>D1116+1</f>
        <v>2014</v>
      </c>
      <c r="F1116" s="2">
        <f>E1116+1</f>
        <v>2015</v>
      </c>
      <c r="G1116" s="2">
        <f t="shared" ref="G1116:H1116" si="128">F1116+1</f>
        <v>2016</v>
      </c>
      <c r="H1116" s="2">
        <f t="shared" si="128"/>
        <v>2017</v>
      </c>
    </row>
    <row r="1117" spans="1:8" hidden="1" x14ac:dyDescent="0.25">
      <c r="B1117" s="71" t="s">
        <v>30</v>
      </c>
      <c r="C1117" s="66"/>
      <c r="D1117" s="54">
        <f>IF( $F717 = "Eligible", D1114 * 'Facility Detail'!$B$1152, 0 )</f>
        <v>0</v>
      </c>
      <c r="E1117" s="11">
        <f>IF( $F717 = "Eligible", E1114 * 'Facility Detail'!$B$1152, 0 )</f>
        <v>0</v>
      </c>
      <c r="F1117" s="127">
        <f>IF( $F717 = "Eligible", F1114 * 'Facility Detail'!$B$1152, 0 )</f>
        <v>0</v>
      </c>
      <c r="G1117" s="127">
        <f>IF( $F717 = "Eligible", G1114 * 'Facility Detail'!$B$1152, 0 )</f>
        <v>0</v>
      </c>
      <c r="H1117" s="12">
        <f>IF( $F717 = "Eligible", H1114 * 'Facility Detail'!$B$1152, 0 )</f>
        <v>0</v>
      </c>
    </row>
    <row r="1118" spans="1:8" hidden="1" x14ac:dyDescent="0.25">
      <c r="B1118" s="71" t="s">
        <v>6</v>
      </c>
      <c r="C1118" s="66"/>
      <c r="D1118" s="55">
        <f>IF( $G717 = "Eligible", D1114, 0 )</f>
        <v>0</v>
      </c>
      <c r="E1118" s="56">
        <f>IF( $G717 = "Eligible", E1114, 0 )</f>
        <v>0</v>
      </c>
      <c r="F1118" s="128">
        <f t="shared" ref="F1118:H1118" si="129">IF( $G717 = "Eligible", F1114, 0 )</f>
        <v>0</v>
      </c>
      <c r="G1118" s="128">
        <f t="shared" si="129"/>
        <v>0</v>
      </c>
      <c r="H1118" s="57">
        <f t="shared" si="129"/>
        <v>0</v>
      </c>
    </row>
    <row r="1119" spans="1:8" hidden="1" x14ac:dyDescent="0.25">
      <c r="B1119" s="70" t="s">
        <v>141</v>
      </c>
      <c r="C1119" s="69"/>
      <c r="D1119" s="43">
        <f>SUM(D1117:D1118)</f>
        <v>0</v>
      </c>
      <c r="E1119" s="44">
        <f>SUM(E1117:E1118)</f>
        <v>0</v>
      </c>
      <c r="F1119" s="44">
        <f>SUM(F1117:F1118)</f>
        <v>0</v>
      </c>
      <c r="G1119" s="44">
        <f t="shared" ref="G1119" si="130">SUM(G1117:G1118)</f>
        <v>0</v>
      </c>
      <c r="H1119" s="44">
        <f t="shared" ref="H1119" si="131">SUM(H1117:H1118)</f>
        <v>0</v>
      </c>
    </row>
    <row r="1120" spans="1:8" hidden="1" x14ac:dyDescent="0.25">
      <c r="B1120" s="33"/>
      <c r="C1120" s="33"/>
      <c r="D1120" s="42"/>
      <c r="E1120" s="34"/>
      <c r="F1120" s="34"/>
      <c r="G1120" s="34"/>
      <c r="H1120" s="34"/>
    </row>
    <row r="1121" spans="1:8" ht="18.75" hidden="1" x14ac:dyDescent="0.3">
      <c r="A1121" s="45" t="s">
        <v>50</v>
      </c>
      <c r="C1121" s="33"/>
      <c r="D1121" s="2">
        <f>'Facility Detail'!$B$1155</f>
        <v>2013</v>
      </c>
      <c r="E1121" s="2">
        <f>D1121+1</f>
        <v>2014</v>
      </c>
      <c r="F1121" s="2">
        <f>E1121+1</f>
        <v>2015</v>
      </c>
      <c r="G1121" s="2">
        <f t="shared" ref="G1121:H1121" si="132">F1121+1</f>
        <v>2016</v>
      </c>
      <c r="H1121" s="2">
        <f t="shared" si="132"/>
        <v>2017</v>
      </c>
    </row>
    <row r="1122" spans="1:8" hidden="1" x14ac:dyDescent="0.25">
      <c r="B1122" s="71" t="s">
        <v>67</v>
      </c>
      <c r="C1122" s="66"/>
      <c r="D1122" s="161"/>
      <c r="E1122" s="4"/>
      <c r="F1122" s="4"/>
      <c r="G1122" s="4"/>
      <c r="H1122" s="5"/>
    </row>
    <row r="1123" spans="1:8" hidden="1" x14ac:dyDescent="0.25">
      <c r="B1123" s="72" t="s">
        <v>43</v>
      </c>
      <c r="C1123" s="73"/>
      <c r="D1123" s="82"/>
      <c r="E1123" s="162"/>
      <c r="F1123" s="162"/>
      <c r="G1123" s="162"/>
      <c r="H1123" s="163"/>
    </row>
    <row r="1124" spans="1:8" hidden="1" x14ac:dyDescent="0.25">
      <c r="B1124" s="83" t="s">
        <v>109</v>
      </c>
      <c r="C1124" s="81"/>
      <c r="D1124" s="58"/>
      <c r="E1124" s="164"/>
      <c r="F1124" s="164"/>
      <c r="G1124" s="164"/>
      <c r="H1124" s="165"/>
    </row>
    <row r="1125" spans="1:8" hidden="1" x14ac:dyDescent="0.25">
      <c r="B1125" s="36" t="s">
        <v>110</v>
      </c>
      <c r="D1125" s="7">
        <f>SUM(D1122:D1124)</f>
        <v>0</v>
      </c>
      <c r="E1125" s="7">
        <f>SUM(E1122:E1124)</f>
        <v>0</v>
      </c>
      <c r="F1125" s="7">
        <f>SUM(F1122:F1124)</f>
        <v>0</v>
      </c>
      <c r="G1125" s="7"/>
      <c r="H1125" s="7"/>
    </row>
    <row r="1126" spans="1:8" hidden="1" x14ac:dyDescent="0.25">
      <c r="B1126" s="6"/>
      <c r="D1126" s="7"/>
      <c r="E1126" s="7"/>
      <c r="F1126" s="7"/>
      <c r="G1126" s="7"/>
      <c r="H1126" s="7"/>
    </row>
    <row r="1127" spans="1:8" ht="18.75" hidden="1" x14ac:dyDescent="0.3">
      <c r="A1127" s="9" t="s">
        <v>120</v>
      </c>
      <c r="D1127" s="2">
        <f>'Facility Detail'!$B$1155</f>
        <v>2013</v>
      </c>
      <c r="E1127" s="2">
        <f>D1127+1</f>
        <v>2014</v>
      </c>
      <c r="F1127" s="2">
        <f>E1127+1</f>
        <v>2015</v>
      </c>
      <c r="G1127" s="2">
        <f t="shared" ref="G1127:H1127" si="133">F1127+1</f>
        <v>2016</v>
      </c>
      <c r="H1127" s="2">
        <f t="shared" si="133"/>
        <v>2017</v>
      </c>
    </row>
    <row r="1128" spans="1:8" hidden="1" x14ac:dyDescent="0.25">
      <c r="B1128" s="71" t="str">
        <f xml:space="preserve"> 'Facility Detail'!$B$1155 &amp; " Surplus Applied to " &amp; ( 'Facility Detail'!$B$1155 + 1 )</f>
        <v>2013 Surplus Applied to 2014</v>
      </c>
      <c r="C1128" s="66"/>
      <c r="D1128" s="3">
        <f>D1114+D1119-D1125</f>
        <v>0</v>
      </c>
      <c r="E1128" s="59">
        <f>D1128</f>
        <v>0</v>
      </c>
      <c r="F1128" s="135"/>
      <c r="G1128" s="135"/>
      <c r="H1128" s="136"/>
    </row>
    <row r="1129" spans="1:8" hidden="1" x14ac:dyDescent="0.25">
      <c r="B1129" s="71" t="str">
        <f xml:space="preserve"> ( 'Facility Detail'!$B$1155 + 1 ) &amp; " Surplus Applied to " &amp; ( 'Facility Detail'!$B$1155 )</f>
        <v>2014 Surplus Applied to 2013</v>
      </c>
      <c r="C1129" s="66"/>
      <c r="D1129" s="157">
        <f>E1129</f>
        <v>0</v>
      </c>
      <c r="E1129" s="10">
        <v>0</v>
      </c>
      <c r="F1129" s="131"/>
      <c r="G1129" s="131"/>
      <c r="H1129" s="137"/>
    </row>
    <row r="1130" spans="1:8" hidden="1" x14ac:dyDescent="0.25">
      <c r="B1130" s="71" t="str">
        <f xml:space="preserve"> ( 'Facility Detail'!$B$1155 + 1 ) &amp; " Surplus Applied to " &amp; ( 'Facility Detail'!$B$1155 + 2 )</f>
        <v>2014 Surplus Applied to 2015</v>
      </c>
      <c r="C1130" s="66"/>
      <c r="D1130" s="132"/>
      <c r="E1130" s="10">
        <f>E1114+E1119-E1125</f>
        <v>0</v>
      </c>
      <c r="F1130" s="65">
        <f>+E1130</f>
        <v>0</v>
      </c>
      <c r="G1130" s="131"/>
      <c r="H1130" s="137"/>
    </row>
    <row r="1131" spans="1:8" hidden="1" x14ac:dyDescent="0.25">
      <c r="B1131" s="71" t="str">
        <f xml:space="preserve"> ( 'Facility Detail'!$B$1155 + 2 ) &amp; " Surplus Applied to " &amp; ( 'Facility Detail'!$B$1155 + 1 )</f>
        <v>2015 Surplus Applied to 2014</v>
      </c>
      <c r="C1131" s="66"/>
      <c r="D1131" s="132"/>
      <c r="E1131" s="65">
        <f>F1131</f>
        <v>0</v>
      </c>
      <c r="F1131" s="10">
        <v>0</v>
      </c>
      <c r="G1131" s="131"/>
      <c r="H1131" s="137"/>
    </row>
    <row r="1132" spans="1:8" hidden="1" x14ac:dyDescent="0.25">
      <c r="B1132" s="71"/>
      <c r="C1132" s="33"/>
      <c r="D1132" s="132"/>
      <c r="E1132" s="131"/>
      <c r="F1132" s="10">
        <f>F1114+F1119-F1125</f>
        <v>0</v>
      </c>
      <c r="G1132" s="65">
        <f>+F1132</f>
        <v>0</v>
      </c>
      <c r="H1132" s="137"/>
    </row>
    <row r="1133" spans="1:8" hidden="1" x14ac:dyDescent="0.25">
      <c r="B1133" s="71"/>
      <c r="C1133" s="33"/>
      <c r="D1133" s="132"/>
      <c r="E1133" s="131"/>
      <c r="F1133" s="65">
        <f>G1133</f>
        <v>0</v>
      </c>
      <c r="G1133" s="10">
        <v>0</v>
      </c>
      <c r="H1133" s="137"/>
    </row>
    <row r="1134" spans="1:8" hidden="1" x14ac:dyDescent="0.25">
      <c r="B1134" s="71"/>
      <c r="C1134" s="33"/>
      <c r="D1134" s="132"/>
      <c r="E1134" s="131"/>
      <c r="F1134" s="131"/>
      <c r="G1134" s="10">
        <f>G1114+G1119-G1125</f>
        <v>0</v>
      </c>
      <c r="H1134" s="60">
        <f>+G1134</f>
        <v>0</v>
      </c>
    </row>
    <row r="1135" spans="1:8" hidden="1" x14ac:dyDescent="0.25">
      <c r="B1135" s="71"/>
      <c r="C1135" s="33"/>
      <c r="D1135" s="133"/>
      <c r="E1135" s="134"/>
      <c r="F1135" s="134"/>
      <c r="G1135" s="61">
        <f>H1135</f>
        <v>0</v>
      </c>
      <c r="H1135" s="51">
        <v>0</v>
      </c>
    </row>
    <row r="1136" spans="1:8" hidden="1" x14ac:dyDescent="0.25">
      <c r="B1136" s="36" t="s">
        <v>37</v>
      </c>
      <c r="D1136" s="7">
        <f xml:space="preserve"> D1129 - D1128</f>
        <v>0</v>
      </c>
      <c r="E1136" s="7">
        <f xml:space="preserve"> E1128 + E1131 - E1130 - E1129</f>
        <v>0</v>
      </c>
      <c r="F1136" s="7">
        <f>F1130 - F1131 - F1132 + F1133</f>
        <v>0</v>
      </c>
      <c r="G1136" s="7">
        <f>G1132  - G1133 - G1134  + G1135</f>
        <v>0</v>
      </c>
      <c r="H1136" s="7">
        <f>H1134 - H1135</f>
        <v>0</v>
      </c>
    </row>
    <row r="1137" spans="1:8" hidden="1" x14ac:dyDescent="0.25">
      <c r="B1137" s="6"/>
      <c r="D1137" s="7"/>
      <c r="E1137" s="7"/>
      <c r="F1137" s="7"/>
      <c r="G1137" s="7"/>
      <c r="H1137" s="7"/>
    </row>
    <row r="1138" spans="1:8" hidden="1" x14ac:dyDescent="0.25">
      <c r="B1138" s="68" t="s">
        <v>32</v>
      </c>
      <c r="C1138" s="66"/>
      <c r="D1138" s="90"/>
      <c r="E1138" s="91"/>
      <c r="F1138" s="129"/>
      <c r="G1138" s="129"/>
      <c r="H1138" s="92"/>
    </row>
    <row r="1139" spans="1:8" hidden="1" x14ac:dyDescent="0.25">
      <c r="B1139" s="6"/>
      <c r="D1139" s="7"/>
      <c r="E1139" s="7"/>
      <c r="F1139" s="7"/>
      <c r="G1139" s="7"/>
      <c r="H1139" s="7"/>
    </row>
    <row r="1140" spans="1:8" ht="18.75" hidden="1" x14ac:dyDescent="0.3">
      <c r="A1140" s="45" t="s">
        <v>46</v>
      </c>
      <c r="C1140" s="66"/>
      <c r="D1140" s="130">
        <f xml:space="preserve"> D1114 + D1119 - D1125 + D1136 + D1138</f>
        <v>0</v>
      </c>
      <c r="E1140" s="130">
        <f xml:space="preserve"> E1114 + E1119 - E1125 + E1136 + E1138</f>
        <v>0</v>
      </c>
      <c r="F1140" s="130">
        <f xml:space="preserve"> F1114 + F1119 - F1125 + F1136 + F1138</f>
        <v>0</v>
      </c>
      <c r="G1140" s="130"/>
      <c r="H1140" s="49"/>
    </row>
    <row r="1141" spans="1:8" hidden="1" x14ac:dyDescent="0.25">
      <c r="B1141" s="6"/>
      <c r="D1141" s="7"/>
      <c r="E1141" s="7"/>
      <c r="F1141" s="7"/>
      <c r="G1141" s="32"/>
      <c r="H1141" s="32"/>
    </row>
    <row r="1142" spans="1:8" hidden="1" x14ac:dyDescent="0.25"/>
    <row r="1143" spans="1:8" hidden="1" x14ac:dyDescent="0.25"/>
    <row r="1145" spans="1:8" outlineLevel="1" x14ac:dyDescent="0.25"/>
    <row r="1146" spans="1:8" outlineLevel="1" x14ac:dyDescent="0.25">
      <c r="B1146" s="6" t="s">
        <v>49</v>
      </c>
    </row>
    <row r="1147" spans="1:8" outlineLevel="1" x14ac:dyDescent="0.25">
      <c r="B1147" s="15" t="s">
        <v>0</v>
      </c>
    </row>
    <row r="1148" spans="1:8" outlineLevel="1" x14ac:dyDescent="0.25">
      <c r="B1148" s="17" t="s">
        <v>1</v>
      </c>
    </row>
    <row r="1149" spans="1:8" outlineLevel="1" x14ac:dyDescent="0.25">
      <c r="B1149" s="18" t="s">
        <v>2</v>
      </c>
    </row>
    <row r="1150" spans="1:8" outlineLevel="1" x14ac:dyDescent="0.25"/>
    <row r="1151" spans="1:8" outlineLevel="1" x14ac:dyDescent="0.25">
      <c r="B1151" s="6" t="s">
        <v>48</v>
      </c>
    </row>
    <row r="1152" spans="1:8" outlineLevel="1" x14ac:dyDescent="0.25">
      <c r="B1152" s="16">
        <v>0.2</v>
      </c>
    </row>
    <row r="1153" spans="2:2" outlineLevel="1" x14ac:dyDescent="0.25"/>
    <row r="1154" spans="2:2" outlineLevel="1" x14ac:dyDescent="0.25">
      <c r="B1154" s="6" t="s">
        <v>8</v>
      </c>
    </row>
    <row r="1155" spans="2:2" outlineLevel="1" x14ac:dyDescent="0.25">
      <c r="B1155" s="16">
        <v>2013</v>
      </c>
    </row>
    <row r="1156" spans="2:2" outlineLevel="1" x14ac:dyDescent="0.25"/>
    <row r="1157" spans="2:2" outlineLevel="1" x14ac:dyDescent="0.25">
      <c r="B1157" s="6" t="s">
        <v>126</v>
      </c>
    </row>
    <row r="1158" spans="2:2" outlineLevel="1" x14ac:dyDescent="0.25">
      <c r="B1158" s="15"/>
    </row>
    <row r="1159" spans="2:2" outlineLevel="1" x14ac:dyDescent="0.25">
      <c r="B1159" s="17" t="s">
        <v>127</v>
      </c>
    </row>
    <row r="1160" spans="2:2" outlineLevel="1" x14ac:dyDescent="0.25">
      <c r="B1160" s="17" t="s">
        <v>128</v>
      </c>
    </row>
    <row r="1161" spans="2:2" outlineLevel="1" x14ac:dyDescent="0.25">
      <c r="B1161" s="17" t="s">
        <v>134</v>
      </c>
    </row>
    <row r="1162" spans="2:2" outlineLevel="1" x14ac:dyDescent="0.25">
      <c r="B1162" s="17" t="s">
        <v>132</v>
      </c>
    </row>
    <row r="1163" spans="2:2" outlineLevel="1" x14ac:dyDescent="0.25">
      <c r="B1163" s="17" t="s">
        <v>129</v>
      </c>
    </row>
    <row r="1164" spans="2:2" outlineLevel="1" x14ac:dyDescent="0.25">
      <c r="B1164" s="17" t="s">
        <v>130</v>
      </c>
    </row>
    <row r="1165" spans="2:2" outlineLevel="1" x14ac:dyDescent="0.25">
      <c r="B1165" s="17" t="s">
        <v>133</v>
      </c>
    </row>
    <row r="1166" spans="2:2" outlineLevel="1" x14ac:dyDescent="0.25">
      <c r="B1166" s="17" t="s">
        <v>131</v>
      </c>
    </row>
    <row r="1167" spans="2:2" outlineLevel="1" x14ac:dyDescent="0.25">
      <c r="B1167" s="95" t="s">
        <v>140</v>
      </c>
    </row>
    <row r="1168" spans="2:2" outlineLevel="1" x14ac:dyDescent="0.25"/>
  </sheetData>
  <mergeCells count="1">
    <mergeCell ref="B35:F35"/>
  </mergeCells>
  <phoneticPr fontId="6" type="noConversion"/>
  <dataValidations disablePrompts="1" count="2">
    <dataValidation type="list" allowBlank="1" showInputMessage="1" showErrorMessage="1" sqref="F4:G33">
      <formula1>LaborBonus</formula1>
    </dataValidation>
    <dataValidation type="list" allowBlank="1" showInputMessage="1" showErrorMessage="1" sqref="E4:E33">
      <formula1>Facility</formula1>
    </dataValidation>
  </dataValidations>
  <pageMargins left="0.75" right="0.75" top="1" bottom="1" header="0.5" footer="0.5"/>
  <pageSetup scale="59" fitToHeight="2" orientation="landscape" r:id="rId1"/>
  <headerFooter alignWithMargins="0"/>
  <rowBreaks count="20" manualBreakCount="20">
    <brk id="35" max="16383" man="1"/>
    <brk id="71" max="16383" man="1"/>
    <brk id="107" max="16383" man="1"/>
    <brk id="144" max="16383" man="1"/>
    <brk id="180" max="16383" man="1"/>
    <brk id="218" max="16383" man="1"/>
    <brk id="254" max="16383" man="1"/>
    <brk id="292" max="16383" man="1"/>
    <brk id="327" max="16383" man="1"/>
    <brk id="366" max="16383" man="1"/>
    <brk id="440" max="7" man="1"/>
    <brk id="514" max="7" man="1"/>
    <brk id="588" max="7" man="1"/>
    <brk id="662" max="7" man="1"/>
    <brk id="736" max="7" man="1"/>
    <brk id="810" max="7" man="1"/>
    <brk id="884" max="7" man="1"/>
    <brk id="958" max="7" man="1"/>
    <brk id="1032" max="7" man="1"/>
    <brk id="1106" max="7" man="1"/>
  </rowBreaks>
  <ignoredErrors>
    <ignoredError sqref="E178 E215 E142 E252 E28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1"/>
  <sheetViews>
    <sheetView showGridLines="0" tabSelected="1" workbookViewId="0">
      <selection activeCell="H17" sqref="H17"/>
    </sheetView>
  </sheetViews>
  <sheetFormatPr defaultColWidth="9.140625" defaultRowHeight="12.75" outlineLevelRow="1" x14ac:dyDescent="0.2"/>
  <cols>
    <col min="1" max="1" width="27" style="96" customWidth="1"/>
    <col min="2" max="2" width="25.140625" style="96" bestFit="1" customWidth="1"/>
    <col min="3" max="3" width="11.85546875" style="96" customWidth="1"/>
    <col min="4" max="4" width="12.5703125" style="96" customWidth="1"/>
    <col min="5" max="6" width="14.85546875" style="96" customWidth="1"/>
    <col min="7" max="8" width="14.28515625" style="96" customWidth="1"/>
    <col min="9" max="16384" width="9.140625" style="96"/>
  </cols>
  <sheetData>
    <row r="2" spans="1:7" ht="21" x14ac:dyDescent="0.35">
      <c r="A2" s="113" t="s">
        <v>138</v>
      </c>
    </row>
    <row r="4" spans="1:7" ht="15" x14ac:dyDescent="0.25">
      <c r="C4" s="98">
        <f>C20</f>
        <v>2013</v>
      </c>
      <c r="D4" s="98">
        <f>D20</f>
        <v>2014</v>
      </c>
      <c r="E4" s="98">
        <f>E20</f>
        <v>2015</v>
      </c>
      <c r="F4" s="98">
        <f>F20</f>
        <v>2016</v>
      </c>
      <c r="G4" s="98">
        <f>G20</f>
        <v>2017</v>
      </c>
    </row>
    <row r="5" spans="1:7" ht="15" x14ac:dyDescent="0.25">
      <c r="A5" s="97" t="s">
        <v>127</v>
      </c>
      <c r="C5" s="100">
        <f t="shared" ref="C5:G13" si="0" xml:space="preserve"> SUMIF( $B$21:$B$50, $A5, C$21:C$50 )</f>
        <v>0</v>
      </c>
      <c r="D5" s="101">
        <f t="shared" si="0"/>
        <v>1246796.2000000002</v>
      </c>
      <c r="E5" s="101">
        <f t="shared" si="0"/>
        <v>588088.19999999995</v>
      </c>
      <c r="F5" s="101">
        <f t="shared" si="0"/>
        <v>1757710.2000000002</v>
      </c>
      <c r="G5" s="102">
        <f t="shared" si="0"/>
        <v>2375452.2000000002</v>
      </c>
    </row>
    <row r="6" spans="1:7" ht="15" x14ac:dyDescent="0.25">
      <c r="A6" s="97" t="s">
        <v>128</v>
      </c>
      <c r="C6" s="104">
        <f t="shared" si="0"/>
        <v>0</v>
      </c>
      <c r="D6" s="105">
        <f t="shared" si="0"/>
        <v>0</v>
      </c>
      <c r="E6" s="105">
        <f t="shared" si="0"/>
        <v>0</v>
      </c>
      <c r="F6" s="105">
        <f t="shared" si="0"/>
        <v>0</v>
      </c>
      <c r="G6" s="106">
        <f t="shared" si="0"/>
        <v>0</v>
      </c>
    </row>
    <row r="7" spans="1:7" ht="15" x14ac:dyDescent="0.25">
      <c r="A7" s="97" t="s">
        <v>134</v>
      </c>
      <c r="C7" s="104">
        <f t="shared" si="0"/>
        <v>0</v>
      </c>
      <c r="D7" s="105">
        <f t="shared" si="0"/>
        <v>48837.679999999993</v>
      </c>
      <c r="E7" s="105">
        <f t="shared" si="0"/>
        <v>97440.947999999989</v>
      </c>
      <c r="F7" s="105">
        <f t="shared" si="0"/>
        <v>119024.37899999999</v>
      </c>
      <c r="G7" s="106">
        <f t="shared" si="0"/>
        <v>114285.958</v>
      </c>
    </row>
    <row r="8" spans="1:7" ht="15" x14ac:dyDescent="0.25">
      <c r="A8" s="97" t="s">
        <v>132</v>
      </c>
      <c r="C8" s="104">
        <f t="shared" si="0"/>
        <v>0</v>
      </c>
      <c r="D8" s="105">
        <f t="shared" si="0"/>
        <v>0</v>
      </c>
      <c r="E8" s="105">
        <f t="shared" si="0"/>
        <v>0</v>
      </c>
      <c r="F8" s="105">
        <f t="shared" si="0"/>
        <v>0</v>
      </c>
      <c r="G8" s="106">
        <f t="shared" si="0"/>
        <v>0</v>
      </c>
    </row>
    <row r="9" spans="1:7" ht="15" x14ac:dyDescent="0.25">
      <c r="A9" s="97" t="s">
        <v>129</v>
      </c>
      <c r="C9" s="104">
        <f t="shared" si="0"/>
        <v>0</v>
      </c>
      <c r="D9" s="105">
        <f t="shared" si="0"/>
        <v>0</v>
      </c>
      <c r="E9" s="105">
        <f t="shared" si="0"/>
        <v>0</v>
      </c>
      <c r="F9" s="105">
        <f t="shared" si="0"/>
        <v>0</v>
      </c>
      <c r="G9" s="106">
        <f t="shared" si="0"/>
        <v>0</v>
      </c>
    </row>
    <row r="10" spans="1:7" ht="15" x14ac:dyDescent="0.25">
      <c r="A10" s="97" t="s">
        <v>130</v>
      </c>
      <c r="C10" s="104">
        <f t="shared" si="0"/>
        <v>0</v>
      </c>
      <c r="D10" s="105">
        <f t="shared" si="0"/>
        <v>0</v>
      </c>
      <c r="E10" s="105">
        <f t="shared" si="0"/>
        <v>0</v>
      </c>
      <c r="F10" s="105">
        <f t="shared" si="0"/>
        <v>0</v>
      </c>
      <c r="G10" s="106">
        <f t="shared" si="0"/>
        <v>0</v>
      </c>
    </row>
    <row r="11" spans="1:7" ht="15" x14ac:dyDescent="0.25">
      <c r="A11" s="97" t="s">
        <v>133</v>
      </c>
      <c r="C11" s="104">
        <f t="shared" si="0"/>
        <v>0</v>
      </c>
      <c r="D11" s="105">
        <f t="shared" si="0"/>
        <v>0</v>
      </c>
      <c r="E11" s="105">
        <f t="shared" si="0"/>
        <v>0</v>
      </c>
      <c r="F11" s="105">
        <f t="shared" si="0"/>
        <v>0</v>
      </c>
      <c r="G11" s="106">
        <f t="shared" si="0"/>
        <v>0</v>
      </c>
    </row>
    <row r="12" spans="1:7" ht="15" x14ac:dyDescent="0.25">
      <c r="A12" s="97" t="s">
        <v>131</v>
      </c>
      <c r="C12" s="104">
        <f t="shared" si="0"/>
        <v>0</v>
      </c>
      <c r="D12" s="105">
        <f t="shared" si="0"/>
        <v>0</v>
      </c>
      <c r="E12" s="105">
        <f t="shared" si="0"/>
        <v>0</v>
      </c>
      <c r="F12" s="105">
        <f t="shared" si="0"/>
        <v>0</v>
      </c>
      <c r="G12" s="106">
        <f t="shared" si="0"/>
        <v>0</v>
      </c>
    </row>
    <row r="13" spans="1:7" ht="15" x14ac:dyDescent="0.25">
      <c r="A13" s="97" t="s">
        <v>140</v>
      </c>
      <c r="C13" s="108">
        <f t="shared" si="0"/>
        <v>0</v>
      </c>
      <c r="D13" s="109">
        <f t="shared" si="0"/>
        <v>0</v>
      </c>
      <c r="E13" s="109">
        <f t="shared" si="0"/>
        <v>0</v>
      </c>
      <c r="F13" s="109">
        <f t="shared" si="0"/>
        <v>0</v>
      </c>
      <c r="G13" s="110">
        <f t="shared" si="0"/>
        <v>0</v>
      </c>
    </row>
    <row r="14" spans="1:7" ht="15.75" x14ac:dyDescent="0.25">
      <c r="A14" s="114"/>
      <c r="B14" s="115"/>
      <c r="C14" s="115"/>
      <c r="D14" s="115"/>
      <c r="E14" s="115"/>
      <c r="F14" s="115"/>
    </row>
    <row r="19" spans="1:8" ht="15" outlineLevel="1" x14ac:dyDescent="0.25">
      <c r="G19" s="111"/>
    </row>
    <row r="20" spans="1:8" ht="15" outlineLevel="1" x14ac:dyDescent="0.25">
      <c r="A20" s="112" t="s">
        <v>68</v>
      </c>
      <c r="B20" s="111" t="s">
        <v>135</v>
      </c>
      <c r="C20" s="111">
        <f>'Facility Detail'!D39</f>
        <v>2013</v>
      </c>
      <c r="D20" s="111">
        <f>'Facility Detail'!E39</f>
        <v>2014</v>
      </c>
      <c r="E20" s="111">
        <f>'Facility Detail'!F39</f>
        <v>2015</v>
      </c>
      <c r="F20" s="111">
        <f>'Facility Detail'!G39</f>
        <v>2016</v>
      </c>
      <c r="G20" s="111">
        <f>'Facility Detail'!H39</f>
        <v>2017</v>
      </c>
      <c r="H20" s="148"/>
    </row>
    <row r="21" spans="1:8" ht="15" outlineLevel="1" x14ac:dyDescent="0.25">
      <c r="A21" s="99" t="str">
        <f>'Facility Detail'!B4</f>
        <v>Wild Horse</v>
      </c>
      <c r="B21" s="99" t="str">
        <f xml:space="preserve"> IF( 'Facility Detail'!E4 = "", "", 'Facility Detail'!E4 )</f>
        <v>Wind</v>
      </c>
      <c r="C21" s="100">
        <f>'Facility Detail'!D69</f>
        <v>0</v>
      </c>
      <c r="D21" s="101">
        <f>'Facility Detail'!E69</f>
        <v>308445</v>
      </c>
      <c r="E21" s="101">
        <f>'Facility Detail'!F69</f>
        <v>4527</v>
      </c>
      <c r="F21" s="101">
        <f>'Facility Detail'!G69</f>
        <v>469503</v>
      </c>
      <c r="G21" s="102">
        <f>'Facility Detail'!H69</f>
        <v>599812</v>
      </c>
    </row>
    <row r="22" spans="1:8" ht="15" outlineLevel="1" x14ac:dyDescent="0.25">
      <c r="A22" s="103" t="str">
        <f>'Facility Detail'!B5</f>
        <v>Hopkins Ridge</v>
      </c>
      <c r="B22" s="103" t="str">
        <f xml:space="preserve"> IF( 'Facility Detail'!E5 = "", "", 'Facility Detail'!E5 )</f>
        <v>Wind</v>
      </c>
      <c r="C22" s="104">
        <f>'Facility Detail'!D105</f>
        <v>0</v>
      </c>
      <c r="D22" s="105">
        <f>'Facility Detail'!E105</f>
        <v>223346</v>
      </c>
      <c r="E22" s="105">
        <f>'Facility Detail'!F105</f>
        <v>0</v>
      </c>
      <c r="F22" s="105">
        <f>'Facility Detail'!G105</f>
        <v>238385</v>
      </c>
      <c r="G22" s="106">
        <f>'Facility Detail'!H105</f>
        <v>408558</v>
      </c>
    </row>
    <row r="23" spans="1:8" ht="15" outlineLevel="1" x14ac:dyDescent="0.25">
      <c r="A23" s="103" t="str">
        <f>'Facility Detail'!B6</f>
        <v>Klondike III</v>
      </c>
      <c r="B23" s="103" t="str">
        <f xml:space="preserve"> IF( 'Facility Detail'!E6 = "", "", 'Facility Detail'!E6 )</f>
        <v>Wind</v>
      </c>
      <c r="C23" s="104">
        <f>'Facility Detail'!D142</f>
        <v>0</v>
      </c>
      <c r="D23" s="105">
        <f>'Facility Detail'!E142</f>
        <v>67395</v>
      </c>
      <c r="E23" s="105">
        <f>'Facility Detail'!F142</f>
        <v>0</v>
      </c>
      <c r="F23" s="105">
        <f>'Facility Detail'!G142</f>
        <v>60908</v>
      </c>
      <c r="G23" s="106">
        <f>'Facility Detail'!H142</f>
        <v>143587</v>
      </c>
    </row>
    <row r="24" spans="1:8" ht="15" outlineLevel="1" x14ac:dyDescent="0.25">
      <c r="A24" s="103" t="str">
        <f>'Facility Detail'!B7</f>
        <v>Wild Horse Phase II</v>
      </c>
      <c r="B24" s="103" t="str">
        <f xml:space="preserve"> IF( 'Facility Detail'!E7 = "", "", 'Facility Detail'!E7 )</f>
        <v>Wind</v>
      </c>
      <c r="C24" s="104">
        <f>'Facility Detail'!D178</f>
        <v>0</v>
      </c>
      <c r="D24" s="105">
        <f>'Facility Detail'!E178</f>
        <v>71242.8</v>
      </c>
      <c r="E24" s="105">
        <f>'Facility Detail'!F178</f>
        <v>8020.8000000000029</v>
      </c>
      <c r="F24" s="105">
        <f>'Facility Detail'!G178</f>
        <v>106431.6</v>
      </c>
      <c r="G24" s="106">
        <f>'Facility Detail'!H178</f>
        <v>138538.79999999999</v>
      </c>
    </row>
    <row r="25" spans="1:8" ht="15" outlineLevel="1" x14ac:dyDescent="0.25">
      <c r="A25" s="103" t="str">
        <f>'Facility Detail'!B8</f>
        <v>Hopkins Ridge Phase II</v>
      </c>
      <c r="B25" s="103" t="str">
        <f xml:space="preserve"> IF( 'Facility Detail'!E8 = "", "", 'Facility Detail'!E8 )</f>
        <v>Wind</v>
      </c>
      <c r="C25" s="104">
        <f>'Facility Detail'!D215</f>
        <v>0</v>
      </c>
      <c r="D25" s="105">
        <f>'Facility Detail'!E215</f>
        <v>9827</v>
      </c>
      <c r="E25" s="105">
        <f>'Facility Detail'!F215</f>
        <v>0</v>
      </c>
      <c r="F25" s="105">
        <f>'Facility Detail'!G215</f>
        <v>14879</v>
      </c>
      <c r="G25" s="106">
        <f>'Facility Detail'!H215</f>
        <v>19690</v>
      </c>
    </row>
    <row r="26" spans="1:8" ht="15" outlineLevel="1" x14ac:dyDescent="0.25">
      <c r="A26" s="103" t="str">
        <f>'Facility Detail'!B9</f>
        <v>Lower Snake River - Dodge Junction</v>
      </c>
      <c r="B26" s="103" t="str">
        <f xml:space="preserve"> IF( 'Facility Detail'!E9 = "", "", 'Facility Detail'!E9 )</f>
        <v>Wind</v>
      </c>
      <c r="C26" s="104">
        <f>'Facility Detail'!D252</f>
        <v>0</v>
      </c>
      <c r="D26" s="105">
        <f>'Facility Detail'!E252</f>
        <v>322955.99999999994</v>
      </c>
      <c r="E26" s="105">
        <f>'Facility Detail'!F252</f>
        <v>324122.40000000002</v>
      </c>
      <c r="F26" s="105">
        <f>'Facility Detail'!G252</f>
        <v>505872</v>
      </c>
      <c r="G26" s="106">
        <f>'Facility Detail'!H252</f>
        <v>614413.20000000007</v>
      </c>
    </row>
    <row r="27" spans="1:8" ht="15" outlineLevel="1" x14ac:dyDescent="0.25">
      <c r="A27" s="103" t="str">
        <f>'Facility Detail'!B10</f>
        <v>Lower Snake River - Phalen Gulch</v>
      </c>
      <c r="B27" s="103" t="str">
        <f xml:space="preserve"> IF( 'Facility Detail'!E10 = "", "", 'Facility Detail'!E10 )</f>
        <v>Wind</v>
      </c>
      <c r="C27" s="104">
        <f>'Facility Detail'!D289</f>
        <v>0</v>
      </c>
      <c r="D27" s="105">
        <f>'Facility Detail'!E289</f>
        <v>243584.40000000002</v>
      </c>
      <c r="E27" s="105">
        <f>'Facility Detail'!F289</f>
        <v>251417.99999999997</v>
      </c>
      <c r="F27" s="105">
        <f>'Facility Detail'!G289</f>
        <v>361731.6</v>
      </c>
      <c r="G27" s="106">
        <f>'Facility Detail'!H289</f>
        <v>450853.19999999995</v>
      </c>
    </row>
    <row r="28" spans="1:8" ht="15" outlineLevel="1" x14ac:dyDescent="0.25">
      <c r="A28" s="103" t="str">
        <f>'Facility Detail'!B11</f>
        <v>Wanapum Fish Bypass</v>
      </c>
      <c r="B28" s="103" t="str">
        <f xml:space="preserve"> IF( 'Facility Detail'!E11 = "", "", 'Facility Detail'!E11 )</f>
        <v>Water (Incremental Hydro)</v>
      </c>
      <c r="C28" s="104">
        <f>'Facility Detail'!D326</f>
        <v>0</v>
      </c>
      <c r="D28" s="105">
        <f>'Facility Detail'!E326</f>
        <v>0</v>
      </c>
      <c r="E28" s="105">
        <f>'Facility Detail'!F326</f>
        <v>0</v>
      </c>
      <c r="F28" s="105">
        <f>'Facility Detail'!G326</f>
        <v>0</v>
      </c>
      <c r="G28" s="106">
        <f>'Facility Detail'!H326</f>
        <v>0</v>
      </c>
    </row>
    <row r="29" spans="1:8" ht="15" outlineLevel="1" x14ac:dyDescent="0.25">
      <c r="A29" s="103" t="str">
        <f>'Facility Detail'!B12</f>
        <v>Baker River Project</v>
      </c>
      <c r="B29" s="103" t="str">
        <f xml:space="preserve"> IF( 'Facility Detail'!E12 = "", "", 'Facility Detail'!E12 )</f>
        <v>Water (Incremental Hydro)</v>
      </c>
      <c r="C29" s="104">
        <f>'Facility Detail'!D363</f>
        <v>0</v>
      </c>
      <c r="D29" s="105">
        <f>'Facility Detail'!E363</f>
        <v>34378.839999999997</v>
      </c>
      <c r="E29" s="105">
        <f>'Facility Detail'!F363</f>
        <v>87336.912999999986</v>
      </c>
      <c r="F29" s="105">
        <f>'Facility Detail'!G363</f>
        <v>101549.73899999999</v>
      </c>
      <c r="G29" s="106">
        <f>'Facility Detail'!H363</f>
        <v>93789.312999999995</v>
      </c>
    </row>
    <row r="30" spans="1:8" ht="15" outlineLevel="1" x14ac:dyDescent="0.25">
      <c r="A30" s="103" t="str">
        <f>'Facility Detail'!B13</f>
        <v>Snoqualmie Falls Project</v>
      </c>
      <c r="B30" s="103" t="str">
        <f xml:space="preserve"> IF( 'Facility Detail'!E13 = "", "", 'Facility Detail'!E13 )</f>
        <v>Water (Incremental Hydro)</v>
      </c>
      <c r="C30" s="104">
        <f>'Facility Detail'!D400</f>
        <v>0</v>
      </c>
      <c r="D30" s="105">
        <f>'Facility Detail'!E400</f>
        <v>14458.84</v>
      </c>
      <c r="E30" s="105">
        <f>'Facility Detail'!F400</f>
        <v>10104.035</v>
      </c>
      <c r="F30" s="105">
        <f>'Facility Detail'!G400</f>
        <v>17474.640000000003</v>
      </c>
      <c r="G30" s="106">
        <f>'Facility Detail'!H400</f>
        <v>20496.645</v>
      </c>
    </row>
    <row r="31" spans="1:8" ht="15" outlineLevel="1" x14ac:dyDescent="0.25">
      <c r="A31" s="103" t="str">
        <f>'Facility Detail'!B14</f>
        <v>Facility 11</v>
      </c>
      <c r="B31" s="103" t="str">
        <f xml:space="preserve"> IF( 'Facility Detail'!E14 = "", "", 'Facility Detail'!E14 )</f>
        <v/>
      </c>
      <c r="C31" s="104">
        <f>'Facility Detail'!D437</f>
        <v>0</v>
      </c>
      <c r="D31" s="105">
        <f>'Facility Detail'!E437</f>
        <v>0</v>
      </c>
      <c r="E31" s="105">
        <f>'Facility Detail'!F437</f>
        <v>0</v>
      </c>
      <c r="F31" s="105">
        <f>'Facility Detail'!G437</f>
        <v>0</v>
      </c>
      <c r="G31" s="106">
        <f>'Facility Detail'!H437</f>
        <v>0</v>
      </c>
    </row>
    <row r="32" spans="1:8" ht="15" outlineLevel="1" x14ac:dyDescent="0.25">
      <c r="A32" s="103" t="str">
        <f>'Facility Detail'!B15</f>
        <v>Facility 12</v>
      </c>
      <c r="B32" s="103" t="str">
        <f xml:space="preserve"> IF( 'Facility Detail'!E15 = "", "", 'Facility Detail'!E15 )</f>
        <v/>
      </c>
      <c r="C32" s="104">
        <f>'Facility Detail'!D474</f>
        <v>0</v>
      </c>
      <c r="D32" s="105">
        <f>'Facility Detail'!E474</f>
        <v>0</v>
      </c>
      <c r="E32" s="105">
        <f>'Facility Detail'!F474</f>
        <v>0</v>
      </c>
      <c r="F32" s="105">
        <f>'Facility Detail'!G474</f>
        <v>0</v>
      </c>
      <c r="G32" s="106">
        <f>'Facility Detail'!H474</f>
        <v>0</v>
      </c>
    </row>
    <row r="33" spans="1:7" ht="15" outlineLevel="1" x14ac:dyDescent="0.25">
      <c r="A33" s="103" t="str">
        <f>'Facility Detail'!B16</f>
        <v>Facility 13</v>
      </c>
      <c r="B33" s="103" t="str">
        <f xml:space="preserve"> IF( 'Facility Detail'!E16 = "", "", 'Facility Detail'!E16 )</f>
        <v/>
      </c>
      <c r="C33" s="104">
        <f>'Facility Detail'!D511</f>
        <v>0</v>
      </c>
      <c r="D33" s="105">
        <f>'Facility Detail'!E511</f>
        <v>0</v>
      </c>
      <c r="E33" s="105">
        <f>'Facility Detail'!F511</f>
        <v>0</v>
      </c>
      <c r="F33" s="105">
        <f>'Facility Detail'!G511</f>
        <v>0</v>
      </c>
      <c r="G33" s="106">
        <f>'Facility Detail'!H511</f>
        <v>0</v>
      </c>
    </row>
    <row r="34" spans="1:7" ht="15" outlineLevel="1" x14ac:dyDescent="0.25">
      <c r="A34" s="103" t="str">
        <f>'Facility Detail'!B17</f>
        <v>Facility 14</v>
      </c>
      <c r="B34" s="103" t="str">
        <f xml:space="preserve"> IF( 'Facility Detail'!E17 = "", "", 'Facility Detail'!E17 )</f>
        <v/>
      </c>
      <c r="C34" s="104">
        <f>'Facility Detail'!D548</f>
        <v>0</v>
      </c>
      <c r="D34" s="105">
        <f>'Facility Detail'!E548</f>
        <v>0</v>
      </c>
      <c r="E34" s="105">
        <f>'Facility Detail'!F548</f>
        <v>0</v>
      </c>
      <c r="F34" s="105">
        <f>'Facility Detail'!G548</f>
        <v>0</v>
      </c>
      <c r="G34" s="106">
        <f>'Facility Detail'!H548</f>
        <v>0</v>
      </c>
    </row>
    <row r="35" spans="1:7" ht="15" outlineLevel="1" x14ac:dyDescent="0.25">
      <c r="A35" s="103" t="str">
        <f>'Facility Detail'!B18</f>
        <v>Facility 15</v>
      </c>
      <c r="B35" s="103" t="str">
        <f xml:space="preserve"> IF( 'Facility Detail'!E18 = "", "", 'Facility Detail'!E18 )</f>
        <v/>
      </c>
      <c r="C35" s="104">
        <f>'Facility Detail'!D585</f>
        <v>0</v>
      </c>
      <c r="D35" s="105">
        <f>'Facility Detail'!E585</f>
        <v>0</v>
      </c>
      <c r="E35" s="105">
        <f>'Facility Detail'!F585</f>
        <v>0</v>
      </c>
      <c r="F35" s="105">
        <f>'Facility Detail'!G585</f>
        <v>0</v>
      </c>
      <c r="G35" s="106">
        <f>'Facility Detail'!H585</f>
        <v>0</v>
      </c>
    </row>
    <row r="36" spans="1:7" ht="15" outlineLevel="1" x14ac:dyDescent="0.25">
      <c r="A36" s="103" t="str">
        <f>'Facility Detail'!B19</f>
        <v>Facility 16</v>
      </c>
      <c r="B36" s="103" t="str">
        <f xml:space="preserve"> IF( 'Facility Detail'!E19 = "", "", 'Facility Detail'!E19 )</f>
        <v/>
      </c>
      <c r="C36" s="104">
        <f>'Facility Detail'!D622</f>
        <v>0</v>
      </c>
      <c r="D36" s="105">
        <f>'Facility Detail'!E622</f>
        <v>0</v>
      </c>
      <c r="E36" s="105">
        <f>'Facility Detail'!F622</f>
        <v>0</v>
      </c>
      <c r="F36" s="105">
        <f>'Facility Detail'!G622</f>
        <v>0</v>
      </c>
      <c r="G36" s="106">
        <f>'Facility Detail'!H622</f>
        <v>0</v>
      </c>
    </row>
    <row r="37" spans="1:7" ht="15" outlineLevel="1" x14ac:dyDescent="0.25">
      <c r="A37" s="103" t="str">
        <f>'Facility Detail'!B20</f>
        <v>Facility 17</v>
      </c>
      <c r="B37" s="103" t="str">
        <f xml:space="preserve"> IF( 'Facility Detail'!E20 = "", "", 'Facility Detail'!E20 )</f>
        <v/>
      </c>
      <c r="C37" s="104">
        <f>'Facility Detail'!D659</f>
        <v>0</v>
      </c>
      <c r="D37" s="105">
        <f>'Facility Detail'!E659</f>
        <v>0</v>
      </c>
      <c r="E37" s="105">
        <f>'Facility Detail'!F659</f>
        <v>0</v>
      </c>
      <c r="F37" s="105">
        <f>'Facility Detail'!G659</f>
        <v>0</v>
      </c>
      <c r="G37" s="106">
        <f>'Facility Detail'!H659</f>
        <v>0</v>
      </c>
    </row>
    <row r="38" spans="1:7" ht="15" outlineLevel="1" x14ac:dyDescent="0.25">
      <c r="A38" s="103" t="str">
        <f>'Facility Detail'!B21</f>
        <v>Facility 18</v>
      </c>
      <c r="B38" s="103" t="str">
        <f xml:space="preserve"> IF( 'Facility Detail'!E21 = "", "", 'Facility Detail'!E21 )</f>
        <v/>
      </c>
      <c r="C38" s="104">
        <f>'Facility Detail'!D696</f>
        <v>0</v>
      </c>
      <c r="D38" s="105">
        <f>'Facility Detail'!E696</f>
        <v>0</v>
      </c>
      <c r="E38" s="105">
        <f>'Facility Detail'!F696</f>
        <v>0</v>
      </c>
      <c r="F38" s="105">
        <f>'Facility Detail'!G696</f>
        <v>0</v>
      </c>
      <c r="G38" s="106">
        <f>'Facility Detail'!H696</f>
        <v>0</v>
      </c>
    </row>
    <row r="39" spans="1:7" ht="15" outlineLevel="1" x14ac:dyDescent="0.25">
      <c r="A39" s="103" t="str">
        <f>'Facility Detail'!B22</f>
        <v>Facility 19</v>
      </c>
      <c r="B39" s="103" t="str">
        <f xml:space="preserve"> IF( 'Facility Detail'!E22 = "", "", 'Facility Detail'!E22 )</f>
        <v/>
      </c>
      <c r="C39" s="104">
        <f>'Facility Detail'!D733</f>
        <v>0</v>
      </c>
      <c r="D39" s="105">
        <f>'Facility Detail'!E733</f>
        <v>0</v>
      </c>
      <c r="E39" s="105">
        <f>'Facility Detail'!F733</f>
        <v>0</v>
      </c>
      <c r="F39" s="105">
        <f>'Facility Detail'!G733</f>
        <v>0</v>
      </c>
      <c r="G39" s="106">
        <f>'Facility Detail'!H733</f>
        <v>0</v>
      </c>
    </row>
    <row r="40" spans="1:7" ht="15" outlineLevel="1" x14ac:dyDescent="0.25">
      <c r="A40" s="103" t="str">
        <f>'Facility Detail'!B23</f>
        <v>Facility 20</v>
      </c>
      <c r="B40" s="103" t="str">
        <f xml:space="preserve"> IF( 'Facility Detail'!E23 = "", "", 'Facility Detail'!E23 )</f>
        <v/>
      </c>
      <c r="C40" s="104">
        <f>'Facility Detail'!D770</f>
        <v>0</v>
      </c>
      <c r="D40" s="105">
        <f>'Facility Detail'!E770</f>
        <v>0</v>
      </c>
      <c r="E40" s="105">
        <f>'Facility Detail'!F770</f>
        <v>0</v>
      </c>
      <c r="F40" s="105">
        <f>'Facility Detail'!G770</f>
        <v>0</v>
      </c>
      <c r="G40" s="106">
        <f>'Facility Detail'!H770</f>
        <v>0</v>
      </c>
    </row>
    <row r="41" spans="1:7" ht="15" outlineLevel="1" x14ac:dyDescent="0.25">
      <c r="A41" s="103" t="str">
        <f>'Facility Detail'!B24</f>
        <v>Facility 21</v>
      </c>
      <c r="B41" s="103" t="str">
        <f xml:space="preserve"> IF( 'Facility Detail'!E24 = "", "", 'Facility Detail'!E24 )</f>
        <v/>
      </c>
      <c r="C41" s="104">
        <f>'Facility Detail'!D807</f>
        <v>0</v>
      </c>
      <c r="D41" s="105">
        <f>'Facility Detail'!E807</f>
        <v>0</v>
      </c>
      <c r="E41" s="105">
        <f>'Facility Detail'!F807</f>
        <v>0</v>
      </c>
      <c r="F41" s="105">
        <f>'Facility Detail'!G807</f>
        <v>0</v>
      </c>
      <c r="G41" s="106">
        <f>'Facility Detail'!H807</f>
        <v>0</v>
      </c>
    </row>
    <row r="42" spans="1:7" ht="15" outlineLevel="1" x14ac:dyDescent="0.25">
      <c r="A42" s="103" t="str">
        <f>'Facility Detail'!B25</f>
        <v>Facility 22</v>
      </c>
      <c r="B42" s="103" t="str">
        <f xml:space="preserve"> IF( 'Facility Detail'!E25 = "", "", 'Facility Detail'!E25 )</f>
        <v/>
      </c>
      <c r="C42" s="104">
        <f>'Facility Detail'!D844</f>
        <v>0</v>
      </c>
      <c r="D42" s="105">
        <f>'Facility Detail'!E844</f>
        <v>0</v>
      </c>
      <c r="E42" s="105">
        <f>'Facility Detail'!F844</f>
        <v>0</v>
      </c>
      <c r="F42" s="105">
        <f>'Facility Detail'!G844</f>
        <v>0</v>
      </c>
      <c r="G42" s="106">
        <f>'Facility Detail'!H844</f>
        <v>0</v>
      </c>
    </row>
    <row r="43" spans="1:7" ht="15" outlineLevel="1" x14ac:dyDescent="0.25">
      <c r="A43" s="103" t="str">
        <f>'Facility Detail'!B26</f>
        <v>Facility 23</v>
      </c>
      <c r="B43" s="103" t="str">
        <f xml:space="preserve"> IF( 'Facility Detail'!E26 = "", "", 'Facility Detail'!E26 )</f>
        <v/>
      </c>
      <c r="C43" s="104">
        <f>'Facility Detail'!D881</f>
        <v>0</v>
      </c>
      <c r="D43" s="105">
        <f>'Facility Detail'!E881</f>
        <v>0</v>
      </c>
      <c r="E43" s="105">
        <f>'Facility Detail'!F881</f>
        <v>0</v>
      </c>
      <c r="F43" s="105">
        <f>'Facility Detail'!G881</f>
        <v>0</v>
      </c>
      <c r="G43" s="106">
        <f>'Facility Detail'!H881</f>
        <v>0</v>
      </c>
    </row>
    <row r="44" spans="1:7" ht="15" outlineLevel="1" x14ac:dyDescent="0.25">
      <c r="A44" s="103" t="str">
        <f>'Facility Detail'!B27</f>
        <v>Facility 24</v>
      </c>
      <c r="B44" s="103" t="str">
        <f xml:space="preserve"> IF( 'Facility Detail'!E27 = "", "", 'Facility Detail'!E27 )</f>
        <v/>
      </c>
      <c r="C44" s="104">
        <f>'Facility Detail'!D918</f>
        <v>0</v>
      </c>
      <c r="D44" s="105">
        <f>'Facility Detail'!E918</f>
        <v>0</v>
      </c>
      <c r="E44" s="105">
        <f>'Facility Detail'!F918</f>
        <v>0</v>
      </c>
      <c r="F44" s="105">
        <f>'Facility Detail'!G918</f>
        <v>0</v>
      </c>
      <c r="G44" s="106">
        <f>'Facility Detail'!H918</f>
        <v>0</v>
      </c>
    </row>
    <row r="45" spans="1:7" ht="15" outlineLevel="1" x14ac:dyDescent="0.25">
      <c r="A45" s="103" t="str">
        <f>'Facility Detail'!B28</f>
        <v>Facility 25</v>
      </c>
      <c r="B45" s="103" t="str">
        <f xml:space="preserve"> IF( 'Facility Detail'!E28 = "", "", 'Facility Detail'!E28 )</f>
        <v/>
      </c>
      <c r="C45" s="104">
        <f>'Facility Detail'!D955</f>
        <v>0</v>
      </c>
      <c r="D45" s="105">
        <f>'Facility Detail'!E955</f>
        <v>0</v>
      </c>
      <c r="E45" s="105">
        <f>'Facility Detail'!F955</f>
        <v>0</v>
      </c>
      <c r="F45" s="105">
        <f>'Facility Detail'!G955</f>
        <v>0</v>
      </c>
      <c r="G45" s="106">
        <f>'Facility Detail'!H955</f>
        <v>0</v>
      </c>
    </row>
    <row r="46" spans="1:7" ht="15" outlineLevel="1" x14ac:dyDescent="0.25">
      <c r="A46" s="103" t="str">
        <f>'Facility Detail'!B29</f>
        <v>Facility 26</v>
      </c>
      <c r="B46" s="103" t="str">
        <f xml:space="preserve"> IF( 'Facility Detail'!E29 = "", "", 'Facility Detail'!E29 )</f>
        <v/>
      </c>
      <c r="C46" s="104">
        <f>'Facility Detail'!D992</f>
        <v>0</v>
      </c>
      <c r="D46" s="105">
        <f>'Facility Detail'!E992</f>
        <v>0</v>
      </c>
      <c r="E46" s="105">
        <f>'Facility Detail'!F992</f>
        <v>0</v>
      </c>
      <c r="F46" s="105">
        <f>'Facility Detail'!G992</f>
        <v>0</v>
      </c>
      <c r="G46" s="106">
        <f>'Facility Detail'!H992</f>
        <v>0</v>
      </c>
    </row>
    <row r="47" spans="1:7" ht="15" outlineLevel="1" x14ac:dyDescent="0.25">
      <c r="A47" s="103" t="str">
        <f>'Facility Detail'!B30</f>
        <v>Facility 27</v>
      </c>
      <c r="B47" s="103" t="str">
        <f xml:space="preserve"> IF( 'Facility Detail'!E30 = "", "", 'Facility Detail'!E30 )</f>
        <v/>
      </c>
      <c r="C47" s="104">
        <f>'Facility Detail'!D1029</f>
        <v>0</v>
      </c>
      <c r="D47" s="105">
        <f>'Facility Detail'!E1029</f>
        <v>0</v>
      </c>
      <c r="E47" s="105">
        <f>'Facility Detail'!F1029</f>
        <v>0</v>
      </c>
      <c r="F47" s="105">
        <f>'Facility Detail'!G1029</f>
        <v>0</v>
      </c>
      <c r="G47" s="106">
        <f>'Facility Detail'!H1029</f>
        <v>0</v>
      </c>
    </row>
    <row r="48" spans="1:7" ht="15" outlineLevel="1" x14ac:dyDescent="0.25">
      <c r="A48" s="103" t="str">
        <f>'Facility Detail'!B31</f>
        <v>Facility 28</v>
      </c>
      <c r="B48" s="103" t="str">
        <f xml:space="preserve"> IF( 'Facility Detail'!E31 = "", "", 'Facility Detail'!E31 )</f>
        <v/>
      </c>
      <c r="C48" s="104">
        <f>'Facility Detail'!D1066</f>
        <v>0</v>
      </c>
      <c r="D48" s="105">
        <f>'Facility Detail'!E1066</f>
        <v>0</v>
      </c>
      <c r="E48" s="105">
        <f>'Facility Detail'!F1066</f>
        <v>0</v>
      </c>
      <c r="F48" s="105">
        <f>'Facility Detail'!G1066</f>
        <v>0</v>
      </c>
      <c r="G48" s="106">
        <f>'Facility Detail'!H1066</f>
        <v>0</v>
      </c>
    </row>
    <row r="49" spans="1:7" ht="15" outlineLevel="1" x14ac:dyDescent="0.25">
      <c r="A49" s="103" t="str">
        <f>'Facility Detail'!B32</f>
        <v>Facility 29</v>
      </c>
      <c r="B49" s="103" t="str">
        <f xml:space="preserve"> IF( 'Facility Detail'!E32 = "", "", 'Facility Detail'!E32 )</f>
        <v/>
      </c>
      <c r="C49" s="104">
        <f>'Facility Detail'!D1103</f>
        <v>0</v>
      </c>
      <c r="D49" s="105">
        <f>'Facility Detail'!E1103</f>
        <v>0</v>
      </c>
      <c r="E49" s="105">
        <f>'Facility Detail'!F1103</f>
        <v>0</v>
      </c>
      <c r="F49" s="105">
        <f>'Facility Detail'!G1103</f>
        <v>0</v>
      </c>
      <c r="G49" s="106">
        <f>'Facility Detail'!H1103</f>
        <v>0</v>
      </c>
    </row>
    <row r="50" spans="1:7" ht="15" outlineLevel="1" x14ac:dyDescent="0.25">
      <c r="A50" s="107" t="str">
        <f>'Facility Detail'!B33</f>
        <v>Facility 30</v>
      </c>
      <c r="B50" s="107" t="str">
        <f xml:space="preserve"> IF( 'Facility Detail'!E33 = "", "", 'Facility Detail'!E33 )</f>
        <v/>
      </c>
      <c r="C50" s="108">
        <f>'Facility Detail'!D1140</f>
        <v>0</v>
      </c>
      <c r="D50" s="109">
        <f>'Facility Detail'!E1140</f>
        <v>0</v>
      </c>
      <c r="E50" s="109">
        <f>'Facility Detail'!F1140</f>
        <v>0</v>
      </c>
      <c r="F50" s="109">
        <f>'Facility Detail'!G1140</f>
        <v>0</v>
      </c>
      <c r="G50" s="110">
        <f>'Facility Detail'!H1140</f>
        <v>0</v>
      </c>
    </row>
    <row r="51" spans="1:7" outlineLevel="1" x14ac:dyDescent="0.2"/>
  </sheetData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2017-06-01T07:00:00+00:00</OpenedDate>
    <Date1 xmlns="dc463f71-b30c-4ab2-9473-d307f9d35888">2017-06-01T07:00:00+00:00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170515</DocketNumber>
    <DelegatedOrder xmlns="dc463f71-b30c-4ab2-9473-d307f9d35888">false</DelegatedOrder>
    <SignificantOrder xmlns="dc463f71-b30c-4ab2-9473-d307f9d35888">false</SignificantOrder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3FC1E12D7CD0B46A917823D1CD13F7A" ma:contentTypeVersion="104" ma:contentTypeDescription="" ma:contentTypeScope="" ma:versionID="28987f5e9915b31a6afc4709dddb6c0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F7CA2EEB-7738-4ED9-B419-A31A19063359}">
  <ds:schemaRefs>
    <ds:schemaRef ds:uri="http://purl.org/dc/elements/1.1/"/>
    <ds:schemaRef ds:uri="6a7bd91e-004b-490a-8704-e368d63d59a0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547A3E9-22A9-4FC0-AFA5-F1B3AE574A5A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4F426CE5-D4AB-4ECF-A56A-EC27F100115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DDB6DF5-5D74-496F-AFFC-3EDCDCC8B4DD}"/>
</file>

<file path=customXml/itemProps5.xml><?xml version="1.0" encoding="utf-8"?>
<ds:datastoreItem xmlns:ds="http://schemas.openxmlformats.org/officeDocument/2006/customXml" ds:itemID="{6FACE36F-5809-4F27-B209-A485457B38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Cover</vt:lpstr>
      <vt:lpstr>Instructions</vt:lpstr>
      <vt:lpstr>Compliance Summary</vt:lpstr>
      <vt:lpstr>Facility Detail</vt:lpstr>
      <vt:lpstr>Generation Rollup</vt:lpstr>
      <vt:lpstr>Facility</vt:lpstr>
      <vt:lpstr>LaborBonus</vt:lpstr>
      <vt:lpstr>'Compliance Summary'!Print_Area</vt:lpstr>
      <vt:lpstr>'Facility Detail'!Print_Area</vt:lpstr>
      <vt:lpstr>Instructions!Print_Area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Spencer Watts</dc:creator>
  <cp:lastModifiedBy>Huff, Ashley (UTC)</cp:lastModifiedBy>
  <cp:lastPrinted>2017-05-31T21:03:26Z</cp:lastPrinted>
  <dcterms:created xsi:type="dcterms:W3CDTF">2011-06-02T16:07:19Z</dcterms:created>
  <dcterms:modified xsi:type="dcterms:W3CDTF">2017-06-02T19:12:41Z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Description">
    <vt:lpwstr>Compliance Reporting Tool</vt:lpwstr>
  </property>
  <property fmtid="{D5CDD505-2E9C-101B-9397-08002B2CF9AE}" pid="3" name="EFilingId">
    <vt:lpwstr>853.000000000000</vt:lpwstr>
  </property>
  <property fmtid="{D5CDD505-2E9C-101B-9397-08002B2CF9AE}" pid="4" name="_docset_NoMedatataSyncRequired">
    <vt:lpwstr>False</vt:lpwstr>
  </property>
  <property fmtid="{D5CDD505-2E9C-101B-9397-08002B2CF9AE}" pid="5" name="ContentTypeId">
    <vt:lpwstr>0x0101006E56B4D1795A2E4DB2F0B01679ED314A00A3FC1E12D7CD0B46A917823D1CD13F7A</vt:lpwstr>
  </property>
  <property fmtid="{D5CDD505-2E9C-101B-9397-08002B2CF9AE}" pid="6" name="IsEFSEC">
    <vt:bool>false</vt:bool>
  </property>
</Properties>
</file>