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2. Tuesday\Pioneer Telephone Co\"/>
    </mc:Choice>
  </mc:AlternateContent>
  <bookViews>
    <workbookView xWindow="0" yWindow="0" windowWidth="16170" windowHeight="6135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2" i="3" l="1"/>
  <c r="E15" i="3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2" i="5"/>
  <c r="G31" i="5"/>
  <c r="G13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E15" i="18" s="1"/>
  <c r="C11" i="16" s="1"/>
  <c r="D11" i="16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D34" i="2"/>
  <c r="D39" i="10"/>
  <c r="D47" i="10" s="1"/>
  <c r="G48" i="2"/>
  <c r="B48" i="2"/>
  <c r="B46" i="5"/>
  <c r="G48" i="5"/>
  <c r="B25" i="5"/>
  <c r="C48" i="5"/>
  <c r="H46" i="2" l="1"/>
  <c r="H48" i="2" s="1"/>
  <c r="D16" i="16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<sst xmlns="http://schemas.openxmlformats.org/spreadsheetml/2006/main" count="628" uniqueCount="269">
  <si>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</si>
  <si>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</si>
  <si>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</si>
  <si>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</si>
  <si>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</si>
  <si>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</si>
  <si>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</si>
  <si>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</si>
  <si>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</si>
  <si>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</si>
  <si>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</si>
  <si>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</si>
  <si>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</si>
  <si>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</si>
  <si>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</si>
  <si>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</si>
  <si>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</si>
  <si>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</si>
  <si>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</si>
  <si>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</si>
  <si>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</si>
  <si>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</si>
  <si>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</si>
  <si>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</si>
  <si>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</si>
  <si>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</si>
  <si>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</si>
  <si>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</si>
  <si>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</si>
  <si>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</si>
  <si>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</si>
  <si>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</si>
  <si>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</si>
  <si>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</si>
  <si>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</si>
  <si>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</si>
  <si>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</si>
  <si>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</si>
  <si>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</si>
  <si>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</si>
  <si>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</si>
  <si>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</si>
  <si>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</si>
  <si>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</si>
  <si>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</si>
  <si>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</si>
  <si>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</si>
  <si>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</si>
  <si>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</si>
  <si>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</si>
  <si>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</si>
  <si>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</si>
  <si>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</si>
  <si>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</si>
  <si>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</si>
  <si>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</si>
  <si>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</si>
  <si>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</si>
  <si>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</si>
  <si>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</si>
  <si>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</si>
  <si>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</si>
  <si>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</si>
  <si>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</si>
  <si>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</si>
  <si>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</si>
  <si>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</si>
  <si>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</si>
  <si>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</si>
  <si>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</si>
  <si>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</si>
  <si>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</si>
  <si>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</si>
  <si>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</si>
  <si>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</si>
  <si>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</si>
  <si>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</si>
  <si>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</si>
  <si>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</si>
  <si>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</si>
  <si>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</si>
  <si>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</si>
  <si>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</si>
  <si>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</si>
  <si>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</si>
  <si>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</si>
  <si>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</si>
  <si>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</si>
  <si>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</si>
  <si>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</si>
  <si>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</si>
  <si>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</si>
  <si>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</si>
  <si>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</si>
  <si>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</si>
  <si>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</si>
  <si>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</si>
  <si>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</si>
  <si>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</si>
  <si>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</si>
  <si>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</si>
  <si>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</si>
  <si>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</si>
  <si>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</si>
  <si>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</si>
  <si>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</si>
  <si>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</si>
  <si>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</si>
  <si>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</si>
  <si>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</si>
  <si>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</si>
  <si>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</si>
  <si>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</si>
  <si>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</si>
  <si>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</si>
  <si>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</si>
  <si>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</si>
  <si>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</si>
  <si>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</si>
  <si>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</si>
  <si>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</si>
  <si>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</si>
  <si>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</si>
  <si>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</si>
  <si>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</si>
  <si>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</si>
  <si>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</si>
  <si>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</si>
  <si>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</si>
  <si>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</si>
  <si>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</si>
  <si>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</si>
  <si>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</si>
  <si>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</si>
  <si>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</si>
  <si>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</si>
  <si>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</si>
  <si>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</si>
  <si>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</si>
  <si>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</si>
  <si>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</si>
  <si>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</si>
  <si>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</si>
  <si>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</si>
  <si>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</si>
  <si>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</si>
  <si>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</si>
  <si>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</si>
  <si>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</si>
  <si>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</si>
  <si>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</si>
  <si>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</si>
  <si>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</si>
  <si>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</si>
  <si>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</si>
  <si>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</si>
  <si>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</si>
  <si>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</si>
  <si>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</si>
  <si>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</si>
  <si>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</si>
  <si>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</si>
  <si>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</si>
  <si>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</si>
  <si>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</si>
  <si>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</si>
  <si>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</si>
  <si>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</si>
  <si>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</si>
  <si>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</si>
  <si>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</si>
  <si>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</si>
  <si>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</si>
  <si>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</si>
  <si>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</si>
  <si>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</si>
  <si>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</si>
  <si>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</si>
  <si>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</si>
  <si>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</si>
  <si>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</si>
  <si>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</si>
  <si>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</si>
  <si>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</si>
  <si>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</si>
  <si>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</si>
  <si>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</si>
  <si>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</si>
  <si>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</si>
  <si>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</si>
  <si>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</si>
  <si>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</si>
  <si>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</si>
  <si>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</si>
  <si>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</si>
  <si>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</si>
  <si>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</si>
  <si>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</si>
  <si>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</si>
  <si>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</si>
  <si>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</si>
  <si>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</si>
  <si>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</si>
  <si>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</si>
  <si>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</si>
  <si>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</si>
  <si>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</si>
  <si>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</si>
  <si>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</si>
  <si>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</si>
  <si>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</si>
  <si>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</si>
  <si>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</si>
  <si>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</si>
  <si>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</si>
  <si>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</si>
  <si>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</si>
  <si>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</si>
  <si>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</si>
  <si>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</si>
  <si>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</si>
  <si>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</si>
  <si>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</si>
  <si>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</si>
  <si>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</si>
  <si>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</si>
  <si>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</si>
  <si>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</si>
  <si>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</si>
  <si>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</si>
  <si>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</si>
  <si>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</si>
  <si>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</si>
  <si>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</si>
  <si>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</si>
  <si>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</si>
  <si>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</si>
  <si>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</si>
  <si>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</si>
  <si>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</si>
  <si>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</si>
  <si>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</si>
  <si>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</si>
  <si>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</si>
  <si>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</si>
  <si>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</si>
  <si>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</si>
  <si>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</si>
  <si>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</si>
  <si>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</si>
  <si>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</si>
  <si>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</si>
  <si>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</si>
  <si>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</si>
  <si>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</si>
  <si>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</si>
  <si>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</si>
  <si>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</si>
  <si>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</si>
  <si>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</si>
  <si>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</si>
  <si>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</si>
  <si>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</si>
  <si>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</si>
  <si>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</si>
  <si>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</si>
  <si>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</si>
  <si>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</si>
  <si>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PIONEER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</si>
</sst>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F19" sqref="F19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22" sqref="E2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PIONEER TELEPHONE COMPANY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73455</v>
      </c>
      <c r="E9" s="56">
        <v>78692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22409</v>
      </c>
      <c r="E11" s="53">
        <v>84707</v>
      </c>
    </row>
    <row r="12" spans="1:5" x14ac:dyDescent="0.25">
      <c r="A12" s="11" t="s">
        <v>207</v>
      </c>
      <c r="B12" s="18" t="s">
        <v>239</v>
      </c>
      <c r="C12" s="11"/>
      <c r="D12" s="53">
        <v>314214</v>
      </c>
      <c r="E12" s="53">
        <f>227538+38217-168969</f>
        <v>96786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48823</v>
      </c>
      <c r="E14" s="53">
        <v>5390</v>
      </c>
    </row>
    <row r="15" spans="1:5" x14ac:dyDescent="0.25">
      <c r="A15" s="11" t="s">
        <v>209</v>
      </c>
      <c r="B15" s="18" t="s">
        <v>161</v>
      </c>
      <c r="C15" s="11"/>
      <c r="D15" s="53">
        <v>209801</v>
      </c>
      <c r="E15" s="53">
        <f>281019+34340</f>
        <v>315359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680076</v>
      </c>
      <c r="E16" s="53">
        <v>728473</v>
      </c>
    </row>
    <row r="17" spans="1:5" x14ac:dyDescent="0.25">
      <c r="A17" s="11">
        <v>5</v>
      </c>
      <c r="B17" s="18" t="s">
        <v>228</v>
      </c>
      <c r="C17" s="11"/>
      <c r="D17" s="53">
        <v>40193</v>
      </c>
      <c r="E17" s="53">
        <v>90124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1388971</v>
      </c>
      <c r="E19" s="36">
        <f>E9+E11+E12+E14+E15+E16+E17+E18</f>
        <v>1399531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1388971</v>
      </c>
      <c r="E20" s="38">
        <f>IncomeStmtSummary!D10</f>
        <v>1399531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x14ac:dyDescent="0.25">
      <c r="A25" s="66"/>
      <c r="B25" s="66"/>
      <c r="C25" s="66"/>
      <c r="D25" s="66"/>
      <c r="E25" s="66"/>
    </row>
    <row r="26" spans="1:5" x14ac:dyDescent="0.25">
      <c r="A26" s="66"/>
      <c r="B26" s="66"/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6" zoomScaleNormal="100" workbookViewId="0">
      <selection activeCell="F19" sqref="F19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PIONEER TELEPHONE COMPANY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abSelected="1" zoomScaleNormal="100" workbookViewId="0">
      <selection activeCell="B32" sqref="B32"/>
    </sheetView>
  </sheetViews>
  <sheetFormatPr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PIONEER TELEPHONE COMPANY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3966402</v>
      </c>
      <c r="D10" s="85">
        <f>C10</f>
        <v>3966402</v>
      </c>
    </row>
    <row r="11" spans="1:4" x14ac:dyDescent="0.25">
      <c r="A11" s="76">
        <v>2</v>
      </c>
      <c r="B11" s="81" t="s">
        <v>196</v>
      </c>
      <c r="C11" s="101">
        <f>'RateBase '!E15</f>
        <v>3611926</v>
      </c>
      <c r="D11" s="101">
        <f>C11</f>
        <v>3611926</v>
      </c>
    </row>
    <row r="12" spans="1:4" x14ac:dyDescent="0.25">
      <c r="A12" s="76">
        <v>3</v>
      </c>
      <c r="B12" s="96" t="s">
        <v>197</v>
      </c>
      <c r="C12" s="83">
        <f>(C10+C11)/2</f>
        <v>3789164</v>
      </c>
      <c r="D12" s="83">
        <f>(D10+D11)/2</f>
        <v>3789164</v>
      </c>
    </row>
    <row r="13" spans="1:4" x14ac:dyDescent="0.25">
      <c r="A13" s="76">
        <v>4</v>
      </c>
      <c r="B13" s="81" t="s">
        <v>198</v>
      </c>
      <c r="C13" s="59">
        <f>IncomeStmtSummary!D29</f>
        <v>68689</v>
      </c>
      <c r="D13" s="59">
        <f>C13</f>
        <v>68689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68689</v>
      </c>
      <c r="D15" s="83">
        <f>D13+D14</f>
        <v>68689</v>
      </c>
    </row>
    <row r="16" spans="1:4" x14ac:dyDescent="0.25">
      <c r="A16" s="76">
        <v>7</v>
      </c>
      <c r="B16" s="96" t="s">
        <v>199</v>
      </c>
      <c r="C16" s="84">
        <f>C15/C12</f>
        <v>1.8127745328521013E-2</v>
      </c>
      <c r="D16" s="84">
        <f>D15/D12</f>
        <v>1.8127745328521013E-2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6954907</v>
      </c>
      <c r="D19" s="80">
        <f>C19</f>
        <v>6954907</v>
      </c>
    </row>
    <row r="20" spans="1:7" x14ac:dyDescent="0.25">
      <c r="A20" s="76">
        <v>9</v>
      </c>
      <c r="B20" s="81" t="s">
        <v>204</v>
      </c>
      <c r="C20" s="86">
        <v>6921030</v>
      </c>
      <c r="D20" s="86">
        <f>C20</f>
        <v>6921030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6937968.5</v>
      </c>
      <c r="D21" s="83">
        <f t="shared" si="0"/>
        <v>6937968.5</v>
      </c>
    </row>
    <row r="22" spans="1:7" x14ac:dyDescent="0.25">
      <c r="A22" s="76">
        <v>11</v>
      </c>
      <c r="B22" s="81" t="s">
        <v>205</v>
      </c>
      <c r="C22" s="53">
        <v>118320</v>
      </c>
      <c r="D22" s="53">
        <f>C22</f>
        <v>118320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118320</v>
      </c>
      <c r="D24" s="83">
        <f>D22+D23</f>
        <v>118320</v>
      </c>
    </row>
    <row r="25" spans="1:7" x14ac:dyDescent="0.25">
      <c r="A25" s="93">
        <v>14</v>
      </c>
      <c r="B25" s="99" t="s">
        <v>201</v>
      </c>
      <c r="C25" s="87">
        <f>C24/C21</f>
        <v>1.7053983453513805E-2</v>
      </c>
      <c r="D25" s="87">
        <f>D24/D21</f>
        <v>1.7053983453513805E-2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0" zoomScaleNormal="100" workbookViewId="0">
      <selection activeCell="G56" sqref="G5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1487984</v>
      </c>
      <c r="C10" s="55"/>
      <c r="D10" s="59">
        <f>SUM(B10:C10)</f>
        <v>1487984</v>
      </c>
      <c r="E10" s="18"/>
      <c r="F10" s="18" t="s">
        <v>78</v>
      </c>
      <c r="G10" s="53">
        <v>99556</v>
      </c>
      <c r="H10" s="55"/>
      <c r="I10" s="59">
        <f>SUM(G10:H10)</f>
        <v>99556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1655</v>
      </c>
      <c r="H13" s="55"/>
      <c r="I13" s="59">
        <f t="shared" si="0"/>
        <v>1655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25338</v>
      </c>
      <c r="C17" s="55"/>
      <c r="D17" s="59">
        <f>SUM(B17:C17)</f>
        <v>25338</v>
      </c>
      <c r="E17" s="19"/>
      <c r="F17" s="18" t="s">
        <v>87</v>
      </c>
      <c r="G17" s="53">
        <v>19767</v>
      </c>
      <c r="H17" s="55"/>
      <c r="I17" s="59">
        <f t="shared" si="0"/>
        <v>19767</v>
      </c>
    </row>
    <row r="18" spans="1:9" x14ac:dyDescent="0.25">
      <c r="A18" s="18" t="s">
        <v>47</v>
      </c>
      <c r="B18" s="53">
        <v>132550</v>
      </c>
      <c r="C18" s="55"/>
      <c r="D18" s="59">
        <f t="shared" ref="D18:D24" si="2">SUM(B18:C18)</f>
        <v>132550</v>
      </c>
      <c r="E18" s="18"/>
      <c r="F18" s="18" t="s">
        <v>88</v>
      </c>
      <c r="G18" s="53">
        <v>63281</v>
      </c>
      <c r="H18" s="55"/>
      <c r="I18" s="59">
        <f t="shared" si="0"/>
        <v>63281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66751</v>
      </c>
      <c r="H19" s="120"/>
      <c r="I19" s="60">
        <f t="shared" si="0"/>
        <v>66751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251010</v>
      </c>
      <c r="H20" s="59">
        <f>SUM(H10:H19)</f>
        <v>0</v>
      </c>
      <c r="I20" s="59">
        <f t="shared" ref="I20" si="3">SUM(I10:I19)</f>
        <v>251010</v>
      </c>
    </row>
    <row r="21" spans="1:9" x14ac:dyDescent="0.25">
      <c r="A21" s="18" t="s">
        <v>49</v>
      </c>
      <c r="B21" s="53">
        <v>73466</v>
      </c>
      <c r="C21" s="55"/>
      <c r="D21" s="59">
        <f t="shared" si="2"/>
        <v>73466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4157</v>
      </c>
      <c r="C22" s="55"/>
      <c r="D22" s="59">
        <f t="shared" si="2"/>
        <v>4157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217593</v>
      </c>
      <c r="C24" s="120"/>
      <c r="D24" s="60">
        <f t="shared" si="2"/>
        <v>217593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1941088</v>
      </c>
      <c r="C25" s="59">
        <f>C10+C11+C13+C14+C15+C17+C18+C19+C20+C21+C22+C23+C24</f>
        <v>0</v>
      </c>
      <c r="D25" s="59">
        <f t="shared" ref="D25" si="5">D10+D11+D13+D14+D15+D17+D18+D19+D20+D21+D22+D23+D24</f>
        <v>1941088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57477</v>
      </c>
      <c r="H30" s="55"/>
      <c r="I30" s="59">
        <f t="shared" si="4"/>
        <v>57477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57477</v>
      </c>
      <c r="H32" s="59">
        <f>SUM(H22:H31)</f>
        <v>0</v>
      </c>
      <c r="I32" s="59">
        <f t="shared" ref="I32" si="6">SUM(I22:I31)</f>
        <v>57477</v>
      </c>
    </row>
    <row r="33" spans="1:9" x14ac:dyDescent="0.25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35277</v>
      </c>
      <c r="C34" s="70">
        <f>-1*(C25+C29+C30+C32+C33+C35+C36+C37+C46)</f>
        <v>1532</v>
      </c>
      <c r="D34" s="59">
        <f t="shared" si="7"/>
        <v>36809</v>
      </c>
      <c r="E34" s="18"/>
      <c r="F34" s="18" t="s">
        <v>103</v>
      </c>
      <c r="G34" s="53"/>
      <c r="H34" s="55"/>
      <c r="I34" s="59">
        <f>SUM(G34:H34)</f>
        <v>0</v>
      </c>
    </row>
    <row r="35" spans="1:9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>
        <v>496877</v>
      </c>
      <c r="H35" s="121">
        <v>-540</v>
      </c>
      <c r="I35" s="59">
        <f t="shared" ref="I35:I36" si="8">SUM(G35:H35)</f>
        <v>496337</v>
      </c>
    </row>
    <row r="36" spans="1:9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9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496877</v>
      </c>
      <c r="H37" s="59">
        <f t="shared" ref="H37:I37" si="9">SUM(H34:H36)</f>
        <v>-540</v>
      </c>
      <c r="I37" s="59">
        <f t="shared" si="9"/>
        <v>496337</v>
      </c>
    </row>
    <row r="38" spans="1:9" x14ac:dyDescent="0.25">
      <c r="A38" s="18" t="s">
        <v>65</v>
      </c>
      <c r="B38" s="59">
        <f>B29+B30+B32+B33+B34+B35+B36+B37</f>
        <v>35277</v>
      </c>
      <c r="C38" s="59">
        <f>C29+C30+C32+C33+C34+C35+C36+C37</f>
        <v>1532</v>
      </c>
      <c r="D38" s="59">
        <f t="shared" ref="D38" si="10">D29+D30+D32+D33+D34+D35+D36+D37</f>
        <v>36809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56052</v>
      </c>
      <c r="H39" s="23"/>
      <c r="I39" s="59">
        <f>SUM(G39:H39)</f>
        <v>56052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9" x14ac:dyDescent="0.25">
      <c r="A41" s="18" t="s">
        <v>180</v>
      </c>
      <c r="B41" s="53">
        <v>12365015</v>
      </c>
      <c r="C41" s="53">
        <v>-31367</v>
      </c>
      <c r="D41" s="59">
        <f>SUM(B41:C41)</f>
        <v>12333648</v>
      </c>
      <c r="E41" s="18"/>
      <c r="F41" s="18" t="s">
        <v>109</v>
      </c>
      <c r="G41" s="53"/>
      <c r="H41" s="23"/>
      <c r="I41" s="59">
        <f t="shared" si="11"/>
        <v>0</v>
      </c>
    </row>
    <row r="42" spans="1:9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9" x14ac:dyDescent="0.25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</row>
    <row r="44" spans="1:9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9" x14ac:dyDescent="0.25">
      <c r="A45" s="18" t="s">
        <v>121</v>
      </c>
      <c r="B45" s="54">
        <v>-7978437</v>
      </c>
      <c r="C45" s="54">
        <v>29835</v>
      </c>
      <c r="D45" s="60">
        <f t="shared" si="12"/>
        <v>-7948602</v>
      </c>
      <c r="E45" s="18"/>
      <c r="F45" s="18" t="s">
        <v>172</v>
      </c>
      <c r="G45" s="54">
        <v>5501527</v>
      </c>
      <c r="H45" s="102">
        <f>-1*(H20+H32+H37)</f>
        <v>540</v>
      </c>
      <c r="I45" s="60">
        <f t="shared" si="11"/>
        <v>5502067</v>
      </c>
    </row>
    <row r="46" spans="1:9" x14ac:dyDescent="0.25">
      <c r="A46" s="18" t="s">
        <v>71</v>
      </c>
      <c r="B46" s="59">
        <f>B41+B42+B43+B44+B45</f>
        <v>4386578</v>
      </c>
      <c r="C46" s="59">
        <f t="shared" ref="C46:D46" si="13">C41+C42+C43+C44+C45</f>
        <v>-1532</v>
      </c>
      <c r="D46" s="59">
        <f t="shared" si="13"/>
        <v>4385046</v>
      </c>
      <c r="E46" s="18"/>
      <c r="F46" s="18" t="s">
        <v>114</v>
      </c>
      <c r="G46" s="59">
        <f>SUM(G39:G45)</f>
        <v>5557579</v>
      </c>
      <c r="H46" s="62">
        <f t="shared" ref="H46:I46" si="14">SUM(H39:H45)</f>
        <v>540</v>
      </c>
      <c r="I46" s="59">
        <f t="shared" si="14"/>
        <v>5558119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6362943</v>
      </c>
      <c r="C48" s="61">
        <f t="shared" ref="C48:D48" si="15">C25+C38+C46</f>
        <v>0</v>
      </c>
      <c r="D48" s="61">
        <f t="shared" si="15"/>
        <v>6362943</v>
      </c>
      <c r="E48" s="18"/>
      <c r="F48" s="22" t="s">
        <v>115</v>
      </c>
      <c r="G48" s="61">
        <f>G20+G32+G37+G46</f>
        <v>6362943</v>
      </c>
      <c r="H48" s="61">
        <f t="shared" ref="H48:I48" si="16">H20+H32+H37+H46</f>
        <v>0</v>
      </c>
      <c r="I48" s="61">
        <f t="shared" si="16"/>
        <v>6362943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15" zoomScaleNormal="100" workbookViewId="0">
      <selection activeCell="H36" sqref="H3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PIONEER TELEPHONE COMPANY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1667403</v>
      </c>
      <c r="C10" s="55"/>
      <c r="D10" s="59">
        <f>SUM(B10:C10)</f>
        <v>1667403</v>
      </c>
      <c r="E10" s="18"/>
      <c r="F10" s="18" t="s">
        <v>78</v>
      </c>
      <c r="G10" s="53">
        <v>25545</v>
      </c>
      <c r="H10" s="55"/>
      <c r="I10" s="59">
        <f>SUM(G10:H10)</f>
        <v>25545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1114</v>
      </c>
      <c r="H13" s="55"/>
      <c r="I13" s="59">
        <f t="shared" si="0"/>
        <v>1114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46663</v>
      </c>
      <c r="C17" s="55"/>
      <c r="D17" s="59">
        <f>SUM(B17:C17)</f>
        <v>46663</v>
      </c>
      <c r="E17" s="19"/>
      <c r="F17" s="18" t="s">
        <v>87</v>
      </c>
      <c r="G17" s="53">
        <v>17461</v>
      </c>
      <c r="H17" s="55"/>
      <c r="I17" s="59">
        <f t="shared" si="0"/>
        <v>17461</v>
      </c>
    </row>
    <row r="18" spans="1:9" x14ac:dyDescent="0.25">
      <c r="A18" s="18" t="s">
        <v>47</v>
      </c>
      <c r="B18" s="53">
        <v>25020</v>
      </c>
      <c r="C18" s="55"/>
      <c r="D18" s="59">
        <f t="shared" ref="D18:D24" si="2">SUM(B18:C18)</f>
        <v>25020</v>
      </c>
      <c r="E18" s="18"/>
      <c r="F18" s="18" t="s">
        <v>88</v>
      </c>
      <c r="G18" s="53">
        <v>64983</v>
      </c>
      <c r="H18" s="55"/>
      <c r="I18" s="59">
        <f t="shared" si="0"/>
        <v>64983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81545</v>
      </c>
      <c r="H19" s="120"/>
      <c r="I19" s="60">
        <f t="shared" si="0"/>
        <v>81545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190648</v>
      </c>
      <c r="H20" s="59">
        <f>SUM(H10:H19)</f>
        <v>0</v>
      </c>
      <c r="I20" s="59">
        <f t="shared" ref="I20" si="3">SUM(I10:I19)</f>
        <v>190648</v>
      </c>
    </row>
    <row r="21" spans="1:9" x14ac:dyDescent="0.25">
      <c r="A21" s="18" t="s">
        <v>49</v>
      </c>
      <c r="B21" s="53">
        <v>54449</v>
      </c>
      <c r="C21" s="55"/>
      <c r="D21" s="59">
        <f t="shared" si="2"/>
        <v>54449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3140</v>
      </c>
      <c r="C22" s="55"/>
      <c r="D22" s="59">
        <f t="shared" si="2"/>
        <v>3140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>
        <v>30456</v>
      </c>
      <c r="C23" s="55"/>
      <c r="D23" s="59">
        <f t="shared" si="2"/>
        <v>30456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219475</v>
      </c>
      <c r="C24" s="120"/>
      <c r="D24" s="60">
        <f t="shared" si="2"/>
        <v>219475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2046606</v>
      </c>
      <c r="C25" s="59">
        <f>C10+C11+C13+C14+C15+C17+C18+C19+C20+C21+C22+C23+C24</f>
        <v>0</v>
      </c>
      <c r="D25" s="59">
        <f t="shared" ref="D25" si="5">D10+D11+D13+D14+D15+D17+D18+D19+D20+D21+D22+D23+D24</f>
        <v>2046606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81657</v>
      </c>
      <c r="H30" s="55"/>
      <c r="I30" s="59">
        <f t="shared" si="4"/>
        <v>81657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81657</v>
      </c>
      <c r="H32" s="59">
        <f>SUM(H22:H31)</f>
        <v>0</v>
      </c>
      <c r="I32" s="59">
        <f t="shared" ref="I32" si="6">SUM(I22:I31)</f>
        <v>81657</v>
      </c>
    </row>
    <row r="33" spans="1:11" x14ac:dyDescent="0.25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35277</v>
      </c>
      <c r="C34" s="70">
        <f>-1*(C25+C29+C30+C32+C33+C35+C36+C37+C46)</f>
        <v>3523</v>
      </c>
      <c r="D34" s="59">
        <f t="shared" si="7"/>
        <v>38800</v>
      </c>
      <c r="E34" s="18"/>
      <c r="F34" s="18" t="s">
        <v>103</v>
      </c>
      <c r="G34" s="53"/>
      <c r="H34" s="55"/>
      <c r="I34" s="59">
        <f>SUM(G34:H34)</f>
        <v>0</v>
      </c>
    </row>
    <row r="35" spans="1:11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>
        <v>512294</v>
      </c>
      <c r="H35" s="121">
        <v>-1318</v>
      </c>
      <c r="I35" s="59">
        <f t="shared" ref="I35:I36" si="8">SUM(G35:H35)</f>
        <v>510976</v>
      </c>
    </row>
    <row r="36" spans="1:11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11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512294</v>
      </c>
      <c r="H37" s="59">
        <f t="shared" ref="H37:I37" si="9">SUM(H34:H36)</f>
        <v>-1318</v>
      </c>
      <c r="I37" s="59">
        <f t="shared" si="9"/>
        <v>510976</v>
      </c>
    </row>
    <row r="38" spans="1:11" x14ac:dyDescent="0.25">
      <c r="A38" s="18" t="s">
        <v>65</v>
      </c>
      <c r="B38" s="59">
        <f>B29+B30+B32+B33+B34+B35+B36+B37</f>
        <v>35277</v>
      </c>
      <c r="C38" s="59">
        <f>C29+C30+C32+C33+C34+C35+C36+C37</f>
        <v>3523</v>
      </c>
      <c r="D38" s="59">
        <f t="shared" ref="D38" si="10">D29+D30+D32+D33+D34+D35+D36+D37</f>
        <v>38800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56052</v>
      </c>
      <c r="H39" s="23"/>
      <c r="I39" s="59">
        <f>SUM(G39:H39)</f>
        <v>56052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11" x14ac:dyDescent="0.25">
      <c r="A41" s="18" t="s">
        <v>180</v>
      </c>
      <c r="B41" s="53">
        <v>12629667</v>
      </c>
      <c r="C41" s="53">
        <v>-32636</v>
      </c>
      <c r="D41" s="59">
        <f>SUM(B41:C41)</f>
        <v>12597031</v>
      </c>
      <c r="E41" s="18"/>
      <c r="F41" s="18" t="s">
        <v>109</v>
      </c>
      <c r="G41" s="53"/>
      <c r="H41" s="23"/>
      <c r="I41" s="59">
        <f t="shared" si="11"/>
        <v>0</v>
      </c>
    </row>
    <row r="42" spans="1:11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11" x14ac:dyDescent="0.25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  <c r="K43" s="66"/>
    </row>
    <row r="44" spans="1:11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 x14ac:dyDescent="0.25">
      <c r="A45" s="18" t="s">
        <v>121</v>
      </c>
      <c r="B45" s="54">
        <v>-8558721</v>
      </c>
      <c r="C45" s="54">
        <v>29113</v>
      </c>
      <c r="D45" s="60">
        <f t="shared" si="12"/>
        <v>-8529608</v>
      </c>
      <c r="E45" s="18"/>
      <c r="F45" s="18" t="s">
        <v>172</v>
      </c>
      <c r="G45" s="54">
        <v>5312178</v>
      </c>
      <c r="H45" s="102">
        <f>-1*(H20+H32+H37)</f>
        <v>1318</v>
      </c>
      <c r="I45" s="60">
        <f t="shared" si="11"/>
        <v>5313496</v>
      </c>
    </row>
    <row r="46" spans="1:11" x14ac:dyDescent="0.25">
      <c r="A46" s="18" t="s">
        <v>71</v>
      </c>
      <c r="B46" s="59">
        <f>B41+B42+B43+B44+B45</f>
        <v>4070946</v>
      </c>
      <c r="C46" s="59">
        <f t="shared" ref="C46:D46" si="13">C41+C42+C43+C44+C45</f>
        <v>-3523</v>
      </c>
      <c r="D46" s="59">
        <f t="shared" si="13"/>
        <v>4067423</v>
      </c>
      <c r="E46" s="18"/>
      <c r="F46" s="18" t="s">
        <v>114</v>
      </c>
      <c r="G46" s="59">
        <f>SUM(G39:G45)</f>
        <v>5368230</v>
      </c>
      <c r="H46" s="62">
        <f t="shared" ref="H46:I46" si="14">SUM(H39:H45)</f>
        <v>1318</v>
      </c>
      <c r="I46" s="59">
        <f t="shared" si="14"/>
        <v>5369548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6152829</v>
      </c>
      <c r="C48" s="61">
        <f t="shared" ref="C48:D48" si="15">C25+C38+C46</f>
        <v>0</v>
      </c>
      <c r="D48" s="61">
        <f t="shared" si="15"/>
        <v>6152829</v>
      </c>
      <c r="E48" s="18"/>
      <c r="F48" s="22" t="s">
        <v>115</v>
      </c>
      <c r="G48" s="61">
        <f>G20+G32+G37+G46</f>
        <v>6152829</v>
      </c>
      <c r="H48" s="61">
        <f t="shared" ref="H48:I48" si="16">H20+H32+H37+H46</f>
        <v>0</v>
      </c>
      <c r="I48" s="61">
        <f t="shared" si="16"/>
        <v>6152829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PIONEER TELEPHONE COMPANY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F19" sqref="F1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PIONEER TELEPHONE COMPANY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1487984</v>
      </c>
      <c r="C10" s="33">
        <f>'CurrentYearBalanceSheet '!D10</f>
        <v>1667403</v>
      </c>
      <c r="D10" s="18"/>
      <c r="E10" s="18" t="s">
        <v>78</v>
      </c>
      <c r="F10" s="33">
        <f>PriorYearBalanceSheet!I10</f>
        <v>99556</v>
      </c>
      <c r="G10" s="33">
        <f>'CurrentYearBalanceSheet '!I10</f>
        <v>25545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1655</v>
      </c>
      <c r="G13" s="33">
        <f>'CurrentYearBalanceSheet '!I13</f>
        <v>1114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25338</v>
      </c>
      <c r="C17" s="33">
        <f>'CurrentYearBalanceSheet '!D17</f>
        <v>46663</v>
      </c>
      <c r="D17" s="18"/>
      <c r="E17" s="18" t="s">
        <v>87</v>
      </c>
      <c r="F17" s="33">
        <f>PriorYearBalanceSheet!I17</f>
        <v>19767</v>
      </c>
      <c r="G17" s="33">
        <f>'CurrentYearBalanceSheet '!I17</f>
        <v>17461</v>
      </c>
    </row>
    <row r="18" spans="1:7" x14ac:dyDescent="0.25">
      <c r="A18" s="18" t="s">
        <v>47</v>
      </c>
      <c r="B18" s="33">
        <f>PriorYearBalanceSheet!D18</f>
        <v>132550</v>
      </c>
      <c r="C18" s="33">
        <f>'CurrentYearBalanceSheet '!D18</f>
        <v>25020</v>
      </c>
      <c r="D18" s="18"/>
      <c r="E18" s="18" t="s">
        <v>88</v>
      </c>
      <c r="F18" s="33">
        <f>PriorYearBalanceSheet!I18</f>
        <v>63281</v>
      </c>
      <c r="G18" s="33">
        <f>'CurrentYearBalanceSheet '!I18</f>
        <v>64983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66751</v>
      </c>
      <c r="G19" s="33">
        <f>'CurrentYearBalanceSheet '!I19</f>
        <v>81545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251010</v>
      </c>
      <c r="G20" s="36">
        <f>SUM(G10:G19)</f>
        <v>190648</v>
      </c>
    </row>
    <row r="21" spans="1:7" x14ac:dyDescent="0.25">
      <c r="A21" s="18" t="s">
        <v>49</v>
      </c>
      <c r="B21" s="33">
        <f>PriorYearBalanceSheet!D21</f>
        <v>73466</v>
      </c>
      <c r="C21" s="33">
        <f>'CurrentYearBalanceSheet '!D21</f>
        <v>54449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4157</v>
      </c>
      <c r="C22" s="33">
        <f>'CurrentYearBalanceSheet '!D22</f>
        <v>3140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30456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217593</v>
      </c>
      <c r="C24" s="34">
        <f>'CurrentYearBalanceSheet '!D24</f>
        <v>219475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1941088</v>
      </c>
      <c r="C25" s="33">
        <f>C10+C11+C13+C14+C15+C17+C18+C19+C20+C21+C22+C23+C24</f>
        <v>2046606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57477</v>
      </c>
      <c r="G30" s="33">
        <f>'CurrentYearBalanceSheet '!I30</f>
        <v>81657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57477</v>
      </c>
      <c r="G32" s="33">
        <f>SUM(G22:G31)</f>
        <v>81657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36809</v>
      </c>
      <c r="C34" s="33">
        <f>'CurrentYearBalanceSheet '!D34</f>
        <v>38800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212</v>
      </c>
      <c r="F35" s="33">
        <f>PriorYearBalanceSheet!I35</f>
        <v>496337</v>
      </c>
      <c r="G35" s="33">
        <f>'CurrentYearBalanceSheet '!I35</f>
        <v>510976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496337</v>
      </c>
      <c r="G37" s="33">
        <f>SUM(G34:G36)</f>
        <v>510976</v>
      </c>
    </row>
    <row r="38" spans="1:7" x14ac:dyDescent="0.25">
      <c r="A38" s="18" t="s">
        <v>65</v>
      </c>
      <c r="B38" s="33">
        <f>B29+B30+B32+B33+B34+B35+B36+B37</f>
        <v>36809</v>
      </c>
      <c r="C38" s="33">
        <f>C29+C30+C32+C33+C34+C35+C36+C37</f>
        <v>38800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56052</v>
      </c>
      <c r="G39" s="33">
        <f>'CurrentYearBalanceSheet '!I39</f>
        <v>56052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12333648</v>
      </c>
      <c r="C41" s="33">
        <f>'CurrentYearBalanceSheet '!D41</f>
        <v>12597031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0</v>
      </c>
      <c r="C43" s="33">
        <f>'CurrentYearBalanceSheet '!D43</f>
        <v>0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-7948602</v>
      </c>
      <c r="C45" s="34">
        <f>'CurrentYearBalanceSheet '!D45</f>
        <v>-8529608</v>
      </c>
      <c r="D45" s="18"/>
      <c r="E45" s="18" t="s">
        <v>113</v>
      </c>
      <c r="F45" s="34">
        <f>PriorYearBalanceSheet!I45</f>
        <v>5502067</v>
      </c>
      <c r="G45" s="34">
        <f>'CurrentYearBalanceSheet '!I45</f>
        <v>5313496</v>
      </c>
    </row>
    <row r="46" spans="1:7" x14ac:dyDescent="0.25">
      <c r="A46" s="18" t="s">
        <v>71</v>
      </c>
      <c r="B46" s="33">
        <f>SUM(B41:B45)</f>
        <v>4385046</v>
      </c>
      <c r="C46" s="33">
        <f>SUM(C41:C45)</f>
        <v>4067423</v>
      </c>
      <c r="D46" s="18"/>
      <c r="E46" s="18" t="s">
        <v>114</v>
      </c>
      <c r="F46" s="33">
        <f>SUM(F39:F45)</f>
        <v>5558119</v>
      </c>
      <c r="G46" s="33">
        <f>SUM(G39:G45)</f>
        <v>5369548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6362943</v>
      </c>
      <c r="C48" s="35">
        <f>C25+C38+C46</f>
        <v>6152829</v>
      </c>
      <c r="D48" s="18"/>
      <c r="E48" s="22" t="s">
        <v>115</v>
      </c>
      <c r="F48" s="35">
        <f>F20+F32+F37+F46</f>
        <v>6362943</v>
      </c>
      <c r="G48" s="35">
        <f>G20+G32+G37+G46</f>
        <v>6152829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21" sqref="E21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12333648</v>
      </c>
      <c r="E10" s="59">
        <f>'BalanceSheet(Summary)'!C41</f>
        <v>12597031</v>
      </c>
      <c r="F10" s="59">
        <f>(D10+E10)/2</f>
        <v>12465339.5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-7948602</v>
      </c>
      <c r="E12" s="59">
        <f>'BalanceSheet(Summary)'!C45</f>
        <v>-8529608</v>
      </c>
      <c r="F12" s="59">
        <f t="shared" ref="F12:F15" si="0">(D12+E12)/2</f>
        <v>-8239105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73466</v>
      </c>
      <c r="E13" s="59">
        <f>'BalanceSheet(Summary)'!C21</f>
        <v>54449</v>
      </c>
      <c r="F13" s="59">
        <f t="shared" si="0"/>
        <v>63957.5</v>
      </c>
    </row>
    <row r="14" spans="1:6" x14ac:dyDescent="0.25">
      <c r="A14" s="11">
        <v>5</v>
      </c>
      <c r="B14" s="18" t="s">
        <v>130</v>
      </c>
      <c r="C14" s="20"/>
      <c r="D14" s="53">
        <v>-492110</v>
      </c>
      <c r="E14" s="53">
        <v>-509946</v>
      </c>
      <c r="F14" s="59">
        <f t="shared" si="0"/>
        <v>-501028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3966402</v>
      </c>
      <c r="E15" s="63">
        <f>SUM(E10:E14)</f>
        <v>3611926</v>
      </c>
      <c r="F15" s="64">
        <f t="shared" si="0"/>
        <v>3789164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517</v>
      </c>
      <c r="D10" s="53">
        <v>504</v>
      </c>
      <c r="E10" s="33">
        <f>D10-C10</f>
        <v>-13</v>
      </c>
      <c r="F10" s="39">
        <f>E10/C10</f>
        <v>-2.5145067698259187E-2</v>
      </c>
    </row>
    <row r="11" spans="1:6" x14ac:dyDescent="0.25">
      <c r="A11" s="11">
        <v>2</v>
      </c>
      <c r="B11" s="20" t="s">
        <v>138</v>
      </c>
      <c r="C11" s="53">
        <v>163</v>
      </c>
      <c r="D11" s="53">
        <v>176</v>
      </c>
      <c r="E11" s="33">
        <f>D11-C11</f>
        <v>13</v>
      </c>
      <c r="F11" s="39">
        <f t="shared" ref="F11:F12" si="0">E11/C11</f>
        <v>7.9754601226993863E-2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680</v>
      </c>
      <c r="D12" s="35">
        <f t="shared" ref="D12:E12" si="1">SUM(D10:D11)</f>
        <v>680</v>
      </c>
      <c r="E12" s="35">
        <f t="shared" si="1"/>
        <v>0</v>
      </c>
      <c r="F12" s="40">
        <f t="shared" si="0"/>
        <v>0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D60" sqref="D60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134207</v>
      </c>
      <c r="D9" s="53"/>
      <c r="E9" s="59">
        <f>SUM(C9:D9)</f>
        <v>134207</v>
      </c>
    </row>
    <row r="10" spans="1:6" x14ac:dyDescent="0.25">
      <c r="A10" s="11">
        <v>2</v>
      </c>
      <c r="B10" s="15" t="s">
        <v>2</v>
      </c>
      <c r="C10" s="53">
        <v>1388971</v>
      </c>
      <c r="D10" s="53"/>
      <c r="E10" s="59">
        <f t="shared" ref="E10:E14" si="0">SUM(C10:D10)</f>
        <v>1388971</v>
      </c>
    </row>
    <row r="11" spans="1:6" x14ac:dyDescent="0.25">
      <c r="A11" s="11">
        <v>3</v>
      </c>
      <c r="B11" s="15" t="s">
        <v>3</v>
      </c>
      <c r="C11" s="53">
        <v>39923</v>
      </c>
      <c r="D11" s="53"/>
      <c r="E11" s="59">
        <f t="shared" si="0"/>
        <v>39923</v>
      </c>
    </row>
    <row r="12" spans="1:6" x14ac:dyDescent="0.25">
      <c r="A12" s="11">
        <v>4</v>
      </c>
      <c r="B12" s="15" t="s">
        <v>4</v>
      </c>
      <c r="C12" s="53">
        <v>1878</v>
      </c>
      <c r="D12" s="53"/>
      <c r="E12" s="59">
        <f t="shared" si="0"/>
        <v>1878</v>
      </c>
    </row>
    <row r="13" spans="1:6" x14ac:dyDescent="0.25">
      <c r="A13" s="11">
        <v>5</v>
      </c>
      <c r="B13" s="15" t="s">
        <v>5</v>
      </c>
      <c r="C13" s="53">
        <v>8864</v>
      </c>
      <c r="D13" s="53"/>
      <c r="E13" s="59">
        <f t="shared" si="0"/>
        <v>8864</v>
      </c>
    </row>
    <row r="14" spans="1:6" x14ac:dyDescent="0.25">
      <c r="A14" s="11">
        <v>6</v>
      </c>
      <c r="B14" s="15" t="s">
        <v>152</v>
      </c>
      <c r="C14" s="53">
        <v>-927</v>
      </c>
      <c r="D14" s="53"/>
      <c r="E14" s="59">
        <f t="shared" si="0"/>
        <v>-927</v>
      </c>
    </row>
    <row r="15" spans="1:6" x14ac:dyDescent="0.25">
      <c r="A15" s="11">
        <v>7</v>
      </c>
      <c r="B15" s="95" t="s">
        <v>151</v>
      </c>
      <c r="C15" s="104">
        <f>SUM(C9:C14)</f>
        <v>1572916</v>
      </c>
      <c r="D15" s="104">
        <f t="shared" ref="D15:E15" si="1">SUM(D9:D14)</f>
        <v>0</v>
      </c>
      <c r="E15" s="104">
        <f t="shared" si="1"/>
        <v>1572916</v>
      </c>
      <c r="F15" s="1"/>
    </row>
    <row r="16" spans="1:6" x14ac:dyDescent="0.25">
      <c r="A16" s="11">
        <v>8</v>
      </c>
      <c r="B16" s="15" t="s">
        <v>6</v>
      </c>
      <c r="C16" s="53">
        <v>342707</v>
      </c>
      <c r="D16" s="53">
        <v>-25316</v>
      </c>
      <c r="E16" s="42">
        <f>SUM(C16:D16)</f>
        <v>317391</v>
      </c>
    </row>
    <row r="17" spans="1:6" x14ac:dyDescent="0.25">
      <c r="A17" s="11">
        <v>9</v>
      </c>
      <c r="B17" s="15" t="s">
        <v>40</v>
      </c>
      <c r="C17" s="53">
        <v>40970</v>
      </c>
      <c r="D17" s="53">
        <v>33173</v>
      </c>
      <c r="E17" s="42">
        <f t="shared" ref="E17:E21" si="2">SUM(C17:D17)</f>
        <v>74143</v>
      </c>
    </row>
    <row r="18" spans="1:6" x14ac:dyDescent="0.25">
      <c r="A18" s="11">
        <v>10</v>
      </c>
      <c r="B18" s="15" t="s">
        <v>7</v>
      </c>
      <c r="C18" s="53">
        <v>504963</v>
      </c>
      <c r="D18" s="53">
        <v>-1813</v>
      </c>
      <c r="E18" s="42">
        <f t="shared" si="2"/>
        <v>503150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61948</v>
      </c>
      <c r="D20" s="53">
        <v>-892</v>
      </c>
      <c r="E20" s="42">
        <f t="shared" si="2"/>
        <v>61056</v>
      </c>
    </row>
    <row r="21" spans="1:6" x14ac:dyDescent="0.25">
      <c r="A21" s="11">
        <v>13</v>
      </c>
      <c r="B21" s="15" t="s">
        <v>10</v>
      </c>
      <c r="C21" s="53">
        <v>391445</v>
      </c>
      <c r="D21" s="53">
        <v>-35631</v>
      </c>
      <c r="E21" s="42">
        <f t="shared" si="2"/>
        <v>355814</v>
      </c>
    </row>
    <row r="22" spans="1:6" x14ac:dyDescent="0.25">
      <c r="A22" s="11">
        <v>14</v>
      </c>
      <c r="B22" s="90" t="s">
        <v>150</v>
      </c>
      <c r="C22" s="104">
        <f>C16+C17+C18+C19+C20+C21</f>
        <v>1342033</v>
      </c>
      <c r="D22" s="104">
        <f>D16+D17+D18+D19+D20+D21</f>
        <v>-30479</v>
      </c>
      <c r="E22" s="105">
        <f>E16+E17+E18+E19+E20+E21</f>
        <v>1311554</v>
      </c>
      <c r="F22" s="1"/>
    </row>
    <row r="23" spans="1:6" x14ac:dyDescent="0.25">
      <c r="A23" s="11">
        <v>15</v>
      </c>
      <c r="B23" s="15" t="s">
        <v>14</v>
      </c>
      <c r="C23" s="59">
        <f>C15-C22</f>
        <v>230883</v>
      </c>
      <c r="D23" s="59">
        <f>D15-D22</f>
        <v>30479</v>
      </c>
      <c r="E23" s="59">
        <f>E15-E22</f>
        <v>261362</v>
      </c>
    </row>
    <row r="24" spans="1:6" x14ac:dyDescent="0.25">
      <c r="A24" s="11">
        <v>16</v>
      </c>
      <c r="B24" s="15" t="s">
        <v>153</v>
      </c>
      <c r="C24" s="53"/>
      <c r="D24" s="55"/>
      <c r="E24" s="59">
        <f>SUM(C24:D24)</f>
        <v>0</v>
      </c>
    </row>
    <row r="25" spans="1:6" x14ac:dyDescent="0.25">
      <c r="A25" s="11">
        <v>17</v>
      </c>
      <c r="B25" s="15" t="s">
        <v>11</v>
      </c>
      <c r="C25" s="53">
        <v>62704</v>
      </c>
      <c r="D25" s="121">
        <v>-466</v>
      </c>
      <c r="E25" s="59">
        <f t="shared" ref="E25:E27" si="3">SUM(C25:D25)</f>
        <v>62238</v>
      </c>
    </row>
    <row r="26" spans="1:6" x14ac:dyDescent="0.25">
      <c r="A26" s="11">
        <v>18</v>
      </c>
      <c r="B26" s="15" t="s">
        <v>229</v>
      </c>
      <c r="C26" s="53">
        <v>55869</v>
      </c>
      <c r="D26" s="55">
        <v>-810</v>
      </c>
      <c r="E26" s="59">
        <f t="shared" si="3"/>
        <v>55059</v>
      </c>
    </row>
    <row r="27" spans="1:6" x14ac:dyDescent="0.25">
      <c r="A27" s="11">
        <v>19</v>
      </c>
      <c r="B27" s="15" t="s">
        <v>13</v>
      </c>
      <c r="C27" s="53"/>
      <c r="D27" s="121"/>
      <c r="E27" s="59">
        <f t="shared" si="3"/>
        <v>0</v>
      </c>
    </row>
    <row r="28" spans="1:6" x14ac:dyDescent="0.25">
      <c r="A28" s="11">
        <v>20</v>
      </c>
      <c r="B28" s="95" t="s">
        <v>12</v>
      </c>
      <c r="C28" s="83">
        <f>SUM(C25:C27)</f>
        <v>118573</v>
      </c>
      <c r="D28" s="83">
        <f t="shared" ref="D28:E28" si="4">SUM(D25:D27)</f>
        <v>-1276</v>
      </c>
      <c r="E28" s="106">
        <f t="shared" si="4"/>
        <v>117297</v>
      </c>
    </row>
    <row r="29" spans="1:6" x14ac:dyDescent="0.25">
      <c r="A29" s="11">
        <v>21</v>
      </c>
      <c r="B29" s="95" t="s">
        <v>23</v>
      </c>
      <c r="C29" s="83">
        <f>C23+C24-C28</f>
        <v>112310</v>
      </c>
      <c r="D29" s="83">
        <f>D23+D24-D28</f>
        <v>31755</v>
      </c>
      <c r="E29" s="106">
        <f>E23+E24-E28</f>
        <v>144065</v>
      </c>
    </row>
    <row r="30" spans="1:6" x14ac:dyDescent="0.25">
      <c r="A30" s="11">
        <v>22</v>
      </c>
      <c r="B30" s="15" t="s">
        <v>15</v>
      </c>
      <c r="C30" s="53"/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/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/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4612</v>
      </c>
      <c r="D35" s="55"/>
      <c r="E35" s="33">
        <f>SUM(C35:D35)</f>
        <v>4612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15990</v>
      </c>
      <c r="D38" s="70">
        <f>-1*(D29-D34)</f>
        <v>-31755</v>
      </c>
      <c r="E38" s="33">
        <f t="shared" si="7"/>
        <v>-15765</v>
      </c>
    </row>
    <row r="39" spans="1:10" x14ac:dyDescent="0.25">
      <c r="A39" s="11">
        <v>31</v>
      </c>
      <c r="B39" s="95" t="s">
        <v>22</v>
      </c>
      <c r="C39" s="83">
        <f>C29-C34+C35+C36+C37+C38</f>
        <v>132912</v>
      </c>
      <c r="D39" s="83">
        <f t="shared" ref="D39:E39" si="8">D29-D34+D35+D36+D37+D38</f>
        <v>0</v>
      </c>
      <c r="E39" s="83">
        <f t="shared" si="8"/>
        <v>132912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6360062</v>
      </c>
      <c r="D41" s="55"/>
      <c r="E41" s="59">
        <f t="shared" ref="E41:E46" si="9">SUM(C41:D41)</f>
        <v>6360062</v>
      </c>
    </row>
    <row r="42" spans="1:10" x14ac:dyDescent="0.25">
      <c r="A42" s="11">
        <v>34</v>
      </c>
      <c r="B42" s="15" t="s">
        <v>26</v>
      </c>
      <c r="C42" s="53">
        <v>8553</v>
      </c>
      <c r="D42" s="55"/>
      <c r="E42" s="59">
        <f t="shared" si="9"/>
        <v>8553</v>
      </c>
    </row>
    <row r="43" spans="1:10" x14ac:dyDescent="0.25">
      <c r="A43" s="11">
        <v>35</v>
      </c>
      <c r="B43" s="15" t="s">
        <v>27</v>
      </c>
      <c r="C43" s="53">
        <v>1000000</v>
      </c>
      <c r="D43" s="55"/>
      <c r="E43" s="59">
        <f t="shared" si="9"/>
        <v>1000000</v>
      </c>
    </row>
    <row r="44" spans="1:10" x14ac:dyDescent="0.25">
      <c r="A44" s="11">
        <v>36</v>
      </c>
      <c r="B44" s="15" t="s">
        <v>28</v>
      </c>
      <c r="C44" s="53"/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5501527</v>
      </c>
      <c r="D47" s="107">
        <f t="shared" ref="D47:E47" si="10">(D39+D41+D42)-(D43+D44+D45+D46)</f>
        <v>0</v>
      </c>
      <c r="E47" s="106">
        <f t="shared" si="10"/>
        <v>5501527</v>
      </c>
    </row>
    <row r="48" spans="1:10" x14ac:dyDescent="0.25">
      <c r="A48" s="11">
        <v>40</v>
      </c>
      <c r="B48" s="15" t="s">
        <v>32</v>
      </c>
      <c r="C48" s="53"/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0.60756137009223632</v>
      </c>
      <c r="D53" s="110" t="e">
        <f>((D22+D28-D18-D19)/D15)</f>
        <v>#DIV/0!</v>
      </c>
      <c r="E53" s="110">
        <f>((E22+E28-E18-E19)/E15)</f>
        <v>0.58852538851407199</v>
      </c>
    </row>
    <row r="54" spans="1:7" x14ac:dyDescent="0.25">
      <c r="A54" s="11">
        <v>46</v>
      </c>
      <c r="B54" s="15" t="s">
        <v>37</v>
      </c>
      <c r="C54" s="110">
        <f>((C22+C28+C34)/C15)</f>
        <v>0.92859758563076478</v>
      </c>
      <c r="D54" s="110" t="e">
        <f>((D22+D28+D34)/D15)</f>
        <v>#DIV/0!</v>
      </c>
      <c r="E54" s="110">
        <f>((E22+E28+E34)/E15)</f>
        <v>0.90840896780247637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27" zoomScaleNormal="100" workbookViewId="0">
      <selection activeCell="C35" sqref="C3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144597</v>
      </c>
      <c r="D9" s="53"/>
      <c r="E9" s="33">
        <f>SUM(C9:D9)</f>
        <v>144597</v>
      </c>
    </row>
    <row r="10" spans="1:6" x14ac:dyDescent="0.25">
      <c r="A10" s="11">
        <v>2</v>
      </c>
      <c r="B10" s="18" t="s">
        <v>2</v>
      </c>
      <c r="C10" s="53">
        <v>1399531</v>
      </c>
      <c r="D10" s="53"/>
      <c r="E10" s="33">
        <f t="shared" ref="E10:E14" si="0">SUM(C10:D10)</f>
        <v>1399531</v>
      </c>
    </row>
    <row r="11" spans="1:6" x14ac:dyDescent="0.25">
      <c r="A11" s="11">
        <v>3</v>
      </c>
      <c r="B11" s="18" t="s">
        <v>3</v>
      </c>
      <c r="C11" s="53">
        <v>42291</v>
      </c>
      <c r="D11" s="53"/>
      <c r="E11" s="33">
        <f t="shared" si="0"/>
        <v>42291</v>
      </c>
    </row>
    <row r="12" spans="1:6" x14ac:dyDescent="0.25">
      <c r="A12" s="11">
        <v>4</v>
      </c>
      <c r="B12" s="18" t="s">
        <v>4</v>
      </c>
      <c r="C12" s="53">
        <v>1800</v>
      </c>
      <c r="D12" s="53"/>
      <c r="E12" s="33">
        <f t="shared" si="0"/>
        <v>1800</v>
      </c>
    </row>
    <row r="13" spans="1:6" x14ac:dyDescent="0.25">
      <c r="A13" s="11">
        <v>5</v>
      </c>
      <c r="B13" s="18" t="s">
        <v>5</v>
      </c>
      <c r="C13" s="53">
        <v>8866</v>
      </c>
      <c r="D13" s="53"/>
      <c r="E13" s="33">
        <f t="shared" si="0"/>
        <v>8866</v>
      </c>
    </row>
    <row r="14" spans="1:6" x14ac:dyDescent="0.25">
      <c r="A14" s="11">
        <v>6</v>
      </c>
      <c r="B14" s="18" t="s">
        <v>152</v>
      </c>
      <c r="C14" s="53">
        <v>-100</v>
      </c>
      <c r="D14" s="53"/>
      <c r="E14" s="33">
        <f t="shared" si="0"/>
        <v>-100</v>
      </c>
    </row>
    <row r="15" spans="1:6" x14ac:dyDescent="0.25">
      <c r="A15" s="11">
        <v>7</v>
      </c>
      <c r="B15" s="90" t="s">
        <v>151</v>
      </c>
      <c r="C15" s="41">
        <f>SUM(C9:C14)</f>
        <v>1596985</v>
      </c>
      <c r="D15" s="41">
        <f t="shared" ref="D15:E15" si="1">SUM(D9:D14)</f>
        <v>0</v>
      </c>
      <c r="E15" s="41">
        <f t="shared" si="1"/>
        <v>1596985</v>
      </c>
      <c r="F15" s="1"/>
    </row>
    <row r="16" spans="1:6" x14ac:dyDescent="0.25">
      <c r="A16" s="11">
        <v>8</v>
      </c>
      <c r="B16" s="18" t="s">
        <v>6</v>
      </c>
      <c r="C16" s="53">
        <v>367252</v>
      </c>
      <c r="D16" s="53">
        <v>-24230</v>
      </c>
      <c r="E16" s="42">
        <f>SUM(C16:D16)</f>
        <v>343022</v>
      </c>
    </row>
    <row r="17" spans="1:6" x14ac:dyDescent="0.25">
      <c r="A17" s="11">
        <v>9</v>
      </c>
      <c r="B17" s="18" t="s">
        <v>40</v>
      </c>
      <c r="C17" s="53">
        <v>54344</v>
      </c>
      <c r="D17" s="53">
        <v>13556</v>
      </c>
      <c r="E17" s="42">
        <f t="shared" ref="E17:E21" si="2">SUM(C17:D17)</f>
        <v>67900</v>
      </c>
    </row>
    <row r="18" spans="1:6" x14ac:dyDescent="0.25">
      <c r="A18" s="11">
        <v>10</v>
      </c>
      <c r="B18" s="18" t="s">
        <v>7</v>
      </c>
      <c r="C18" s="53">
        <v>580284</v>
      </c>
      <c r="D18" s="53">
        <v>-701</v>
      </c>
      <c r="E18" s="42">
        <f t="shared" si="2"/>
        <v>579583</v>
      </c>
    </row>
    <row r="19" spans="1:6" x14ac:dyDescent="0.2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94541</v>
      </c>
      <c r="D20" s="53">
        <v>-7042</v>
      </c>
      <c r="E20" s="42">
        <f t="shared" si="2"/>
        <v>87499</v>
      </c>
    </row>
    <row r="21" spans="1:6" x14ac:dyDescent="0.25">
      <c r="A21" s="11">
        <v>13</v>
      </c>
      <c r="B21" s="18" t="s">
        <v>10</v>
      </c>
      <c r="C21" s="53">
        <v>374435</v>
      </c>
      <c r="D21" s="53">
        <v>-13108</v>
      </c>
      <c r="E21" s="42">
        <f t="shared" si="2"/>
        <v>361327</v>
      </c>
    </row>
    <row r="22" spans="1:6" x14ac:dyDescent="0.25">
      <c r="A22" s="11">
        <v>14</v>
      </c>
      <c r="B22" s="90" t="s">
        <v>150</v>
      </c>
      <c r="C22" s="41">
        <f>C16+C17+C18+C19+C20+C21</f>
        <v>1470856</v>
      </c>
      <c r="D22" s="41">
        <f>D16+D17+D18+D19+D20+D21</f>
        <v>-31525</v>
      </c>
      <c r="E22" s="43">
        <f>E16+E17+E18+E19+E20+E21</f>
        <v>1439331</v>
      </c>
      <c r="F22" s="1"/>
    </row>
    <row r="23" spans="1:6" x14ac:dyDescent="0.25">
      <c r="A23" s="11">
        <v>15</v>
      </c>
      <c r="B23" s="18" t="s">
        <v>14</v>
      </c>
      <c r="C23" s="33">
        <f>C15-C22</f>
        <v>126129</v>
      </c>
      <c r="D23" s="33">
        <f>D15-D22</f>
        <v>31525</v>
      </c>
      <c r="E23" s="33">
        <f>E15-E22</f>
        <v>157654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67196</v>
      </c>
      <c r="D25" s="121">
        <v>-1037</v>
      </c>
      <c r="E25" s="33">
        <f t="shared" ref="E25:E27" si="3">SUM(C25:D25)</f>
        <v>66159</v>
      </c>
    </row>
    <row r="26" spans="1:6" x14ac:dyDescent="0.25">
      <c r="A26" s="11">
        <v>18</v>
      </c>
      <c r="B26" s="18" t="s">
        <v>229</v>
      </c>
      <c r="C26" s="53">
        <v>23455</v>
      </c>
      <c r="D26" s="55">
        <v>-649</v>
      </c>
      <c r="E26" s="33">
        <f t="shared" si="3"/>
        <v>22806</v>
      </c>
    </row>
    <row r="27" spans="1:6" x14ac:dyDescent="0.25">
      <c r="A27" s="11">
        <v>19</v>
      </c>
      <c r="B27" s="18" t="s">
        <v>13</v>
      </c>
      <c r="C27" s="53"/>
      <c r="D27" s="121"/>
      <c r="E27" s="33">
        <f t="shared" si="3"/>
        <v>0</v>
      </c>
    </row>
    <row r="28" spans="1:6" x14ac:dyDescent="0.25">
      <c r="A28" s="11">
        <v>20</v>
      </c>
      <c r="B28" s="90" t="s">
        <v>12</v>
      </c>
      <c r="C28" s="38">
        <f>SUM(C25:C27)</f>
        <v>90651</v>
      </c>
      <c r="D28" s="38">
        <f t="shared" ref="D28:E28" si="4">SUM(D25:D27)</f>
        <v>-1686</v>
      </c>
      <c r="E28" s="44">
        <f t="shared" si="4"/>
        <v>88965</v>
      </c>
    </row>
    <row r="29" spans="1:6" x14ac:dyDescent="0.25">
      <c r="A29" s="11">
        <v>21</v>
      </c>
      <c r="B29" s="90" t="s">
        <v>23</v>
      </c>
      <c r="C29" s="38">
        <f>C23+C24-C28</f>
        <v>35478</v>
      </c>
      <c r="D29" s="38">
        <f>D23+D24-D28</f>
        <v>33211</v>
      </c>
      <c r="E29" s="44">
        <f>E23+E24-E28</f>
        <v>68689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v>7173</v>
      </c>
      <c r="D35" s="55"/>
      <c r="E35" s="33">
        <f>SUM(C35:D35)</f>
        <v>7173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22814</v>
      </c>
      <c r="D38" s="70">
        <f>-1*(D29-D34)</f>
        <v>-33211</v>
      </c>
      <c r="E38" s="33">
        <f t="shared" si="7"/>
        <v>-10397</v>
      </c>
    </row>
    <row r="39" spans="1:5" x14ac:dyDescent="0.25">
      <c r="A39" s="11">
        <v>31</v>
      </c>
      <c r="B39" s="90" t="s">
        <v>22</v>
      </c>
      <c r="C39" s="38">
        <f>C29-C34+C35+C36+C37+C38</f>
        <v>65465</v>
      </c>
      <c r="D39" s="38">
        <f t="shared" ref="D39:E39" si="8">D29-D34+D35+D36+D37+D38</f>
        <v>0</v>
      </c>
      <c r="E39" s="38">
        <f t="shared" si="8"/>
        <v>65465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5501527</v>
      </c>
      <c r="D41" s="55"/>
      <c r="E41" s="33">
        <f t="shared" ref="E41:E46" si="9">SUM(C41:D41)</f>
        <v>5501527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>
        <v>-250000</v>
      </c>
      <c r="D43" s="55"/>
      <c r="E43" s="33">
        <f t="shared" si="9"/>
        <v>-250000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4814</v>
      </c>
      <c r="D45" s="55"/>
      <c r="E45" s="33">
        <f t="shared" si="9"/>
        <v>4814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5812178</v>
      </c>
      <c r="D47" s="65">
        <f t="shared" ref="D47:E47" si="10">(D39+D41+D42)-(D43+D44+D45+D46)</f>
        <v>0</v>
      </c>
      <c r="E47" s="44">
        <f t="shared" si="10"/>
        <v>5812178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0.61442217678938749</v>
      </c>
      <c r="D53" s="47" t="e">
        <f>((D22+D28-D18-D19)/D15)</f>
        <v>#DIV/0!</v>
      </c>
      <c r="E53" s="47">
        <f>((E22+E28-E18-E19)/E15)</f>
        <v>0.59406506635942102</v>
      </c>
    </row>
    <row r="54" spans="1:7" x14ac:dyDescent="0.25">
      <c r="A54" s="11">
        <v>46</v>
      </c>
      <c r="B54" s="18" t="s">
        <v>37</v>
      </c>
      <c r="C54" s="47">
        <f>((C22+C28+C34)/C15)</f>
        <v>0.97778438745511076</v>
      </c>
      <c r="D54" s="47" t="e">
        <f>((D22+D28+D34)/D15)</f>
        <v>#DIV/0!</v>
      </c>
      <c r="E54" s="47">
        <f>((E22+E28+E34)/E15)</f>
        <v>0.95698832487468577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1" zoomScaleNormal="100" workbookViewId="0">
      <selection activeCell="F19" sqref="F19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PIONEER TELEPHONE COMPANY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134207</v>
      </c>
      <c r="D9" s="42">
        <f>'CurrentYearIncomeStmt '!E9</f>
        <v>144597</v>
      </c>
    </row>
    <row r="10" spans="1:5" x14ac:dyDescent="0.25">
      <c r="A10" s="11">
        <v>2</v>
      </c>
      <c r="B10" s="18" t="s">
        <v>2</v>
      </c>
      <c r="C10" s="33">
        <f>PriorYearIncomeStmt!E10</f>
        <v>1388971</v>
      </c>
      <c r="D10" s="42">
        <f>'CurrentYearIncomeStmt '!E10</f>
        <v>1399531</v>
      </c>
    </row>
    <row r="11" spans="1:5" x14ac:dyDescent="0.25">
      <c r="A11" s="11">
        <v>3</v>
      </c>
      <c r="B11" s="18" t="s">
        <v>3</v>
      </c>
      <c r="C11" s="33">
        <f>PriorYearIncomeStmt!E11</f>
        <v>39923</v>
      </c>
      <c r="D11" s="42">
        <f>'CurrentYearIncomeStmt '!E11</f>
        <v>42291</v>
      </c>
    </row>
    <row r="12" spans="1:5" x14ac:dyDescent="0.25">
      <c r="A12" s="11">
        <v>4</v>
      </c>
      <c r="B12" s="18" t="s">
        <v>4</v>
      </c>
      <c r="C12" s="33">
        <f>PriorYearIncomeStmt!E12</f>
        <v>1878</v>
      </c>
      <c r="D12" s="42">
        <f>'CurrentYearIncomeStmt '!E12</f>
        <v>1800</v>
      </c>
    </row>
    <row r="13" spans="1:5" x14ac:dyDescent="0.25">
      <c r="A13" s="11">
        <v>5</v>
      </c>
      <c r="B13" s="18" t="s">
        <v>5</v>
      </c>
      <c r="C13" s="33">
        <f>PriorYearIncomeStmt!E13</f>
        <v>8864</v>
      </c>
      <c r="D13" s="42">
        <f>'CurrentYearIncomeStmt '!E13</f>
        <v>8866</v>
      </c>
    </row>
    <row r="14" spans="1:5" x14ac:dyDescent="0.25">
      <c r="A14" s="11">
        <v>6</v>
      </c>
      <c r="B14" s="18" t="s">
        <v>152</v>
      </c>
      <c r="C14" s="33">
        <f>PriorYearIncomeStmt!E14</f>
        <v>-927</v>
      </c>
      <c r="D14" s="42">
        <f>'CurrentYearIncomeStmt '!E14</f>
        <v>-100</v>
      </c>
    </row>
    <row r="15" spans="1:5" x14ac:dyDescent="0.25">
      <c r="A15" s="11">
        <v>7</v>
      </c>
      <c r="B15" s="90" t="s">
        <v>151</v>
      </c>
      <c r="C15" s="41">
        <f>SUM(C9:C14)</f>
        <v>1572916</v>
      </c>
      <c r="D15" s="43">
        <f t="shared" ref="D15" si="0">SUM(D9:D14)</f>
        <v>1596985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317391</v>
      </c>
      <c r="D16" s="42">
        <f>'CurrentYearIncomeStmt '!E16</f>
        <v>343022</v>
      </c>
    </row>
    <row r="17" spans="1:5" x14ac:dyDescent="0.25">
      <c r="A17" s="11">
        <v>9</v>
      </c>
      <c r="B17" s="18" t="s">
        <v>40</v>
      </c>
      <c r="C17" s="33">
        <f>PriorYearIncomeStmt!E17</f>
        <v>74143</v>
      </c>
      <c r="D17" s="42">
        <f>'CurrentYearIncomeStmt '!E17</f>
        <v>67900</v>
      </c>
    </row>
    <row r="18" spans="1:5" x14ac:dyDescent="0.25">
      <c r="A18" s="11">
        <v>10</v>
      </c>
      <c r="B18" s="18" t="s">
        <v>7</v>
      </c>
      <c r="C18" s="33">
        <f>PriorYearIncomeStmt!E18</f>
        <v>503150</v>
      </c>
      <c r="D18" s="42">
        <f>'CurrentYearIncomeStmt '!E18</f>
        <v>579583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61056</v>
      </c>
      <c r="D20" s="42">
        <f>'CurrentYearIncomeStmt '!E20</f>
        <v>87499</v>
      </c>
    </row>
    <row r="21" spans="1:5" x14ac:dyDescent="0.25">
      <c r="A21" s="11">
        <v>13</v>
      </c>
      <c r="B21" s="18" t="s">
        <v>10</v>
      </c>
      <c r="C21" s="33">
        <f>PriorYearIncomeStmt!E21</f>
        <v>355814</v>
      </c>
      <c r="D21" s="42">
        <f>'CurrentYearIncomeStmt '!E21</f>
        <v>361327</v>
      </c>
    </row>
    <row r="22" spans="1:5" x14ac:dyDescent="0.25">
      <c r="A22" s="11">
        <v>14</v>
      </c>
      <c r="B22" s="90" t="s">
        <v>150</v>
      </c>
      <c r="C22" s="41">
        <f>C16+C17+C18+C19+C20+C21</f>
        <v>1311554</v>
      </c>
      <c r="D22" s="43">
        <f>D16+D17+D18+D19+D20+D21</f>
        <v>1439331</v>
      </c>
      <c r="E22" s="1"/>
    </row>
    <row r="23" spans="1:5" x14ac:dyDescent="0.25">
      <c r="A23" s="11">
        <v>15</v>
      </c>
      <c r="B23" s="18" t="s">
        <v>14</v>
      </c>
      <c r="C23" s="33">
        <f>C15-C22</f>
        <v>261362</v>
      </c>
      <c r="D23" s="42">
        <f>D15-D22</f>
        <v>157654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62238</v>
      </c>
      <c r="D25" s="42">
        <f>'CurrentYearIncomeStmt '!E25</f>
        <v>66159</v>
      </c>
    </row>
    <row r="26" spans="1:5" x14ac:dyDescent="0.25">
      <c r="A26" s="11">
        <v>18</v>
      </c>
      <c r="B26" s="18" t="s">
        <v>214</v>
      </c>
      <c r="C26" s="33">
        <f>PriorYearIncomeStmt!E26</f>
        <v>55059</v>
      </c>
      <c r="D26" s="42">
        <f>'CurrentYearIncomeStmt '!E26</f>
        <v>22806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90" t="s">
        <v>12</v>
      </c>
      <c r="C28" s="38">
        <f>SUM(C25:C27)</f>
        <v>117297</v>
      </c>
      <c r="D28" s="44">
        <f t="shared" ref="D28" si="1">SUM(D25:D27)</f>
        <v>88965</v>
      </c>
    </row>
    <row r="29" spans="1:5" x14ac:dyDescent="0.25">
      <c r="A29" s="11">
        <v>21</v>
      </c>
      <c r="B29" s="90" t="s">
        <v>23</v>
      </c>
      <c r="C29" s="38">
        <f>C23+C24-C28</f>
        <v>144065</v>
      </c>
      <c r="D29" s="44">
        <f>D23+D24-D28</f>
        <v>68689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4612</v>
      </c>
      <c r="D35" s="42">
        <f>'CurrentYearIncomeStmt '!E35</f>
        <v>7173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-15765</v>
      </c>
      <c r="D38" s="42">
        <f>'CurrentYearIncomeStmt '!E38</f>
        <v>-10397</v>
      </c>
    </row>
    <row r="39" spans="1:4" x14ac:dyDescent="0.25">
      <c r="A39" s="11">
        <v>31</v>
      </c>
      <c r="B39" s="90" t="s">
        <v>22</v>
      </c>
      <c r="C39" s="38">
        <f>C29-C34+C35+C36+C37+C38</f>
        <v>132912</v>
      </c>
      <c r="D39" s="44">
        <f t="shared" ref="D39" si="3">D29-D34+D35+D36+D37+D38</f>
        <v>65465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6360062</v>
      </c>
      <c r="D41" s="42">
        <f>'CurrentYearIncomeStmt '!E41</f>
        <v>5501527</v>
      </c>
    </row>
    <row r="42" spans="1:4" x14ac:dyDescent="0.25">
      <c r="A42" s="11">
        <v>34</v>
      </c>
      <c r="B42" s="18" t="s">
        <v>26</v>
      </c>
      <c r="C42" s="33">
        <f>PriorYearIncomeStmt!E42</f>
        <v>8553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1000000</v>
      </c>
      <c r="D43" s="42">
        <f>'CurrentYearIncomeStmt '!E43</f>
        <v>-250000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4814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5501527</v>
      </c>
      <c r="D47" s="44">
        <f t="shared" ref="D47" si="4">(D39+D41+D42)-(D43+D44+D45+D46)</f>
        <v>5812178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0.58852538851407199</v>
      </c>
      <c r="D53" s="50">
        <f>((D22+D28-D18-D19)/D15)</f>
        <v>0.59406506635942102</v>
      </c>
    </row>
    <row r="54" spans="1:8" x14ac:dyDescent="0.25">
      <c r="A54" s="11">
        <v>46</v>
      </c>
      <c r="B54" s="18" t="s">
        <v>37</v>
      </c>
      <c r="C54" s="50">
        <f>((C22+C28+C34)/C15)</f>
        <v>0.90840896780247637</v>
      </c>
      <c r="D54" s="50">
        <f>((D22+D28+D34)/D15)</f>
        <v>0.95698832487468577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2016-07-26T07:00:00+00:00</OpenedDate>
    <Date1 xmlns="dc463f71-b30c-4ab2-9473-d307f9d35888">2016-07-26T07:00:00+00:00</Date1>
    <IsDocumentOrder xmlns="dc463f71-b30c-4ab2-9473-d307f9d35888" xsi:nil="true"/>
    <IsHighlyConfidential xmlns="dc463f71-b30c-4ab2-9473-d307f9d35888">false</IsHighlyConfidential>
    <CaseCompanyNames xmlns="dc463f71-b30c-4ab2-9473-d307f9d35888">Pioneer Telephone Company</CaseCompanyNames>
    <DocketNumber xmlns="dc463f71-b30c-4ab2-9473-d307f9d35888">160939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865109962934E945297F1C87FD146" ma:contentTypeVersion="96" ma:contentTypeDescription="" ma:contentTypeScope="" ma:versionID="6f5bdd445206e38eacda34533ae05e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F29A6-FBCD-4462-9954-F4C215D747B2}"/>
</file>

<file path=customXml/itemProps2.xml><?xml version="1.0" encoding="utf-8"?>
<ds:datastoreItem xmlns:ds="http://schemas.openxmlformats.org/officeDocument/2006/customXml" ds:itemID="{A8B94CD6-65D0-4882-A225-850B9181F755}"/>
</file>

<file path=customXml/itemProps3.xml><?xml version="1.0" encoding="utf-8"?>
<ds:datastoreItem xmlns:ds="http://schemas.openxmlformats.org/officeDocument/2006/customXml" ds:itemID="{3E0C0F70-FD11-4382-9734-7B4825916E77}"/>
</file>

<file path=customXml/itemProps4.xml><?xml version="1.0" encoding="utf-8"?>
<ds:datastoreItem xmlns:ds="http://schemas.openxmlformats.org/officeDocument/2006/customXml" ds:itemID="{75BBD6C9-B196-4168-A7CE-5A960FBE0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2016-07-15T17:31:12Z</cp:lastPrinted>
  <dcterms:created xsi:type="dcterms:W3CDTF">2014-05-21T17:51:51Z</dcterms:created>
  <dcterms:modified xsi:type="dcterms:W3CDTF">2016-07-26T21:41:43Z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0x0101006E56B4D1795A2E4DB2F0B01679ED314A00F84865109962934E945297F1C87FD146</vt:lpwstr>
  </property>
  <property fmtid="{D5CDD505-2E9C-101B-9397-08002B2CF9AE}" pid="3" name="_docset_NoMedatataSyncRequired">
    <vt:lpwstr>False</vt:lpwstr>
  </property>
</Properties>
</file>