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1205"/>
  </bookViews>
  <sheets>
    <sheet name="Attachment 1 PCAM Calcula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123Graph_E" hidden="1">[1]Input!$E$22:$E$37</definedName>
    <definedName name="__123Graph_F" hidden="1">[1]Input!$D$22:$D$37</definedName>
    <definedName name="_Order1" hidden="1">255</definedName>
    <definedName name="_Order2" hidden="1">0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ntractTypeDol">#REF!</definedName>
    <definedName name="ContractTypeMWh">#REF!</definedName>
    <definedName name="DataCheck_Base">#REF!</definedName>
    <definedName name="DataCheck_Delta">#REF!</definedName>
    <definedName name="DataCheck_NPC">'[3](3.2) WCA Base NPC UE-140762'!#REF!</definedName>
    <definedName name="DispatchSum">"GRID Thermal Generation!R2C1:R4C2"</definedName>
    <definedName name="Hide_Rows">#REF!</definedName>
    <definedName name="Hide_Rows_Recon">#REF!</definedName>
    <definedName name="limcount" hidden="1">1</definedName>
    <definedName name="ListOffset" hidden="1">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PSATable">[4]Hermiston!$A$32:$E$57</definedName>
    <definedName name="RevenueSum">"GRID Thermal Revenue!R2C1:R4C2"</definedName>
    <definedName name="SAPBEXrevision" hidden="1">1</definedName>
    <definedName name="SAPBEXsysID" hidden="1">"BWP"</definedName>
    <definedName name="SAPBEXwbID" hidden="1">"44KU92Q9LH2VK4DK86GZ93AXN"</definedName>
    <definedName name="Version">#REF!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Total._.Summary." hidden="1">{"Total Summary",#N/A,FALSE,"Summary"}</definedName>
    <definedName name="y" hidden="1">'[5]DSM Output'!$B$21:$B$23</definedName>
    <definedName name="z" hidden="1">'[2]DSM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 s="1"/>
  <c r="H37" i="1" s="1"/>
  <c r="I37" i="1" s="1"/>
  <c r="J37" i="1" s="1"/>
  <c r="K37" i="1" s="1"/>
  <c r="L37" i="1" s="1"/>
  <c r="E37" i="1"/>
  <c r="C20" i="1"/>
  <c r="K18" i="1"/>
  <c r="L17" i="1"/>
  <c r="K17" i="1"/>
  <c r="J17" i="1"/>
  <c r="I17" i="1"/>
  <c r="H17" i="1"/>
  <c r="G17" i="1"/>
  <c r="F17" i="1"/>
  <c r="E17" i="1"/>
  <c r="M17" i="1" s="1"/>
  <c r="D17" i="1"/>
  <c r="C17" i="1"/>
  <c r="L16" i="1"/>
  <c r="L18" i="1" s="1"/>
  <c r="K16" i="1"/>
  <c r="J16" i="1"/>
  <c r="J18" i="1" s="1"/>
  <c r="I16" i="1"/>
  <c r="H16" i="1"/>
  <c r="H18" i="1" s="1"/>
  <c r="G16" i="1"/>
  <c r="G18" i="1" s="1"/>
  <c r="F16" i="1"/>
  <c r="F18" i="1" s="1"/>
  <c r="E16" i="1"/>
  <c r="D16" i="1"/>
  <c r="D18" i="1" s="1"/>
  <c r="C16" i="1"/>
  <c r="A16" i="1"/>
  <c r="L13" i="1"/>
  <c r="K13" i="1"/>
  <c r="J13" i="1"/>
  <c r="I13" i="1"/>
  <c r="H13" i="1"/>
  <c r="G13" i="1"/>
  <c r="F13" i="1"/>
  <c r="E13" i="1"/>
  <c r="D13" i="1"/>
  <c r="C13" i="1"/>
  <c r="C12" i="1"/>
  <c r="E11" i="1"/>
  <c r="F11" i="1" s="1"/>
  <c r="G11" i="1" s="1"/>
  <c r="H11" i="1" s="1"/>
  <c r="I11" i="1" s="1"/>
  <c r="J11" i="1" s="1"/>
  <c r="K11" i="1" s="1"/>
  <c r="L11" i="1" s="1"/>
  <c r="C9" i="1"/>
  <c r="D8" i="1"/>
  <c r="C8" i="1"/>
  <c r="D7" i="1"/>
  <c r="D9" i="1" s="1"/>
  <c r="C7" i="1"/>
  <c r="A3" i="1"/>
  <c r="A2" i="1"/>
  <c r="A1" i="1"/>
  <c r="D20" i="1" l="1"/>
  <c r="D21" i="1" s="1"/>
  <c r="H20" i="1"/>
  <c r="I12" i="1"/>
  <c r="I14" i="1" s="1"/>
  <c r="E12" i="1"/>
  <c r="E14" i="1" s="1"/>
  <c r="L12" i="1"/>
  <c r="L14" i="1" s="1"/>
  <c r="L20" i="1" s="1"/>
  <c r="G12" i="1"/>
  <c r="G14" i="1" s="1"/>
  <c r="G20" i="1" s="1"/>
  <c r="K12" i="1"/>
  <c r="K14" i="1" s="1"/>
  <c r="K20" i="1" s="1"/>
  <c r="F12" i="1"/>
  <c r="F14" i="1" s="1"/>
  <c r="J12" i="1"/>
  <c r="J14" i="1" s="1"/>
  <c r="D12" i="1"/>
  <c r="D14" i="1" s="1"/>
  <c r="H12" i="1"/>
  <c r="H14" i="1" s="1"/>
  <c r="E18" i="1"/>
  <c r="E20" i="1" s="1"/>
  <c r="I18" i="1"/>
  <c r="I20" i="1" s="1"/>
  <c r="M16" i="1"/>
  <c r="M18" i="1" s="1"/>
  <c r="F20" i="1"/>
  <c r="J20" i="1"/>
  <c r="A17" i="1"/>
  <c r="A18" i="1"/>
  <c r="A20" i="1"/>
  <c r="C21" i="1" l="1"/>
  <c r="E21" i="1"/>
  <c r="F21" i="1" s="1"/>
  <c r="G21" i="1" s="1"/>
  <c r="H21" i="1" s="1"/>
  <c r="I21" i="1" s="1"/>
  <c r="J21" i="1" s="1"/>
  <c r="K21" i="1" s="1"/>
  <c r="L21" i="1" s="1"/>
  <c r="M21" i="1" s="1"/>
  <c r="A24" i="1"/>
  <c r="A21" i="1"/>
  <c r="C18" i="1"/>
  <c r="M14" i="1"/>
  <c r="K26" i="1" l="1"/>
  <c r="G26" i="1"/>
  <c r="J26" i="1"/>
  <c r="F26" i="1"/>
  <c r="L26" i="1"/>
  <c r="D26" i="1"/>
  <c r="D27" i="1" s="1"/>
  <c r="I26" i="1"/>
  <c r="H26" i="1"/>
  <c r="E26" i="1"/>
  <c r="E27" i="1" s="1"/>
  <c r="A26" i="1"/>
  <c r="E33" i="1" l="1"/>
  <c r="E31" i="1"/>
  <c r="E30" i="1"/>
  <c r="E35" i="1" s="1"/>
  <c r="E40" i="1" s="1"/>
  <c r="E32" i="1"/>
  <c r="A30" i="1"/>
  <c r="F27" i="1"/>
  <c r="D33" i="1"/>
  <c r="D31" i="1"/>
  <c r="D32" i="1"/>
  <c r="D30" i="1"/>
  <c r="G27" i="1"/>
  <c r="G32" i="1" l="1"/>
  <c r="G30" i="1"/>
  <c r="G33" i="1"/>
  <c r="G31" i="1"/>
  <c r="D35" i="1"/>
  <c r="A31" i="1"/>
  <c r="F32" i="1"/>
  <c r="F30" i="1"/>
  <c r="F31" i="1"/>
  <c r="F33" i="1"/>
  <c r="H27" i="1"/>
  <c r="H33" i="1" l="1"/>
  <c r="H31" i="1"/>
  <c r="H30" i="1"/>
  <c r="H35" i="1" s="1"/>
  <c r="H40" i="1" s="1"/>
  <c r="H32" i="1"/>
  <c r="I27" i="1"/>
  <c r="D40" i="1"/>
  <c r="G35" i="1"/>
  <c r="G40" i="1" s="1"/>
  <c r="A35" i="1"/>
  <c r="A37" i="1" s="1"/>
  <c r="A39" i="1" s="1"/>
  <c r="F35" i="1"/>
  <c r="F40" i="1" s="1"/>
  <c r="A32" i="1"/>
  <c r="A33" i="1" s="1"/>
  <c r="C40" i="1" l="1"/>
  <c r="A40" i="1"/>
  <c r="A41" i="1" s="1"/>
  <c r="A42" i="1" s="1"/>
  <c r="D41" i="1"/>
  <c r="D42" i="1" s="1"/>
  <c r="E39" i="1" s="1"/>
  <c r="I33" i="1"/>
  <c r="I31" i="1"/>
  <c r="I32" i="1"/>
  <c r="I30" i="1"/>
  <c r="I35" i="1" s="1"/>
  <c r="I40" i="1" s="1"/>
  <c r="J27" i="1"/>
  <c r="E41" i="1" l="1"/>
  <c r="E42" i="1" s="1"/>
  <c r="F39" i="1" s="1"/>
  <c r="J32" i="1"/>
  <c r="J30" i="1"/>
  <c r="J33" i="1"/>
  <c r="J31" i="1"/>
  <c r="K27" i="1"/>
  <c r="C41" i="1"/>
  <c r="F41" i="1" l="1"/>
  <c r="F42" i="1" s="1"/>
  <c r="G39" i="1" s="1"/>
  <c r="K32" i="1"/>
  <c r="K30" i="1"/>
  <c r="K35" i="1" s="1"/>
  <c r="K40" i="1" s="1"/>
  <c r="K31" i="1"/>
  <c r="K33" i="1"/>
  <c r="L27" i="1"/>
  <c r="J35" i="1"/>
  <c r="G41" i="1" l="1"/>
  <c r="G42" i="1" s="1"/>
  <c r="H39" i="1" s="1"/>
  <c r="J40" i="1"/>
  <c r="L33" i="1"/>
  <c r="L31" i="1"/>
  <c r="M27" i="1"/>
  <c r="L32" i="1"/>
  <c r="L30" i="1"/>
  <c r="H41" i="1" l="1"/>
  <c r="H42" i="1" s="1"/>
  <c r="I39" i="1" s="1"/>
  <c r="L35" i="1"/>
  <c r="I41" i="1" l="1"/>
  <c r="I42" i="1" s="1"/>
  <c r="J39" i="1" s="1"/>
  <c r="L40" i="1"/>
  <c r="M35" i="1"/>
  <c r="J41" i="1" l="1"/>
  <c r="J42" i="1" s="1"/>
  <c r="K39" i="1" s="1"/>
  <c r="K41" i="1" l="1"/>
  <c r="K42" i="1" s="1"/>
  <c r="L39" i="1" s="1"/>
  <c r="L41" i="1" l="1"/>
  <c r="L42" i="1" s="1"/>
</calcChain>
</file>

<file path=xl/sharedStrings.xml><?xml version="1.0" encoding="utf-8"?>
<sst xmlns="http://schemas.openxmlformats.org/spreadsheetml/2006/main" count="38" uniqueCount="37">
  <si>
    <t>Line No.</t>
  </si>
  <si>
    <t>UE-140762</t>
  </si>
  <si>
    <t>Base NPC in Rates</t>
  </si>
  <si>
    <t>Total Annual NPC in Rates</t>
  </si>
  <si>
    <t>Retail Sales @ Meter in Rates</t>
  </si>
  <si>
    <t>NPC $/MWh In Rates</t>
  </si>
  <si>
    <t>Deferred NPC Calculation</t>
  </si>
  <si>
    <t>Total</t>
  </si>
  <si>
    <t>Actual WA Sales (MWh)</t>
  </si>
  <si>
    <t>Actual Collections of Base NPC</t>
  </si>
  <si>
    <t>Line 4 x Line 5</t>
  </si>
  <si>
    <t>Washington Allocated Actual NPC</t>
  </si>
  <si>
    <t>Washington Allocated Actual Non-NPC EIM Costs</t>
  </si>
  <si>
    <t>Total NPC</t>
  </si>
  <si>
    <t>Monthly NPC Variance</t>
  </si>
  <si>
    <t>Cumulative Variance</t>
  </si>
  <si>
    <t>Deadband</t>
  </si>
  <si>
    <t>Deadband +/-$3 Million</t>
  </si>
  <si>
    <t>NPC Variance Outside of Deadband</t>
  </si>
  <si>
    <t>Cumulative NPC Variance Outside of Deadband</t>
  </si>
  <si>
    <t>Asymmetrical Sharing Band</t>
  </si>
  <si>
    <t xml:space="preserve">Asymmetrical Sharing Band </t>
  </si>
  <si>
    <t>Lower Limit</t>
  </si>
  <si>
    <t>Upper Limit</t>
  </si>
  <si>
    <t>Customer Share</t>
  </si>
  <si>
    <t>Company Share</t>
  </si>
  <si>
    <t>NPC Variance between $3 million and $7.5 million, 50/50 Sharing</t>
  </si>
  <si>
    <t>NPC Variance greater than $7.5 million, 90/10 Sharing</t>
  </si>
  <si>
    <t>NPC Variance between ($3 million) and ($7.5 million), 75/25 Sharing</t>
  </si>
  <si>
    <t>NPC Variance less than ($7.5 million), 90/10 Sharing</t>
  </si>
  <si>
    <t>Total Deferral After Sharing</t>
  </si>
  <si>
    <t>FERC Interest Rate - Published Quarterly</t>
  </si>
  <si>
    <t>FERC</t>
  </si>
  <si>
    <t>Beginning Balance</t>
  </si>
  <si>
    <t>Deferral After Sharing</t>
  </si>
  <si>
    <t>Carrying Charge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</si>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</sst>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0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 applyBorder="1"/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44" fontId="3" fillId="0" borderId="2" xfId="2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44" fontId="2" fillId="0" borderId="0" xfId="0" applyNumberFormat="1" applyFont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4" applyNumberFormat="1" applyFont="1" applyFill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5" fontId="4" fillId="0" borderId="0" xfId="4" applyNumberFormat="1" applyFont="1" applyFill="1" applyAlignment="1">
      <alignment horizontal="right" vertical="center"/>
    </xf>
    <xf numFmtId="165" fontId="2" fillId="0" borderId="2" xfId="0" applyNumberFormat="1" applyFont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65" fontId="1" fillId="0" borderId="0" xfId="4" applyNumberFormat="1" applyFont="1" applyFill="1" applyAlignment="1">
      <alignment horizontal="center" vertical="center"/>
    </xf>
    <xf numFmtId="165" fontId="0" fillId="0" borderId="0" xfId="0" applyNumberFormat="1" applyFont="1" applyBorder="1"/>
    <xf numFmtId="165" fontId="1" fillId="0" borderId="2" xfId="4" applyNumberFormat="1" applyFont="1" applyFill="1" applyBorder="1" applyAlignment="1">
      <alignment horizontal="center" vertical="center"/>
    </xf>
    <xf numFmtId="165" fontId="2" fillId="0" borderId="2" xfId="4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1" fontId="0" fillId="0" borderId="0" xfId="0" applyNumberFormat="1" applyFont="1" applyFill="1" applyAlignment="1">
      <alignment horizontal="right" vertical="center"/>
    </xf>
    <xf numFmtId="165" fontId="2" fillId="0" borderId="0" xfId="0" applyNumberFormat="1" applyFont="1" applyBorder="1"/>
    <xf numFmtId="0" fontId="4" fillId="0" borderId="0" xfId="0" applyFont="1" applyFill="1" applyAlignment="1">
      <alignment horizontal="center" vertical="center" wrapText="1"/>
    </xf>
    <xf numFmtId="165" fontId="4" fillId="0" borderId="3" xfId="4" applyNumberFormat="1" applyFont="1" applyFill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165" fontId="2" fillId="0" borderId="3" xfId="0" applyNumberFormat="1" applyFont="1" applyBorder="1" applyAlignment="1">
      <alignment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65" fontId="2" fillId="0" borderId="0" xfId="0" applyNumberFormat="1" applyFont="1"/>
    <xf numFmtId="166" fontId="0" fillId="0" borderId="0" xfId="1" applyNumberFormat="1" applyFont="1"/>
    <xf numFmtId="165" fontId="4" fillId="0" borderId="0" xfId="4" applyNumberFormat="1" applyFont="1" applyFill="1" applyBorder="1" applyAlignment="1">
      <alignment horizontal="right" vertical="center"/>
    </xf>
    <xf numFmtId="165" fontId="0" fillId="0" borderId="0" xfId="0" applyNumberFormat="1" applyBorder="1"/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165" fontId="0" fillId="0" borderId="0" xfId="0" applyNumberFormat="1" applyFont="1" applyAlignment="1">
      <alignment horizontal="center" vertical="center"/>
    </xf>
    <xf numFmtId="9" fontId="0" fillId="0" borderId="0" xfId="3" applyFont="1"/>
    <xf numFmtId="165" fontId="3" fillId="0" borderId="0" xfId="4" applyNumberFormat="1" applyFont="1" applyFill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165" fontId="3" fillId="0" borderId="3" xfId="4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10" fontId="0" fillId="0" borderId="0" xfId="3" applyNumberFormat="1" applyFont="1"/>
    <xf numFmtId="10" fontId="0" fillId="0" borderId="0" xfId="3" applyNumberFormat="1" applyFont="1" applyFill="1"/>
    <xf numFmtId="0" fontId="3" fillId="0" borderId="0" xfId="0" applyFont="1" applyFill="1" applyAlignment="1">
      <alignment horizontal="left" vertical="center" wrapText="1"/>
    </xf>
    <xf numFmtId="38" fontId="0" fillId="0" borderId="0" xfId="0" applyNumberFormat="1" applyFont="1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43" fontId="0" fillId="0" borderId="0" xfId="0" applyNumberFormat="1"/>
    <xf numFmtId="166" fontId="0" fillId="0" borderId="0" xfId="1" applyNumberFormat="1" applyFont="1" applyFill="1" applyAlignment="1">
      <alignment horizont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6" fontId="0" fillId="0" borderId="0" xfId="1" applyNumberFormat="1" applyFont="1" applyAlignment="1">
      <alignment horizontal="right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Currency 2 2" xf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A%20PCAM%20Final%20Deferral%20(APR-DEC%2015)_Workpapers%20CON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Attachment 1 PCAM Calculation"/>
      <sheetName val="(2.1) WA Allocated Actual NPC"/>
      <sheetName val="(2.2) Adj Actual NPC by Cat"/>
      <sheetName val="(2.3) Adj Actual NPC"/>
      <sheetName val="(2.4) Adjustments"/>
      <sheetName val="(2.5) Actual WCA NPC"/>
      <sheetName val="(3.1) WA Allocated Base NPC"/>
      <sheetName val="(3.2) WCA Base NPC UE-140762"/>
      <sheetName val="(4.1) Actual EIM Costs"/>
      <sheetName val="(5.1) Actual Factors"/>
      <sheetName val="(6.1) WA Sales"/>
    </sheetNames>
    <sheetDataSet>
      <sheetData sheetId="0">
        <row r="4">
          <cell r="C4" t="str">
            <v>Washington Power Cost Adjustment Mechanism</v>
          </cell>
        </row>
        <row r="5">
          <cell r="B5" t="str">
            <v>Deferral Period:</v>
          </cell>
          <cell r="C5" t="str">
            <v>April 1, 2015 - December 31, 2015</v>
          </cell>
        </row>
        <row r="9">
          <cell r="B9" t="str">
            <v>Attachment 1</v>
          </cell>
          <cell r="C9" t="str">
            <v>Power Cost Adjustment Mechanism Calculation</v>
          </cell>
        </row>
        <row r="12">
          <cell r="B12" t="str">
            <v>(2.1)</v>
          </cell>
        </row>
        <row r="19">
          <cell r="B19" t="str">
            <v>(3.1)</v>
          </cell>
        </row>
        <row r="23">
          <cell r="B23" t="str">
            <v>(4.1)</v>
          </cell>
        </row>
        <row r="29">
          <cell r="B29" t="str">
            <v>(6.1)</v>
          </cell>
        </row>
      </sheetData>
      <sheetData sheetId="1"/>
      <sheetData sheetId="2">
        <row r="80">
          <cell r="L80">
            <v>9957674.1680574827</v>
          </cell>
          <cell r="M80">
            <v>10456338.449304644</v>
          </cell>
          <cell r="N80">
            <v>12530290.167660592</v>
          </cell>
          <cell r="O80">
            <v>13656207.16739364</v>
          </cell>
          <cell r="P80">
            <v>12723297.751404094</v>
          </cell>
          <cell r="Q80">
            <v>9948081.3138702735</v>
          </cell>
          <cell r="R80">
            <v>10322123.539407983</v>
          </cell>
          <cell r="S80">
            <v>10405162.386419855</v>
          </cell>
          <cell r="T80">
            <v>11215872.783715412</v>
          </cell>
        </row>
      </sheetData>
      <sheetData sheetId="3"/>
      <sheetData sheetId="4"/>
      <sheetData sheetId="5"/>
      <sheetData sheetId="6"/>
      <sheetData sheetId="7">
        <row r="15">
          <cell r="F15">
            <v>127364594.61366889</v>
          </cell>
        </row>
      </sheetData>
      <sheetData sheetId="8"/>
      <sheetData sheetId="9">
        <row r="24">
          <cell r="F24">
            <v>632572.09378937888</v>
          </cell>
        </row>
      </sheetData>
      <sheetData sheetId="10"/>
      <sheetData sheetId="11">
        <row r="11">
          <cell r="E11">
            <v>307647.25199999998</v>
          </cell>
          <cell r="F11">
            <v>282765.93699999998</v>
          </cell>
          <cell r="G11">
            <v>362115.01699999999</v>
          </cell>
          <cell r="H11">
            <v>417964.95900000003</v>
          </cell>
          <cell r="I11">
            <v>323055.45199999999</v>
          </cell>
          <cell r="J11">
            <v>345943.902</v>
          </cell>
          <cell r="K11">
            <v>307948.23</v>
          </cell>
          <cell r="L11">
            <v>361660.27600000001</v>
          </cell>
          <cell r="M11">
            <v>402043.68099999998</v>
          </cell>
        </row>
        <row r="18">
          <cell r="E18">
            <v>4010161.4332736093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42675</v>
          </cell>
          <cell r="B47">
            <v>0.85592373433120617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5.5703125" customWidth="1"/>
    <col min="2" max="2" width="44" customWidth="1"/>
    <col min="3" max="3" width="20.28515625" style="2" customWidth="1"/>
    <col min="4" max="4" width="16.28515625" bestFit="1" customWidth="1"/>
    <col min="5" max="5" width="14.7109375" customWidth="1"/>
    <col min="6" max="6" width="13" bestFit="1" customWidth="1"/>
    <col min="7" max="7" width="12.42578125" bestFit="1" customWidth="1"/>
    <col min="8" max="8" width="13" bestFit="1" customWidth="1"/>
    <col min="9" max="11" width="14" bestFit="1" customWidth="1"/>
    <col min="12" max="12" width="14.140625" bestFit="1" customWidth="1"/>
    <col min="13" max="13" width="13.42578125" bestFit="1" customWidth="1"/>
    <col min="14" max="14" width="11.85546875" bestFit="1" customWidth="1"/>
    <col min="15" max="15" width="11.7109375" hidden="1" customWidth="1"/>
    <col min="16" max="16" width="11.85546875" hidden="1" customWidth="1"/>
    <col min="17" max="17" width="14.5703125" hidden="1" customWidth="1"/>
    <col min="18" max="18" width="14.42578125" hidden="1" customWidth="1"/>
    <col min="19" max="19" width="0" hidden="1" customWidth="1"/>
    <col min="21" max="21" width="11.85546875" bestFit="1" customWidth="1"/>
  </cols>
  <sheetData>
    <row r="1" spans="1:13" x14ac:dyDescent="0.2">
      <c r="A1" s="1" t="str">
        <f>+'[3]Workpaper Index'!$C$4</f>
        <v>Washington Power Cost Adjustment Mechanism</v>
      </c>
    </row>
    <row r="2" spans="1:13" x14ac:dyDescent="0.2">
      <c r="A2" s="1" t="str">
        <f>+'[3]Workpaper Index'!$B$5&amp;" "&amp;'[3]Workpaper Index'!$C$5</f>
        <v>Deferral Period: April 1, 2015 - December 31, 2015</v>
      </c>
    </row>
    <row r="3" spans="1:13" x14ac:dyDescent="0.2">
      <c r="A3" s="1" t="str">
        <f>+'[3]Workpaper Index'!$B$9&amp;": "&amp;'[3]Workpaper Index'!$C$9</f>
        <v>Attachment 1: Power Cost Adjustment Mechanism Calculation</v>
      </c>
    </row>
    <row r="4" spans="1:13" x14ac:dyDescent="0.2">
      <c r="C4" s="3"/>
      <c r="D4" s="4"/>
    </row>
    <row r="5" spans="1:13" ht="25.5" x14ac:dyDescent="0.2">
      <c r="A5" s="5" t="s">
        <v>0</v>
      </c>
      <c r="B5" s="6"/>
      <c r="C5" s="7"/>
      <c r="D5" s="8" t="s">
        <v>1</v>
      </c>
      <c r="E5" s="9"/>
    </row>
    <row r="6" spans="1:13" x14ac:dyDescent="0.2">
      <c r="A6" s="10" t="s">
        <v>2</v>
      </c>
      <c r="B6" s="11"/>
      <c r="C6" s="12"/>
      <c r="D6" s="13"/>
      <c r="E6" s="4"/>
    </row>
    <row r="7" spans="1:13" x14ac:dyDescent="0.2">
      <c r="A7" s="14">
        <v>1</v>
      </c>
      <c r="B7" s="15" t="s">
        <v>3</v>
      </c>
      <c r="C7" s="16" t="str">
        <f>+'[3]Workpaper Index'!B19</f>
        <v>(3.1)</v>
      </c>
      <c r="D7" s="17">
        <f>+'[3](3.1) WA Allocated Base NPC'!F15</f>
        <v>127364594.61366889</v>
      </c>
      <c r="E7" s="18"/>
    </row>
    <row r="8" spans="1:13" x14ac:dyDescent="0.2">
      <c r="A8" s="19">
        <v>2</v>
      </c>
      <c r="B8" t="s">
        <v>4</v>
      </c>
      <c r="C8" s="16" t="str">
        <f>+'[3]Workpaper Index'!B29</f>
        <v>(6.1)</v>
      </c>
      <c r="D8" s="20">
        <f>+'[3](6.1) WA Sales'!E18</f>
        <v>4010161.4332736093</v>
      </c>
      <c r="E8" s="18"/>
    </row>
    <row r="9" spans="1:13" x14ac:dyDescent="0.2">
      <c r="A9" s="19">
        <v>3</v>
      </c>
      <c r="B9" s="1" t="s">
        <v>5</v>
      </c>
      <c r="C9" s="16" t="str">
        <f>"Line "&amp;A7&amp;" / Line "&amp;A8</f>
        <v>Line 1 / Line 2</v>
      </c>
      <c r="D9" s="21">
        <f>+D7/D8</f>
        <v>31.760465690204779</v>
      </c>
      <c r="E9" s="22"/>
      <c r="F9" s="23"/>
    </row>
    <row r="10" spans="1:13" x14ac:dyDescent="0.2">
      <c r="A10" s="24"/>
      <c r="B10" s="11"/>
      <c r="C10" s="16"/>
      <c r="D10" s="25"/>
      <c r="E10" s="4"/>
      <c r="F10" s="4"/>
    </row>
    <row r="11" spans="1:13" x14ac:dyDescent="0.2">
      <c r="A11" s="26" t="s">
        <v>6</v>
      </c>
      <c r="B11" s="27"/>
      <c r="C11" s="16"/>
      <c r="D11" s="28">
        <v>42095</v>
      </c>
      <c r="E11" s="28">
        <f>EDATE(D11,1)</f>
        <v>42125</v>
      </c>
      <c r="F11" s="28">
        <f t="shared" ref="F11:L11" si="0">EDATE(E11,1)</f>
        <v>42156</v>
      </c>
      <c r="G11" s="28">
        <f t="shared" si="0"/>
        <v>42186</v>
      </c>
      <c r="H11" s="28">
        <f t="shared" si="0"/>
        <v>42217</v>
      </c>
      <c r="I11" s="28">
        <f t="shared" si="0"/>
        <v>42248</v>
      </c>
      <c r="J11" s="28">
        <f t="shared" si="0"/>
        <v>42278</v>
      </c>
      <c r="K11" s="28">
        <f t="shared" si="0"/>
        <v>42309</v>
      </c>
      <c r="L11" s="28">
        <f t="shared" si="0"/>
        <v>42339</v>
      </c>
      <c r="M11" s="29" t="s">
        <v>7</v>
      </c>
    </row>
    <row r="12" spans="1:13" x14ac:dyDescent="0.2">
      <c r="A12" s="14">
        <v>4</v>
      </c>
      <c r="B12" s="27" t="s">
        <v>2</v>
      </c>
      <c r="C12" s="16" t="str">
        <f>"Line "&amp;A9</f>
        <v>Line 3</v>
      </c>
      <c r="D12" s="30">
        <f>+$D$9</f>
        <v>31.760465690204779</v>
      </c>
      <c r="E12" s="30">
        <f t="shared" ref="E12:L12" si="1">+$D$9</f>
        <v>31.760465690204779</v>
      </c>
      <c r="F12" s="30">
        <f t="shared" si="1"/>
        <v>31.760465690204779</v>
      </c>
      <c r="G12" s="30">
        <f t="shared" si="1"/>
        <v>31.760465690204779</v>
      </c>
      <c r="H12" s="30">
        <f t="shared" si="1"/>
        <v>31.760465690204779</v>
      </c>
      <c r="I12" s="30">
        <f t="shared" si="1"/>
        <v>31.760465690204779</v>
      </c>
      <c r="J12" s="30">
        <f t="shared" si="1"/>
        <v>31.760465690204779</v>
      </c>
      <c r="K12" s="30">
        <f t="shared" si="1"/>
        <v>31.760465690204779</v>
      </c>
      <c r="L12" s="30">
        <f t="shared" si="1"/>
        <v>31.760465690204779</v>
      </c>
    </row>
    <row r="13" spans="1:13" x14ac:dyDescent="0.2">
      <c r="A13" s="14">
        <v>5</v>
      </c>
      <c r="B13" s="27" t="s">
        <v>8</v>
      </c>
      <c r="C13" s="16" t="str">
        <f>+'[3]Workpaper Index'!$B$29</f>
        <v>(6.1)</v>
      </c>
      <c r="D13" s="31">
        <f>+'[3](6.1) WA Sales'!E11</f>
        <v>307647.25199999998</v>
      </c>
      <c r="E13" s="31">
        <f>+'[3](6.1) WA Sales'!F11</f>
        <v>282765.93699999998</v>
      </c>
      <c r="F13" s="31">
        <f>+'[3](6.1) WA Sales'!G11</f>
        <v>362115.01699999999</v>
      </c>
      <c r="G13" s="31">
        <f>+'[3](6.1) WA Sales'!H11</f>
        <v>417964.95900000003</v>
      </c>
      <c r="H13" s="31">
        <f>+'[3](6.1) WA Sales'!I11</f>
        <v>323055.45199999999</v>
      </c>
      <c r="I13" s="31">
        <f>+'[3](6.1) WA Sales'!J11</f>
        <v>345943.902</v>
      </c>
      <c r="J13" s="31">
        <f>+'[3](6.1) WA Sales'!K11</f>
        <v>307948.23</v>
      </c>
      <c r="K13" s="31">
        <f>+'[3](6.1) WA Sales'!L11</f>
        <v>361660.27600000001</v>
      </c>
      <c r="L13" s="31">
        <f>+'[3](6.1) WA Sales'!M11</f>
        <v>402043.68099999998</v>
      </c>
    </row>
    <row r="14" spans="1:13" x14ac:dyDescent="0.2">
      <c r="A14" s="14">
        <v>6</v>
      </c>
      <c r="B14" s="32" t="s">
        <v>9</v>
      </c>
      <c r="C14" s="33" t="s">
        <v>10</v>
      </c>
      <c r="D14" s="34">
        <f>+D12*D13</f>
        <v>9771019.9918317832</v>
      </c>
      <c r="E14" s="34">
        <f t="shared" ref="E14:L14" si="2">+E12*E13</f>
        <v>8980777.8404471055</v>
      </c>
      <c r="F14" s="34">
        <f t="shared" si="2"/>
        <v>11500941.573336421</v>
      </c>
      <c r="G14" s="34">
        <f t="shared" si="2"/>
        <v>13274761.740027348</v>
      </c>
      <c r="H14" s="34">
        <f t="shared" si="2"/>
        <v>10260391.599279596</v>
      </c>
      <c r="I14" s="34">
        <f t="shared" si="2"/>
        <v>10987339.430206565</v>
      </c>
      <c r="J14" s="34">
        <f t="shared" si="2"/>
        <v>9780579.1932742894</v>
      </c>
      <c r="K14" s="34">
        <f t="shared" si="2"/>
        <v>11486498.787407991</v>
      </c>
      <c r="L14" s="34">
        <f t="shared" si="2"/>
        <v>12769094.536364134</v>
      </c>
      <c r="M14" s="35">
        <f>SUM(D14:L14)</f>
        <v>98811404.692175239</v>
      </c>
    </row>
    <row r="15" spans="1:13" x14ac:dyDescent="0.2">
      <c r="A15" s="14"/>
      <c r="B15" s="36"/>
      <c r="C15" s="37"/>
      <c r="D15" s="38"/>
    </row>
    <row r="16" spans="1:13" x14ac:dyDescent="0.2">
      <c r="A16" s="14">
        <f>MAX($A$11:A15)+1</f>
        <v>7</v>
      </c>
      <c r="B16" s="39" t="s">
        <v>11</v>
      </c>
      <c r="C16" s="16" t="str">
        <f>+'[3]Workpaper Index'!B12</f>
        <v>(2.1)</v>
      </c>
      <c r="D16" s="40">
        <f>+'[3](2.1) WA Allocated Actual NPC'!L80</f>
        <v>9957674.1680574827</v>
      </c>
      <c r="E16" s="40">
        <f>+'[3](2.1) WA Allocated Actual NPC'!M80</f>
        <v>10456338.449304644</v>
      </c>
      <c r="F16" s="40">
        <f>+'[3](2.1) WA Allocated Actual NPC'!N80</f>
        <v>12530290.167660592</v>
      </c>
      <c r="G16" s="40">
        <f>+'[3](2.1) WA Allocated Actual NPC'!O80</f>
        <v>13656207.16739364</v>
      </c>
      <c r="H16" s="40">
        <f>+'[3](2.1) WA Allocated Actual NPC'!P80</f>
        <v>12723297.751404094</v>
      </c>
      <c r="I16" s="40">
        <f>+'[3](2.1) WA Allocated Actual NPC'!Q80</f>
        <v>9948081.3138702735</v>
      </c>
      <c r="J16" s="40">
        <f>+'[3](2.1) WA Allocated Actual NPC'!R80</f>
        <v>10322123.539407983</v>
      </c>
      <c r="K16" s="40">
        <f>+'[3](2.1) WA Allocated Actual NPC'!S80</f>
        <v>10405162.386419855</v>
      </c>
      <c r="L16" s="40">
        <f>+'[3](2.1) WA Allocated Actual NPC'!T80</f>
        <v>11215872.783715412</v>
      </c>
      <c r="M16" s="41">
        <f>SUM(D16:L16)</f>
        <v>101215047.72723396</v>
      </c>
    </row>
    <row r="17" spans="1:21" x14ac:dyDescent="0.2">
      <c r="A17" s="14">
        <f>MAX($A$11:A16)+1</f>
        <v>8</v>
      </c>
      <c r="B17" s="39" t="s">
        <v>12</v>
      </c>
      <c r="C17" s="16" t="str">
        <f>+'[3]Workpaper Index'!B23</f>
        <v>(4.1)</v>
      </c>
      <c r="D17" s="40">
        <f>+'[3](4.1) Actual EIM Costs'!$F$24/12</f>
        <v>52714.341149114909</v>
      </c>
      <c r="E17" s="40">
        <f>+'[3](4.1) Actual EIM Costs'!$F$24/12</f>
        <v>52714.341149114909</v>
      </c>
      <c r="F17" s="40">
        <f>+'[3](4.1) Actual EIM Costs'!$F$24/12</f>
        <v>52714.341149114909</v>
      </c>
      <c r="G17" s="40">
        <f>+'[3](4.1) Actual EIM Costs'!$F$24/12</f>
        <v>52714.341149114909</v>
      </c>
      <c r="H17" s="40">
        <f>+'[3](4.1) Actual EIM Costs'!$F$24/12</f>
        <v>52714.341149114909</v>
      </c>
      <c r="I17" s="40">
        <f>+'[3](4.1) Actual EIM Costs'!$F$24/12</f>
        <v>52714.341149114909</v>
      </c>
      <c r="J17" s="40">
        <f>+'[3](4.1) Actual EIM Costs'!$F$24/12</f>
        <v>52714.341149114909</v>
      </c>
      <c r="K17" s="40">
        <f>+'[3](4.1) Actual EIM Costs'!$F$24/12</f>
        <v>52714.341149114909</v>
      </c>
      <c r="L17" s="40">
        <f>+'[3](4.1) Actual EIM Costs'!$F$24/12</f>
        <v>52714.341149114909</v>
      </c>
      <c r="M17" s="41">
        <f>SUM(D17:L17)</f>
        <v>474429.0703420341</v>
      </c>
    </row>
    <row r="18" spans="1:21" x14ac:dyDescent="0.2">
      <c r="A18" s="14">
        <f>MAX($A$11:A17)+1</f>
        <v>9</v>
      </c>
      <c r="B18" s="39" t="s">
        <v>13</v>
      </c>
      <c r="C18" s="16" t="str">
        <f>"Line "&amp;A16&amp;" + Line "&amp;A17</f>
        <v>Line 7 + Line 8</v>
      </c>
      <c r="D18" s="42">
        <f>SUM(D16:D17)</f>
        <v>10010388.509206597</v>
      </c>
      <c r="E18" s="42">
        <f t="shared" ref="E18:M18" si="3">SUM(E16:E17)</f>
        <v>10509052.790453758</v>
      </c>
      <c r="F18" s="42">
        <f t="shared" si="3"/>
        <v>12583004.508809706</v>
      </c>
      <c r="G18" s="42">
        <f t="shared" si="3"/>
        <v>13708921.508542754</v>
      </c>
      <c r="H18" s="42">
        <f t="shared" si="3"/>
        <v>12776012.092553208</v>
      </c>
      <c r="I18" s="42">
        <f t="shared" si="3"/>
        <v>10000795.655019388</v>
      </c>
      <c r="J18" s="42">
        <f t="shared" si="3"/>
        <v>10374837.880557097</v>
      </c>
      <c r="K18" s="42">
        <f t="shared" si="3"/>
        <v>10457876.727568969</v>
      </c>
      <c r="L18" s="42">
        <f t="shared" si="3"/>
        <v>11268587.124864526</v>
      </c>
      <c r="M18" s="43">
        <f t="shared" si="3"/>
        <v>101689476.797576</v>
      </c>
    </row>
    <row r="19" spans="1:21" x14ac:dyDescent="0.2">
      <c r="A19" s="14"/>
      <c r="B19" s="39"/>
      <c r="C19" s="44"/>
      <c r="D19" s="45"/>
    </row>
    <row r="20" spans="1:21" x14ac:dyDescent="0.2">
      <c r="A20" s="14">
        <f>MAX($A$11:A19)+1</f>
        <v>10</v>
      </c>
      <c r="B20" s="32" t="s">
        <v>14</v>
      </c>
      <c r="C20" s="16" t="str">
        <f>"Line "&amp;A16&amp;" - Line "&amp;A14</f>
        <v>Line 7 - Line 6</v>
      </c>
      <c r="D20" s="34">
        <f t="shared" ref="D20:L20" si="4">+D18-D14</f>
        <v>239368.51737481356</v>
      </c>
      <c r="E20" s="34">
        <f t="shared" si="4"/>
        <v>1528274.9500066526</v>
      </c>
      <c r="F20" s="34">
        <f t="shared" si="4"/>
        <v>1082062.9354732856</v>
      </c>
      <c r="G20" s="34">
        <f t="shared" si="4"/>
        <v>434159.76851540618</v>
      </c>
      <c r="H20" s="34">
        <f t="shared" si="4"/>
        <v>2515620.4932736121</v>
      </c>
      <c r="I20" s="34">
        <f t="shared" si="4"/>
        <v>-986543.77518717758</v>
      </c>
      <c r="J20" s="34">
        <f t="shared" si="4"/>
        <v>594258.68728280813</v>
      </c>
      <c r="K20" s="34">
        <f t="shared" si="4"/>
        <v>-1028622.0598390214</v>
      </c>
      <c r="L20" s="34">
        <f t="shared" si="4"/>
        <v>-1500507.4114996083</v>
      </c>
      <c r="M20" s="46"/>
    </row>
    <row r="21" spans="1:21" ht="25.5" x14ac:dyDescent="0.2">
      <c r="A21" s="14">
        <f>MAX($A$11:A20)+1</f>
        <v>11</v>
      </c>
      <c r="B21" s="32" t="s">
        <v>15</v>
      </c>
      <c r="C21" s="47" t="str">
        <f>"Line "&amp;A20&amp;" + Prior Month Line "&amp;A21</f>
        <v>Line 10 + Prior Month Line 11</v>
      </c>
      <c r="D21" s="48">
        <f>+D20</f>
        <v>239368.51737481356</v>
      </c>
      <c r="E21" s="49">
        <f>+D21+E20</f>
        <v>1767643.4673814662</v>
      </c>
      <c r="F21" s="49">
        <f t="shared" ref="F21:L21" si="5">+E21+F20</f>
        <v>2849706.4028547518</v>
      </c>
      <c r="G21" s="49">
        <f t="shared" si="5"/>
        <v>3283866.171370158</v>
      </c>
      <c r="H21" s="49">
        <f t="shared" si="5"/>
        <v>5799486.6646437701</v>
      </c>
      <c r="I21" s="49">
        <f t="shared" si="5"/>
        <v>4812942.8894565925</v>
      </c>
      <c r="J21" s="49">
        <f t="shared" si="5"/>
        <v>5407201.5767394006</v>
      </c>
      <c r="K21" s="49">
        <f t="shared" si="5"/>
        <v>4378579.5169003792</v>
      </c>
      <c r="L21" s="49">
        <f t="shared" si="5"/>
        <v>2878072.1054007709</v>
      </c>
      <c r="M21" s="50">
        <f>+L21</f>
        <v>2878072.1054007709</v>
      </c>
    </row>
    <row r="22" spans="1:21" x14ac:dyDescent="0.2">
      <c r="A22" s="14"/>
      <c r="B22" s="32"/>
      <c r="C22" s="47"/>
      <c r="D22" s="34"/>
      <c r="E22" s="51"/>
      <c r="F22" s="51"/>
      <c r="G22" s="51"/>
      <c r="H22" s="51"/>
      <c r="I22" s="51"/>
      <c r="J22" s="51"/>
      <c r="K22" s="51"/>
      <c r="L22" s="51"/>
      <c r="M22" s="52"/>
    </row>
    <row r="23" spans="1:21" x14ac:dyDescent="0.2">
      <c r="A23" s="53" t="s">
        <v>16</v>
      </c>
      <c r="B23" s="32"/>
      <c r="C23" s="54"/>
      <c r="D23" s="34"/>
      <c r="E23" s="52"/>
      <c r="F23" s="52"/>
      <c r="G23" s="52"/>
      <c r="H23" s="52"/>
      <c r="I23" s="52"/>
      <c r="J23" s="52"/>
      <c r="K23" s="52"/>
      <c r="L23" s="52"/>
    </row>
    <row r="24" spans="1:21" x14ac:dyDescent="0.2">
      <c r="A24" s="14">
        <f>MAX($A$11:A21)+1</f>
        <v>12</v>
      </c>
      <c r="B24" s="39" t="s">
        <v>17</v>
      </c>
      <c r="C24" s="54"/>
      <c r="D24" s="34"/>
      <c r="E24" s="52"/>
      <c r="F24" s="52"/>
      <c r="G24" s="52"/>
      <c r="H24" s="52"/>
      <c r="I24" s="52"/>
      <c r="J24" s="52"/>
      <c r="K24" s="52"/>
      <c r="L24" s="52"/>
      <c r="M24" s="55">
        <v>3000000</v>
      </c>
      <c r="N24" s="52"/>
      <c r="O24" s="56"/>
      <c r="P24" s="56"/>
      <c r="Q24" s="56"/>
    </row>
    <row r="25" spans="1:21" x14ac:dyDescent="0.2">
      <c r="A25" s="14"/>
      <c r="B25" s="39"/>
      <c r="C25" s="54"/>
      <c r="D25" s="34"/>
      <c r="E25" s="52"/>
      <c r="F25" s="52"/>
      <c r="G25" s="52"/>
      <c r="H25" s="52"/>
      <c r="I25" s="52"/>
      <c r="J25" s="52"/>
      <c r="K25" s="52"/>
      <c r="L25" s="52"/>
      <c r="N25" s="52"/>
      <c r="O25" s="56"/>
      <c r="P25" s="56"/>
      <c r="Q25" s="56"/>
    </row>
    <row r="26" spans="1:21" x14ac:dyDescent="0.2">
      <c r="A26" s="14">
        <f>MAX($A$11:A25)+1</f>
        <v>13</v>
      </c>
      <c r="B26" s="39" t="s">
        <v>18</v>
      </c>
      <c r="C26" s="54"/>
      <c r="D26" s="57">
        <f>IF(OR($M$21&gt;$M$24,$M$21&lt;-$M$24),IF(AND($M$21&gt;$M$24,D21&gt;$M$24),D21-$M$24,0),IF(AND($M$21&lt;-$M$24,D21&lt;-$M$24),D21+$M$24,0))</f>
        <v>0</v>
      </c>
      <c r="E26" s="57">
        <f>IF(OR($M$21&gt;$M$24,$M$21&lt;-$M$24),IF(AND($M$21&gt;$M$24,E21&gt;$M$24),E21-$M$24-D26,0),IF(AND($M$21&lt;-$M$24,E21&lt;-$M$24),E21+$M$24+D26,0))</f>
        <v>0</v>
      </c>
      <c r="F26" s="57">
        <f>IF(OR($M$21&gt;$M$24,$M$21&lt;-$M$24),IF(AND($M$21&gt;$M$24,F21&gt;$M$24),F21-$M$24-SUM($D$26:E26),0),IF(AND($M$21&lt;-$M$24,F21&lt;-$M$24),F21+$M$24+-SUM($D$26:E26),0))</f>
        <v>0</v>
      </c>
      <c r="G26" s="57">
        <f>IF(OR($M$21&gt;$M$24,$M$21&lt;-$M$24),IF(AND($M$21&gt;$M$24,G21&gt;$M$24),G21-$M$24-SUM($D$26:F26),0),IF(AND($M$21&lt;-$M$24,G21&lt;-$M$24),G21+$M$24+-SUM($D$26:F26),0))</f>
        <v>0</v>
      </c>
      <c r="H26" s="57">
        <f>IF(OR($M$21&gt;$M$24,$M$21&lt;-$M$24),IF(AND($M$21&gt;$M$24,H21&gt;$M$24),H21-$M$24-SUM($D$26:G26),0),IF(AND($M$21&lt;-$M$24,H21&lt;-$M$24),H21+$M$24+-SUM($D$26:G26),0))</f>
        <v>0</v>
      </c>
      <c r="I26" s="57">
        <f>IF(OR($M$21&gt;$M$24,$M$21&lt;-$M$24),IF(AND($M$21&gt;$M$24,I21&gt;$M$24),I21-$M$24-SUM($D$26:H26),0),IF(AND($M$21&lt;-$M$24,I21&lt;-$M$24),I21+$M$24+-SUM($D$26:H26),0))</f>
        <v>0</v>
      </c>
      <c r="J26" s="57">
        <f>IF(OR($M$21&gt;$M$24,$M$21&lt;-$M$24),IF(AND($M$21&gt;$M$24,J21&gt;$M$24),J21-$M$24-SUM($D$26:I26),0),IF(AND($M$21&lt;-$M$24,J21&lt;-$M$24),J21+$M$24+-SUM($D$26:I26),0))</f>
        <v>0</v>
      </c>
      <c r="K26" s="57">
        <f>IF(OR($M$21&gt;$M$24,$M$21&lt;-$M$24),IF(AND($M$21&gt;$M$24,K21&gt;$M$24),K21-$M$24-SUM($D$26:J26),0),IF(AND($M$21&lt;-$M$24,K21&lt;-$M$24),K21+$M$24+-SUM($D$26:J26),0))</f>
        <v>0</v>
      </c>
      <c r="L26" s="57">
        <f>IF(OR($M$21&gt;$M$24,$M$21&lt;-$M$24),IF(AND($M$21&gt;$M$24,L21&gt;$M$24),L21-$M$24-SUM($D$26:K26),0),IF(AND($M$21&lt;-$M$24,L21&lt;-$M$24),L21+$M$24+-SUM($D$26:K26),0))</f>
        <v>0</v>
      </c>
      <c r="M26" s="58"/>
      <c r="O26" s="56"/>
      <c r="P26" s="56"/>
      <c r="Q26" s="56"/>
    </row>
    <row r="27" spans="1:21" ht="12.75" customHeight="1" x14ac:dyDescent="0.2">
      <c r="A27" s="14">
        <v>12</v>
      </c>
      <c r="B27" s="39" t="s">
        <v>19</v>
      </c>
      <c r="C27" s="54"/>
      <c r="D27" s="48">
        <f>+D26</f>
        <v>0</v>
      </c>
      <c r="E27" s="48">
        <f>+E26+D27</f>
        <v>0</v>
      </c>
      <c r="F27" s="48">
        <f t="shared" ref="F27:L27" si="6">+F26+E27</f>
        <v>0</v>
      </c>
      <c r="G27" s="48">
        <f t="shared" si="6"/>
        <v>0</v>
      </c>
      <c r="H27" s="48">
        <f t="shared" si="6"/>
        <v>0</v>
      </c>
      <c r="I27" s="48">
        <f t="shared" si="6"/>
        <v>0</v>
      </c>
      <c r="J27" s="48">
        <f t="shared" si="6"/>
        <v>0</v>
      </c>
      <c r="K27" s="48">
        <f t="shared" si="6"/>
        <v>0</v>
      </c>
      <c r="L27" s="48">
        <f t="shared" si="6"/>
        <v>0</v>
      </c>
      <c r="M27" s="48">
        <f>+L27</f>
        <v>0</v>
      </c>
      <c r="O27" s="56"/>
      <c r="P27" s="56"/>
      <c r="Q27" s="56"/>
    </row>
    <row r="28" spans="1:21" x14ac:dyDescent="0.2">
      <c r="A28" s="14"/>
      <c r="B28" s="39"/>
      <c r="C28" s="54"/>
      <c r="D28" s="34"/>
      <c r="E28" s="34"/>
      <c r="F28" s="34"/>
      <c r="G28" s="34"/>
      <c r="H28" s="34"/>
      <c r="I28" s="34"/>
      <c r="J28" s="34"/>
      <c r="K28" s="34"/>
      <c r="L28" s="34"/>
      <c r="M28" s="52"/>
      <c r="O28" s="36" t="s">
        <v>20</v>
      </c>
      <c r="P28" s="56"/>
      <c r="Q28" s="56"/>
    </row>
    <row r="29" spans="1:21" x14ac:dyDescent="0.2">
      <c r="A29" s="36" t="s">
        <v>21</v>
      </c>
      <c r="B29" s="39"/>
      <c r="C29" s="54"/>
      <c r="D29" s="34"/>
      <c r="E29" s="52"/>
      <c r="F29" s="52"/>
      <c r="G29" s="52"/>
      <c r="H29" s="52"/>
      <c r="I29" s="52"/>
      <c r="J29" s="52"/>
      <c r="K29" s="52"/>
      <c r="L29" s="52"/>
      <c r="O29" t="s">
        <v>22</v>
      </c>
      <c r="P29" s="59" t="s">
        <v>23</v>
      </c>
      <c r="Q29" t="s">
        <v>24</v>
      </c>
      <c r="R29" t="s">
        <v>25</v>
      </c>
    </row>
    <row r="30" spans="1:21" ht="25.5" x14ac:dyDescent="0.2">
      <c r="A30" s="14">
        <f>MAX($A$11:A29)+1</f>
        <v>14</v>
      </c>
      <c r="B30" s="60" t="s">
        <v>26</v>
      </c>
      <c r="C30" s="54"/>
      <c r="D30" s="34">
        <f>IF(D27=0,0,IF(AND($M$21&gt;$M$24,$M$21&lt;$P$30),D26*$Q$30,IF(AND($M$21&gt;$P$30,D27&lt;($P$30-$O$30)),D26*$Q$30,IF(AND($M$21&gt;$P$30,D27&gt;($P$30-$O$30)),($P$30-$O$30)*$Q$30,0))))</f>
        <v>0</v>
      </c>
      <c r="E30" s="34">
        <f>IF(E27=0,0,IF(AND($M$21&gt;$M$24,$M$21&lt;$P$30),E26*$Q$30,IF(AND($M$21&gt;$P$30,E27&lt;($P$30-$O$30)),E26*$Q$30,IF(AND($M$21&gt;$P$30,E27&gt;($P$30-$O$30)),(($P$30-$O$30)*$Q$30)-SUM($D$30:D30),0))))</f>
        <v>0</v>
      </c>
      <c r="F30" s="34">
        <f>IF(F27=0,0,IF(AND($M$21&gt;$M$24,$M$21&lt;$P$30),F26*$Q$30,IF(AND($M$21&gt;$P$30,F27&lt;($P$30-$O$30)),F26*$Q$30,IF(AND($M$21&gt;$P$30,F27&gt;($P$30-$O$30)),(($P$30-$O$30)*$Q$30)-SUM($D$30:E30),0))))</f>
        <v>0</v>
      </c>
      <c r="G30" s="34">
        <f>IF(G27=0,0,IF(AND($M$21&gt;$M$24,$M$21&lt;$P$30),G26*$Q$30,IF(AND($M$21&gt;$P$30,G27&lt;($P$30-$O$30)),G26*$Q$30,IF(AND($M$21&gt;$P$30,G27&gt;($P$30-$O$30)),(($P$30-$O$30)*$Q$30)-SUM($D$30:F30),0))))</f>
        <v>0</v>
      </c>
      <c r="H30" s="34">
        <f>IF(H27=0,0,IF(AND($M$21&gt;$M$24,$M$21&lt;$P$30),H26*$Q$30,IF(AND($M$21&gt;$P$30,H27&lt;($P$30-$O$30)),H26*$Q$30,IF(AND($M$21&gt;$P$30,H27&gt;($P$30-$O$30)),(($P$30-$O$30)*$Q$30)-SUM($D$30:G30),0))))</f>
        <v>0</v>
      </c>
      <c r="I30" s="34">
        <f>IF(I27=0,0,IF(AND($M$21&gt;$M$24,$M$21&lt;$P$30),I26*$Q$30,IF(AND($M$21&gt;$P$30,I27&lt;($P$30-$O$30)),I26*$Q$30,IF(AND($M$21&gt;$P$30,I27&gt;($P$30-$O$30)),(($P$30-$O$30)*$Q$30)-SUM($D$30:H30),0))))</f>
        <v>0</v>
      </c>
      <c r="J30" s="34">
        <f>IF(J27=0,0,IF(AND($M$21&gt;$M$24,$M$21&lt;$P$30),J26*$Q$30,IF(AND($M$21&gt;$P$30,J27&lt;($P$30-$O$30)),J26*$Q$30,IF(AND($M$21&gt;$P$30,J27&gt;($P$30-$O$30)),(($P$30-$O$30)*$Q$30)-SUM($D$30:I30),0))))</f>
        <v>0</v>
      </c>
      <c r="K30" s="34">
        <f>IF(K27=0,0,IF(AND($M$21&gt;$M$24,$M$21&lt;$P$30),K26*$Q$30,IF(AND($M$21&gt;$P$30,K27&lt;($P$30-$O$30)),K26*$Q$30,IF(AND($M$21&gt;$P$30,K27&gt;($P$30-$O$30)),(($P$30-$O$30)*$Q$30)-SUM($D$30:J30),0))))</f>
        <v>0</v>
      </c>
      <c r="L30" s="34">
        <f>IF(L27=0,0,IF(AND($M$21&gt;$M$24,$M$21&lt;$P$30),L26*$Q$30,IF(AND($M$21&gt;$P$30,L27&lt;($P$30-$O$30)),L26*$Q$30,IF(AND($M$21&gt;$P$30,L27&gt;($P$30-$O$30)),(($P$30-$O$30)*$Q$30)-SUM($D$30:K30),0))))</f>
        <v>0</v>
      </c>
      <c r="M30" s="61"/>
      <c r="O30" s="17">
        <v>3000000</v>
      </c>
      <c r="P30" s="17">
        <v>7500000</v>
      </c>
      <c r="Q30" s="62">
        <v>0.5</v>
      </c>
      <c r="R30" s="62">
        <v>0.5</v>
      </c>
    </row>
    <row r="31" spans="1:21" ht="25.5" x14ac:dyDescent="0.2">
      <c r="A31" s="14">
        <f>MAX($A$11:A30)+1</f>
        <v>15</v>
      </c>
      <c r="B31" s="60" t="s">
        <v>27</v>
      </c>
      <c r="C31" s="54"/>
      <c r="D31" s="34">
        <f>IF(D27=0,0,IF(AND($M$21&gt;$O$31,D27&gt;($P$30-$O$30)),(D26-(D30/$Q$30))*$Q$31,0))</f>
        <v>0</v>
      </c>
      <c r="E31" s="34">
        <f t="shared" ref="E31:L31" si="7">IF(E27=0,0,IF(AND($M$21&gt;$O$31,E27&gt;($P$30-$O$30)),(E26-(E30/$Q$30))*$Q$31,0))</f>
        <v>0</v>
      </c>
      <c r="F31" s="34">
        <f t="shared" si="7"/>
        <v>0</v>
      </c>
      <c r="G31" s="34">
        <f t="shared" si="7"/>
        <v>0</v>
      </c>
      <c r="H31" s="34">
        <f t="shared" si="7"/>
        <v>0</v>
      </c>
      <c r="I31" s="34">
        <f t="shared" si="7"/>
        <v>0</v>
      </c>
      <c r="J31" s="34">
        <f t="shared" si="7"/>
        <v>0</v>
      </c>
      <c r="K31" s="34">
        <f t="shared" si="7"/>
        <v>0</v>
      </c>
      <c r="L31" s="34">
        <f t="shared" si="7"/>
        <v>0</v>
      </c>
      <c r="M31" s="61"/>
      <c r="O31" s="17">
        <v>7500000</v>
      </c>
      <c r="Q31" s="62">
        <v>0.9</v>
      </c>
      <c r="R31" s="62">
        <v>0.1</v>
      </c>
    </row>
    <row r="32" spans="1:21" ht="25.5" x14ac:dyDescent="0.2">
      <c r="A32" s="14">
        <f>MAX($A$11:A31)+1</f>
        <v>16</v>
      </c>
      <c r="B32" s="60" t="s">
        <v>28</v>
      </c>
      <c r="C32" s="54"/>
      <c r="D32" s="34">
        <f>IF(D27=0,0,IF(AND($M$21&lt;$O$32,$M$21&gt;$P$32),D26*$Q$32,IF(AND($M$21&lt;$P$32,D27&gt;($P$32-$O$32)),D26*$Q$32,IF(AND($M$21&lt;$P$32,D27&lt;($P$32-$O$32)),($P$32-$O$32),0))))</f>
        <v>0</v>
      </c>
      <c r="E32" s="34">
        <f>IF(E27=0,0,IF(AND($M$21&lt;$O$32,$M$21&gt;$P$32),E26*$Q$32,IF(AND($M$21&lt;$P$32,E27&gt;($P$32-$O$32)),E26*$Q$32,IF(AND($M$21&lt;$P$32,E27&lt;($P$32-$O$32)),(($P$32-$O$32)*$Q$32)-SUM($D$32:D32),0))))</f>
        <v>0</v>
      </c>
      <c r="F32" s="34">
        <f>IF(F27=0,0,IF(AND($M$21&lt;$O$32,$M$21&gt;$P$32),F26*$Q$32,IF(AND($M$21&lt;$P$32,F27&gt;($P$32-$O$32)),F26*$Q$32,IF(AND($M$21&lt;$P$32,F27&lt;($P$32-$O$32)),(($P$32-$O$32)*$Q$32)-SUM($D$32:E32),0))))</f>
        <v>0</v>
      </c>
      <c r="G32" s="34">
        <f>IF(G27=0,0,IF(AND($M$21&lt;$O$32,$M$21&gt;$P$32),G26*$Q$32,IF(AND($M$21&lt;$P$32,G27&gt;($P$32-$O$32)),G26*$Q$32,IF(AND($M$21&lt;$P$32,G27&lt;($P$32-$O$32)),(($P$32-$O$32)*$Q$32)-SUM($D$32:F32),0))))</f>
        <v>0</v>
      </c>
      <c r="H32" s="34">
        <f>IF(H27=0,0,IF(AND($M$21&lt;$O$32,$M$21&gt;$P$32),H26*$Q$32,IF(AND($M$21&lt;$P$32,H27&gt;($P$32-$O$32)),H26*$Q$32,IF(AND($M$21&lt;$P$32,H27&lt;($P$32-$O$32)),(($P$32-$O$32)*$Q$32)-SUM($D$32:G32),0))))</f>
        <v>0</v>
      </c>
      <c r="I32" s="34">
        <f>IF(I27=0,0,IF(AND($M$21&lt;$O$32,$M$21&gt;$P$32),I26*$Q$32,IF(AND($M$21&lt;$P$32,I27&gt;($P$32-$O$32)),I26*$Q$32,IF(AND($M$21&lt;$P$32,I27&lt;($P$32-$O$32)),(($P$32-$O$32)*$Q$32)-SUM($D$32:H32),0))))</f>
        <v>0</v>
      </c>
      <c r="J32" s="34">
        <f>IF(J27=0,0,IF(AND($M$21&lt;$O$32,$M$21&gt;$P$32),J26*$Q$32,IF(AND($M$21&lt;$P$32,J27&gt;($P$32-$O$32)),J26*$Q$32,IF(AND($M$21&lt;$P$32,J27&lt;($P$32-$O$32)),(($P$32-$O$32)*$Q$32)-SUM($D$32:I32),0))))</f>
        <v>0</v>
      </c>
      <c r="K32" s="34">
        <f>IF(K27=0,0,IF(AND($M$21&lt;$O$32,$M$21&gt;$P$32),K26*$Q$32,IF(AND($M$21&lt;$P$32,K27&gt;($P$32-$O$32)),K26*$Q$32,IF(AND($M$21&lt;$P$32,K27&lt;($P$32-$O$32)),(($P$32-$O$32)*$Q$32)-SUM($D$32:J32),0))))</f>
        <v>0</v>
      </c>
      <c r="L32" s="34">
        <f>IF(L27=0,0,IF(AND($M$21&lt;$O$32,$M$21&gt;$P$32),L26*$Q$32,IF(AND($M$21&lt;$P$32,L27&gt;($P$32-$O$32)),L26*$Q$32,IF(AND($M$21&lt;$P$32,L27&lt;($P$32-$O$32)),(($P$32-$O$32)*$Q$32)-SUM($D$32:K32),0))))</f>
        <v>0</v>
      </c>
      <c r="M32" s="61"/>
      <c r="O32" s="17">
        <v>-3000000</v>
      </c>
      <c r="P32" s="17">
        <v>-7500000</v>
      </c>
      <c r="Q32" s="62">
        <v>0.75</v>
      </c>
      <c r="R32" s="62">
        <v>0.25</v>
      </c>
      <c r="U32" s="52"/>
    </row>
    <row r="33" spans="1:18" ht="25.5" x14ac:dyDescent="0.2">
      <c r="A33" s="14">
        <f>MAX($A$11:A32)+1</f>
        <v>17</v>
      </c>
      <c r="B33" s="60" t="s">
        <v>29</v>
      </c>
      <c r="C33" s="54"/>
      <c r="D33" s="34">
        <f>IF(D27=0,0,IF(AND($M$21&lt;$O$33,D27&lt;($P$32-$O$32)),(D26-(D32/$Q$32))*$Q$33,0))</f>
        <v>0</v>
      </c>
      <c r="E33" s="34">
        <f t="shared" ref="E33:L33" si="8">IF(E27=0,0,IF(AND($M$21&lt;$O$33,E27&lt;($P$32-$O$32)),(E26-(E32/$Q$32))*$Q$33,0))</f>
        <v>0</v>
      </c>
      <c r="F33" s="34">
        <f t="shared" si="8"/>
        <v>0</v>
      </c>
      <c r="G33" s="34">
        <f t="shared" si="8"/>
        <v>0</v>
      </c>
      <c r="H33" s="34">
        <f t="shared" si="8"/>
        <v>0</v>
      </c>
      <c r="I33" s="34">
        <f t="shared" si="8"/>
        <v>0</v>
      </c>
      <c r="J33" s="34">
        <f t="shared" si="8"/>
        <v>0</v>
      </c>
      <c r="K33" s="34">
        <f t="shared" si="8"/>
        <v>0</v>
      </c>
      <c r="L33" s="34">
        <f t="shared" si="8"/>
        <v>0</v>
      </c>
      <c r="M33" s="61"/>
      <c r="O33" s="17">
        <v>-7500000</v>
      </c>
      <c r="Q33" s="62">
        <v>0.9</v>
      </c>
      <c r="R33" s="62">
        <v>0.1</v>
      </c>
    </row>
    <row r="34" spans="1:18" x14ac:dyDescent="0.2">
      <c r="A34" s="14"/>
      <c r="B34" s="60"/>
      <c r="C34" s="54"/>
      <c r="D34" s="63"/>
      <c r="E34" s="63"/>
      <c r="F34" s="63"/>
      <c r="G34" s="63"/>
      <c r="H34" s="63"/>
      <c r="I34" s="63"/>
      <c r="J34" s="63"/>
      <c r="K34" s="63"/>
      <c r="L34" s="63"/>
      <c r="M34" s="64"/>
    </row>
    <row r="35" spans="1:18" x14ac:dyDescent="0.2">
      <c r="A35" s="14">
        <f>MAX($A$11:A34)+1</f>
        <v>18</v>
      </c>
      <c r="B35" s="65" t="s">
        <v>30</v>
      </c>
      <c r="C35" s="54"/>
      <c r="D35" s="66">
        <f>SUM(D30:D33)</f>
        <v>0</v>
      </c>
      <c r="E35" s="66">
        <f t="shared" ref="E35:L35" si="9">SUM(E30:E33)</f>
        <v>0</v>
      </c>
      <c r="F35" s="66">
        <f t="shared" si="9"/>
        <v>0</v>
      </c>
      <c r="G35" s="66">
        <f t="shared" si="9"/>
        <v>0</v>
      </c>
      <c r="H35" s="66">
        <f t="shared" si="9"/>
        <v>0</v>
      </c>
      <c r="I35" s="66">
        <f t="shared" si="9"/>
        <v>0</v>
      </c>
      <c r="J35" s="66">
        <f t="shared" si="9"/>
        <v>0</v>
      </c>
      <c r="K35" s="66">
        <f t="shared" si="9"/>
        <v>0</v>
      </c>
      <c r="L35" s="66">
        <f t="shared" si="9"/>
        <v>0</v>
      </c>
      <c r="M35" s="66">
        <f>SUM(D35:L35)</f>
        <v>0</v>
      </c>
    </row>
    <row r="36" spans="1:18" x14ac:dyDescent="0.2">
      <c r="A36" s="14"/>
      <c r="B36" s="60"/>
      <c r="C36" s="54"/>
      <c r="D36" s="67"/>
      <c r="K36" s="52"/>
      <c r="L36" s="56"/>
    </row>
    <row r="37" spans="1:18" x14ac:dyDescent="0.2">
      <c r="A37" s="14">
        <f>MAX($A$11:A36)+1</f>
        <v>19</v>
      </c>
      <c r="B37" s="60" t="s">
        <v>31</v>
      </c>
      <c r="C37" s="2" t="s">
        <v>32</v>
      </c>
      <c r="D37" s="68">
        <v>3.2500000000000001E-2</v>
      </c>
      <c r="E37" s="68">
        <f>+D37</f>
        <v>3.2500000000000001E-2</v>
      </c>
      <c r="F37" s="68">
        <f>+E37</f>
        <v>3.2500000000000001E-2</v>
      </c>
      <c r="G37" s="69">
        <f t="shared" ref="G37:L37" si="10">+F37</f>
        <v>3.2500000000000001E-2</v>
      </c>
      <c r="H37" s="69">
        <f t="shared" si="10"/>
        <v>3.2500000000000001E-2</v>
      </c>
      <c r="I37" s="69">
        <f t="shared" si="10"/>
        <v>3.2500000000000001E-2</v>
      </c>
      <c r="J37" s="69">
        <f t="shared" si="10"/>
        <v>3.2500000000000001E-2</v>
      </c>
      <c r="K37" s="69">
        <f t="shared" si="10"/>
        <v>3.2500000000000001E-2</v>
      </c>
      <c r="L37" s="69">
        <f t="shared" si="10"/>
        <v>3.2500000000000001E-2</v>
      </c>
    </row>
    <row r="38" spans="1:18" x14ac:dyDescent="0.2">
      <c r="A38" s="14"/>
      <c r="B38" s="70"/>
      <c r="C38" s="44"/>
      <c r="D38" s="71"/>
    </row>
    <row r="39" spans="1:18" x14ac:dyDescent="0.2">
      <c r="A39" s="14">
        <f>MAX($A$11:A38)+1</f>
        <v>20</v>
      </c>
      <c r="B39" s="32" t="s">
        <v>33</v>
      </c>
      <c r="C39" s="44"/>
      <c r="D39" s="72">
        <v>0</v>
      </c>
      <c r="E39" s="17">
        <f>+D42</f>
        <v>0</v>
      </c>
      <c r="F39" s="17">
        <f t="shared" ref="F39:L39" si="11">+E42</f>
        <v>0</v>
      </c>
      <c r="G39" s="17">
        <f t="shared" si="11"/>
        <v>0</v>
      </c>
      <c r="H39" s="17">
        <f t="shared" si="11"/>
        <v>0</v>
      </c>
      <c r="I39" s="17">
        <f t="shared" si="11"/>
        <v>0</v>
      </c>
      <c r="J39" s="17">
        <f t="shared" si="11"/>
        <v>0</v>
      </c>
      <c r="K39" s="17">
        <f t="shared" si="11"/>
        <v>0</v>
      </c>
      <c r="L39" s="17">
        <f t="shared" si="11"/>
        <v>0</v>
      </c>
      <c r="N39" s="73"/>
    </row>
    <row r="40" spans="1:18" x14ac:dyDescent="0.2">
      <c r="A40" s="14">
        <f>MAX($A$11:A39)+1</f>
        <v>21</v>
      </c>
      <c r="B40" s="32" t="s">
        <v>34</v>
      </c>
      <c r="C40" s="16" t="str">
        <f>"Line "&amp;A39</f>
        <v>Line 20</v>
      </c>
      <c r="D40" s="74">
        <f>+D35</f>
        <v>0</v>
      </c>
      <c r="E40" s="74">
        <f t="shared" ref="E40:L40" si="12">+E35</f>
        <v>0</v>
      </c>
      <c r="F40" s="74">
        <f t="shared" si="12"/>
        <v>0</v>
      </c>
      <c r="G40" s="74">
        <f t="shared" si="12"/>
        <v>0</v>
      </c>
      <c r="H40" s="74">
        <f t="shared" si="12"/>
        <v>0</v>
      </c>
      <c r="I40" s="74">
        <f t="shared" si="12"/>
        <v>0</v>
      </c>
      <c r="J40" s="74">
        <f t="shared" si="12"/>
        <v>0</v>
      </c>
      <c r="K40" s="74">
        <f t="shared" si="12"/>
        <v>0</v>
      </c>
      <c r="L40" s="74">
        <f t="shared" si="12"/>
        <v>0</v>
      </c>
      <c r="N40" s="74"/>
    </row>
    <row r="41" spans="1:18" ht="25.5" x14ac:dyDescent="0.2">
      <c r="A41" s="14">
        <f>MAX($A$11:A40)+1</f>
        <v>22</v>
      </c>
      <c r="B41" s="75" t="s">
        <v>35</v>
      </c>
      <c r="C41" s="44" t="str">
        <f>"[Line "&amp;A39&amp;"  + (Line "&amp;A40&amp;" x 50%)] x Line "&amp;A37&amp;"/12"</f>
        <v>[Line 20  + (Line 21 x 50%)] x Line 19/12</v>
      </c>
      <c r="D41" s="76">
        <f>+((D40*0.5)+D39)*D37/12</f>
        <v>0</v>
      </c>
      <c r="E41" s="76">
        <f t="shared" ref="E41:L41" si="13">+((E40*0.5)+E39)*E37/12</f>
        <v>0</v>
      </c>
      <c r="F41" s="76">
        <f t="shared" si="13"/>
        <v>0</v>
      </c>
      <c r="G41" s="77">
        <f t="shared" si="13"/>
        <v>0</v>
      </c>
      <c r="H41" s="77">
        <f t="shared" si="13"/>
        <v>0</v>
      </c>
      <c r="I41" s="77">
        <f t="shared" si="13"/>
        <v>0</v>
      </c>
      <c r="J41" s="77">
        <f t="shared" si="13"/>
        <v>0</v>
      </c>
      <c r="K41" s="77">
        <f t="shared" si="13"/>
        <v>0</v>
      </c>
      <c r="L41" s="77">
        <f t="shared" si="13"/>
        <v>0</v>
      </c>
      <c r="M41" s="4"/>
    </row>
    <row r="42" spans="1:18" ht="13.5" thickBot="1" x14ac:dyDescent="0.25">
      <c r="A42" s="14">
        <f>MAX($A$11:A41)+1</f>
        <v>23</v>
      </c>
      <c r="B42" s="70" t="s">
        <v>36</v>
      </c>
      <c r="C42" s="44"/>
      <c r="D42" s="78">
        <f>SUM(D39:D41)</f>
        <v>0</v>
      </c>
      <c r="E42" s="78">
        <f t="shared" ref="E42:L42" si="14">SUM(E39:E41)</f>
        <v>0</v>
      </c>
      <c r="F42" s="78">
        <f t="shared" si="14"/>
        <v>0</v>
      </c>
      <c r="G42" s="78">
        <f t="shared" si="14"/>
        <v>0</v>
      </c>
      <c r="H42" s="78">
        <f t="shared" si="14"/>
        <v>0</v>
      </c>
      <c r="I42" s="78">
        <f t="shared" si="14"/>
        <v>0</v>
      </c>
      <c r="J42" s="78">
        <f t="shared" si="14"/>
        <v>0</v>
      </c>
      <c r="K42" s="78">
        <f t="shared" si="14"/>
        <v>0</v>
      </c>
      <c r="L42" s="78">
        <f t="shared" si="14"/>
        <v>0</v>
      </c>
      <c r="M42" s="79"/>
    </row>
    <row r="43" spans="1:18" ht="13.5" thickTop="1" x14ac:dyDescent="0.2">
      <c r="M43" s="4"/>
    </row>
  </sheetData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FA19844A8FB4A889BA5FFC36CCB9E" ma:contentTypeVersion="96" ma:contentTypeDescription="" ma:contentTypeScope="" ma:versionID="6ee09c3f1f97ccb9d7175652a852ab5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2016-06-01T07:00:00+00:00</OpenedDate>
    <Date1 xmlns="dc463f71-b30c-4ab2-9473-d307f9d35888">2016-06-01T07:00:00+00:00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160783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6387CAA-2C3D-4FBC-806D-FBCF945DA48E}"/>
</file>

<file path=customXml/itemProps2.xml><?xml version="1.0" encoding="utf-8"?>
<ds:datastoreItem xmlns:ds="http://schemas.openxmlformats.org/officeDocument/2006/customXml" ds:itemID="{D1BCF338-6405-4CFF-BCF5-9B2CBE43FFC6}"/>
</file>

<file path=customXml/itemProps3.xml><?xml version="1.0" encoding="utf-8"?>
<ds:datastoreItem xmlns:ds="http://schemas.openxmlformats.org/officeDocument/2006/customXml" ds:itemID="{EE527C5C-38AD-45AB-A8C3-0C9642981018}"/>
</file>

<file path=customXml/itemProps4.xml><?xml version="1.0" encoding="utf-8"?>
<ds:datastoreItem xmlns:ds="http://schemas.openxmlformats.org/officeDocument/2006/customXml" ds:itemID="{84796A71-F6A8-4FAA-B9A4-E95C58AA6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1 PCAM Calculation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2016-06-01T21:18:48Z</dcterms:created>
  <dcterms:modified xsi:type="dcterms:W3CDTF">2016-06-01T21:18:53Z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0x0101006E56B4D1795A2E4DB2F0B01679ED314A0053EFA19844A8FB4A889BA5FFC36CCB9E</vt:lpwstr>
  </property>
  <property fmtid="{D5CDD505-2E9C-101B-9397-08002B2CF9AE}" pid="4" name="_docset_NoMedatataSyncRequired">
    <vt:lpwstr>False</vt:lpwstr>
  </property>
</Properties>
</file>