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THIS WEEK\1. Monday May 05-16-2016\TG-160XXX City Sanitary and Joe's Refuse\"/>
    </mc:Choice>
  </mc:AlternateContent>
  <bookViews>
    <workbookView xWindow="120" yWindow="120" windowWidth="28380" windowHeight="10160"/>
  </bookViews>
  <sheets>
    <sheet name="Designated RSA-1 Comm Credit" sheetId="1" r:id="rId1"/>
    <sheet name="Joe's Comm Credit" sheetId="2" r:id="rId2"/>
  </sheets>
  <definedNames>
    <definedName name="_xlnm.Print_Area" localSheetId="0">'Designated RSA-1 Comm Credit'!$A$1:$N$35</definedName>
    <definedName name="_xlnm.Print_Area" localSheetId="1">'Joe''s Comm Credit'!$A$1:$N$66</definedName>
    <definedName name="_xlnm.Print_Titles" localSheetId="0">'Designated RSA-1 Comm Credit'!$A:$A</definedName>
  </definedNames>
  <calcPr calcId="152511" concurrentManualCount="4"/>
</workbook>
</file>

<file path=xl/calcChain.xml><?xml version="1.0" encoding="utf-8"?>
<calcChain xmlns="http://schemas.openxmlformats.org/spreadsheetml/2006/main">
  <c r="C14" i="2" l="1"/>
  <c r="D14" i="2"/>
  <c r="E14" i="2"/>
  <c r="F14" i="2"/>
  <c r="G14" i="2"/>
  <c r="H14" i="2"/>
  <c r="I14" i="2"/>
  <c r="J14" i="2"/>
  <c r="K14" i="2"/>
  <c r="L14" i="2"/>
  <c r="M14" i="2"/>
  <c r="B14" i="2"/>
  <c r="M46" i="2" l="1"/>
  <c r="L46" i="2"/>
  <c r="K46" i="2"/>
  <c r="J46" i="2"/>
  <c r="I46" i="2"/>
  <c r="H46" i="2"/>
  <c r="G46" i="2"/>
  <c r="F46" i="2"/>
  <c r="E46" i="2"/>
  <c r="D46" i="2"/>
  <c r="C46" i="2"/>
  <c r="B46" i="2"/>
  <c r="M45" i="2"/>
  <c r="M14" i="1" s="1"/>
  <c r="M18" i="1" s="1"/>
  <c r="M20" i="1" s="1"/>
  <c r="K45" i="2"/>
  <c r="J45" i="2"/>
  <c r="F45" i="2"/>
  <c r="E45" i="2"/>
  <c r="D45" i="2"/>
  <c r="C45" i="2"/>
  <c r="B45" i="2"/>
  <c r="M38" i="2"/>
  <c r="L38" i="2"/>
  <c r="K38" i="2"/>
  <c r="J38" i="2"/>
  <c r="I38" i="2"/>
  <c r="H38" i="2"/>
  <c r="G38" i="2"/>
  <c r="F38" i="2"/>
  <c r="E38" i="2"/>
  <c r="D38" i="2"/>
  <c r="C38" i="2"/>
  <c r="B38" i="2"/>
  <c r="L45" i="2"/>
  <c r="I45" i="2"/>
  <c r="H45" i="2"/>
  <c r="G45" i="2"/>
  <c r="N16" i="1"/>
  <c r="L14" i="1"/>
  <c r="L18" i="1" s="1"/>
  <c r="L20" i="1" s="1"/>
  <c r="K14" i="1"/>
  <c r="K18" i="1" s="1"/>
  <c r="K20" i="1" s="1"/>
  <c r="J14" i="1"/>
  <c r="J18" i="1" s="1"/>
  <c r="J20" i="1" s="1"/>
  <c r="I14" i="1"/>
  <c r="I18" i="1" s="1"/>
  <c r="I20" i="1" s="1"/>
  <c r="H14" i="1"/>
  <c r="H18" i="1" s="1"/>
  <c r="H20" i="1" s="1"/>
  <c r="G14" i="1"/>
  <c r="G18" i="1" s="1"/>
  <c r="G20" i="1" s="1"/>
  <c r="F14" i="1"/>
  <c r="F18" i="1" s="1"/>
  <c r="F20" i="1" s="1"/>
  <c r="E14" i="1"/>
  <c r="E18" i="1" s="1"/>
  <c r="E20" i="1" s="1"/>
  <c r="D14" i="1"/>
  <c r="D18" i="1" s="1"/>
  <c r="D20" i="1" s="1"/>
  <c r="C14" i="1"/>
  <c r="C18" i="1" s="1"/>
  <c r="C20" i="1" s="1"/>
  <c r="B14" i="1"/>
  <c r="B18" i="1" s="1"/>
  <c r="B20" i="1" s="1"/>
  <c r="N9" i="1"/>
  <c r="F50" i="2" l="1"/>
  <c r="G50" i="2"/>
  <c r="E49" i="2"/>
  <c r="B50" i="2"/>
  <c r="D49" i="2"/>
  <c r="H49" i="2"/>
  <c r="L49" i="2"/>
  <c r="M49" i="2"/>
  <c r="B49" i="2"/>
  <c r="F49" i="2"/>
  <c r="I49" i="2"/>
  <c r="C50" i="2"/>
  <c r="K50" i="2"/>
  <c r="J49" i="2"/>
  <c r="N20" i="1"/>
  <c r="N22" i="1" s="1"/>
  <c r="J18" i="2"/>
  <c r="C18" i="2"/>
  <c r="G18" i="2"/>
  <c r="K18" i="2"/>
  <c r="N21" i="2"/>
  <c r="N53" i="2"/>
  <c r="N14" i="1"/>
  <c r="N23" i="1" s="1"/>
  <c r="F18" i="2"/>
  <c r="D18" i="2"/>
  <c r="H18" i="2"/>
  <c r="L18" i="2"/>
  <c r="B42" i="2" l="1"/>
  <c r="H42" i="2"/>
  <c r="F51" i="2"/>
  <c r="F55" i="2" s="1"/>
  <c r="F57" i="2" s="1"/>
  <c r="D42" i="2"/>
  <c r="D50" i="2"/>
  <c r="D51" i="2" s="1"/>
  <c r="D55" i="2" s="1"/>
  <c r="D57" i="2" s="1"/>
  <c r="L42" i="2"/>
  <c r="L50" i="2"/>
  <c r="L51" i="2" s="1"/>
  <c r="L55" i="2" s="1"/>
  <c r="L57" i="2" s="1"/>
  <c r="F42" i="2"/>
  <c r="J50" i="2"/>
  <c r="J51" i="2" s="1"/>
  <c r="J55" i="2" s="1"/>
  <c r="J57" i="2" s="1"/>
  <c r="L17" i="2"/>
  <c r="L19" i="2" s="1"/>
  <c r="L23" i="2" s="1"/>
  <c r="L25" i="2" s="1"/>
  <c r="L11" i="2"/>
  <c r="K42" i="2"/>
  <c r="K49" i="2"/>
  <c r="K51" i="2" s="1"/>
  <c r="K55" i="2" s="1"/>
  <c r="K57" i="2" s="1"/>
  <c r="E17" i="2"/>
  <c r="I17" i="2"/>
  <c r="B11" i="2"/>
  <c r="B17" i="2"/>
  <c r="H50" i="2"/>
  <c r="H51" i="2" s="1"/>
  <c r="H55" i="2" s="1"/>
  <c r="H57" i="2" s="1"/>
  <c r="E18" i="2"/>
  <c r="H17" i="2"/>
  <c r="H19" i="2" s="1"/>
  <c r="H23" i="2" s="1"/>
  <c r="H25" i="2" s="1"/>
  <c r="H11" i="2"/>
  <c r="J17" i="2"/>
  <c r="J19" i="2" s="1"/>
  <c r="J23" i="2" s="1"/>
  <c r="J25" i="2" s="1"/>
  <c r="J11" i="2"/>
  <c r="B51" i="2"/>
  <c r="B55" i="2" s="1"/>
  <c r="B57" i="2" s="1"/>
  <c r="M17" i="2"/>
  <c r="M11" i="2"/>
  <c r="B18" i="2"/>
  <c r="C42" i="2"/>
  <c r="C49" i="2"/>
  <c r="C51" i="2" s="1"/>
  <c r="C55" i="2" s="1"/>
  <c r="C57" i="2" s="1"/>
  <c r="G42" i="2"/>
  <c r="G49" i="2"/>
  <c r="G51" i="2" s="1"/>
  <c r="G55" i="2" s="1"/>
  <c r="G57" i="2" s="1"/>
  <c r="I18" i="2"/>
  <c r="D17" i="2"/>
  <c r="D19" i="2" s="1"/>
  <c r="D23" i="2" s="1"/>
  <c r="D25" i="2" s="1"/>
  <c r="D11" i="2"/>
  <c r="N24" i="1"/>
  <c r="N27" i="1" s="1"/>
  <c r="F17" i="2"/>
  <c r="F19" i="2" s="1"/>
  <c r="F23" i="2" s="1"/>
  <c r="F25" i="2" s="1"/>
  <c r="F11" i="2"/>
  <c r="N40" i="2"/>
  <c r="N28" i="1" l="1"/>
  <c r="P27" i="1"/>
  <c r="J42" i="2"/>
  <c r="N9" i="2"/>
  <c r="I11" i="2"/>
  <c r="I50" i="2"/>
  <c r="I51" i="2" s="1"/>
  <c r="I55" i="2" s="1"/>
  <c r="I57" i="2" s="1"/>
  <c r="I42" i="2"/>
  <c r="M50" i="2"/>
  <c r="M51" i="2" s="1"/>
  <c r="M55" i="2" s="1"/>
  <c r="M57" i="2" s="1"/>
  <c r="M42" i="2"/>
  <c r="K17" i="2"/>
  <c r="K19" i="2" s="1"/>
  <c r="K23" i="2" s="1"/>
  <c r="K25" i="2" s="1"/>
  <c r="K11" i="2"/>
  <c r="N10" i="2"/>
  <c r="M18" i="2"/>
  <c r="N18" i="2" s="1"/>
  <c r="E11" i="2"/>
  <c r="C17" i="2"/>
  <c r="C19" i="2" s="1"/>
  <c r="C23" i="2" s="1"/>
  <c r="C25" i="2" s="1"/>
  <c r="C11" i="2"/>
  <c r="G17" i="2"/>
  <c r="G19" i="2" s="1"/>
  <c r="G23" i="2" s="1"/>
  <c r="G25" i="2" s="1"/>
  <c r="G11" i="2"/>
  <c r="E42" i="2"/>
  <c r="E50" i="2"/>
  <c r="N41" i="2"/>
  <c r="N42" i="2" s="1"/>
  <c r="B19" i="2"/>
  <c r="B23" i="2" s="1"/>
  <c r="B25" i="2" s="1"/>
  <c r="N49" i="2"/>
  <c r="I19" i="2"/>
  <c r="I23" i="2" s="1"/>
  <c r="I25" i="2" s="1"/>
  <c r="E19" i="2"/>
  <c r="E23" i="2" s="1"/>
  <c r="E25" i="2" s="1"/>
  <c r="N11" i="2" l="1"/>
  <c r="N17" i="2"/>
  <c r="N19" i="2" s="1"/>
  <c r="N28" i="2" s="1"/>
  <c r="N50" i="2"/>
  <c r="N51" i="2" s="1"/>
  <c r="N60" i="2" s="1"/>
  <c r="E51" i="2"/>
  <c r="E55" i="2" s="1"/>
  <c r="E57" i="2" s="1"/>
  <c r="N57" i="2" s="1"/>
  <c r="N59" i="2" s="1"/>
  <c r="M19" i="2"/>
  <c r="M23" i="2" s="1"/>
  <c r="M25" i="2" s="1"/>
  <c r="N61" i="2" l="1"/>
  <c r="N64" i="2" s="1"/>
  <c r="N25" i="2"/>
  <c r="N27" i="2" l="1"/>
  <c r="N29" i="2" s="1"/>
  <c r="N32" i="2" s="1"/>
  <c r="N65" i="2"/>
  <c r="O64" i="2"/>
  <c r="N33" i="2" l="1"/>
  <c r="O32" i="2"/>
</calcChain>
</file>

<file path=xl/sharedStrings.xml><?xml version="1.0" encoding="utf-8"?>
<sst xmlns="http://schemas.openxmlformats.org/spreadsheetml/2006/main" count="71" uniqueCount="26">
  <si>
    <t>Lewis Co.,  RSA-1</t>
  </si>
  <si>
    <t>12-Month</t>
  </si>
  <si>
    <t>Total</t>
  </si>
  <si>
    <t>Tons</t>
  </si>
  <si>
    <t>Co-Mingled</t>
  </si>
  <si>
    <t>Price per Ton</t>
  </si>
  <si>
    <t>Revenue</t>
  </si>
  <si>
    <t>Customers</t>
  </si>
  <si>
    <t>Actual Rev/Cust</t>
  </si>
  <si>
    <t>Projected Rev/Cust</t>
  </si>
  <si>
    <t>12-Month Average:</t>
  </si>
  <si>
    <t>New Credit:</t>
  </si>
  <si>
    <t>Old Credit:</t>
  </si>
  <si>
    <t>Change:</t>
  </si>
  <si>
    <t>12-Month Revenue Impact:</t>
  </si>
  <si>
    <t>Joe's Thurston  County</t>
  </si>
  <si>
    <t>Glass</t>
  </si>
  <si>
    <t>Total Tons</t>
  </si>
  <si>
    <t>Multi-Family</t>
  </si>
  <si>
    <t>Total Revenue</t>
  </si>
  <si>
    <t>Harold LeMay Enterprises, Inc. G-98</t>
  </si>
  <si>
    <t>Commodity Credit Calculation</t>
  </si>
  <si>
    <t>Over/(Under) Earned</t>
  </si>
  <si>
    <t>Single Family</t>
  </si>
  <si>
    <t>Over (Under) Earned:</t>
  </si>
  <si>
    <t>Effective July 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</si>
</sst>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"/>
    <numFmt numFmtId="167" formatCode="_(&quot;$&quot;* #,##0_);_(&quot;$&quot;* \(#,##0\);_(&quot;$&quot;* &quot;-&quot;??_);_(@_)"/>
    <numFmt numFmtId="168" formatCode="0.0%"/>
    <numFmt numFmtId="169" formatCode="&quot;$&quot;#,##0"/>
    <numFmt numFmtId="170" formatCode="General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Border="0" applyAlignment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41" fontId="1" fillId="0" borderId="0"/>
    <xf numFmtId="41" fontId="1" fillId="0" borderId="0"/>
    <xf numFmtId="41" fontId="1" fillId="0" borderId="0"/>
    <xf numFmtId="41" fontId="1" fillId="0" borderId="0"/>
    <xf numFmtId="0" fontId="10" fillId="10" borderId="0" applyNumberFormat="0" applyBorder="0" applyAlignment="0" applyProtection="0"/>
    <xf numFmtId="3" fontId="1" fillId="0" borderId="0"/>
    <xf numFmtId="3" fontId="1" fillId="0" borderId="0"/>
    <xf numFmtId="3" fontId="1" fillId="0" borderId="0"/>
    <xf numFmtId="3" fontId="1" fillId="0" borderId="0"/>
    <xf numFmtId="0" fontId="11" fillId="11" borderId="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" fillId="0" borderId="0"/>
    <xf numFmtId="0" fontId="12" fillId="0" borderId="0"/>
    <xf numFmtId="0" fontId="12" fillId="0" borderId="0"/>
    <xf numFmtId="0" fontId="13" fillId="12" borderId="3" applyAlignment="0">
      <alignment horizontal="right"/>
      <protection locked="0"/>
    </xf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13" borderId="0">
      <alignment horizontal="right"/>
      <protection locked="0"/>
    </xf>
    <xf numFmtId="2" fontId="14" fillId="13" borderId="0">
      <alignment horizontal="right"/>
      <protection locked="0"/>
    </xf>
    <xf numFmtId="0" fontId="15" fillId="1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3" fontId="21" fillId="15" borderId="0">
      <protection locked="0"/>
    </xf>
    <xf numFmtId="4" fontId="21" fillId="15" borderId="0">
      <protection locked="0"/>
    </xf>
    <xf numFmtId="0" fontId="22" fillId="0" borderId="7" applyNumberFormat="0" applyFill="0" applyAlignment="0" applyProtection="0"/>
    <xf numFmtId="0" fontId="23" fillId="4" borderId="0" applyNumberFormat="0" applyBorder="0" applyAlignment="0" applyProtection="0"/>
    <xf numFmtId="43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24" fillId="0" borderId="0"/>
    <xf numFmtId="0" fontId="5" fillId="0" borderId="0">
      <alignment vertical="top"/>
    </xf>
    <xf numFmtId="0" fontId="1" fillId="0" borderId="0"/>
    <xf numFmtId="0" fontId="1" fillId="0" borderId="0"/>
    <xf numFmtId="0" fontId="5" fillId="0" borderId="0"/>
    <xf numFmtId="0" fontId="1" fillId="0" borderId="0">
      <alignment vertical="top"/>
    </xf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16" borderId="8" applyNumberFormat="0" applyFont="0" applyAlignment="0" applyProtection="0"/>
    <xf numFmtId="168" fontId="25" fillId="0" borderId="0" applyNumberFormat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ont="0" applyFill="0" applyBorder="0" applyAlignment="0" applyProtection="0">
      <alignment horizontal="left"/>
    </xf>
    <xf numFmtId="0" fontId="27" fillId="0" borderId="1">
      <alignment horizont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8" fillId="0" borderId="9" applyNumberFormat="0" applyFill="0" applyAlignment="0" applyProtection="0"/>
  </cellStyleXfs>
  <cellXfs count="99">
    <xf numFmtId="0" fontId="0" fillId="0" borderId="0" xfId="0"/>
    <xf numFmtId="0" fontId="1" fillId="0" borderId="0" xfId="4" applyFill="1"/>
    <xf numFmtId="43" fontId="1" fillId="0" borderId="0" xfId="1" applyFill="1"/>
    <xf numFmtId="0" fontId="2" fillId="0" borderId="0" xfId="4" applyFont="1" applyFill="1"/>
    <xf numFmtId="17" fontId="2" fillId="0" borderId="0" xfId="4" applyNumberFormat="1" applyFont="1" applyFill="1" applyBorder="1" applyAlignment="1">
      <alignment horizontal="center"/>
    </xf>
    <xf numFmtId="165" fontId="1" fillId="0" borderId="0" xfId="1" applyNumberFormat="1" applyFill="1"/>
    <xf numFmtId="0" fontId="1" fillId="0" borderId="0" xfId="4" applyFont="1" applyFill="1" applyBorder="1" applyAlignment="1">
      <alignment horizontal="center"/>
    </xf>
    <xf numFmtId="0" fontId="1" fillId="0" borderId="0" xfId="4" applyFont="1" applyFill="1" applyBorder="1"/>
    <xf numFmtId="3" fontId="1" fillId="0" borderId="0" xfId="1" applyNumberFormat="1" applyFill="1" applyBorder="1"/>
    <xf numFmtId="3" fontId="1" fillId="0" borderId="0" xfId="4" applyNumberFormat="1" applyFill="1" applyBorder="1"/>
    <xf numFmtId="44" fontId="1" fillId="0" borderId="0" xfId="2" applyFont="1" applyFill="1"/>
    <xf numFmtId="167" fontId="1" fillId="0" borderId="0" xfId="2" applyNumberFormat="1" applyFill="1"/>
    <xf numFmtId="167" fontId="1" fillId="0" borderId="0" xfId="2" applyNumberFormat="1" applyFill="1" applyBorder="1"/>
    <xf numFmtId="165" fontId="1" fillId="0" borderId="0" xfId="4" applyNumberFormat="1" applyFill="1"/>
    <xf numFmtId="3" fontId="1" fillId="0" borderId="0" xfId="1" applyNumberFormat="1" applyFill="1"/>
    <xf numFmtId="165" fontId="1" fillId="0" borderId="0" xfId="1" applyNumberFormat="1" applyFont="1" applyFill="1"/>
    <xf numFmtId="165" fontId="1" fillId="0" borderId="0" xfId="1" applyNumberFormat="1" applyFill="1" applyAlignment="1">
      <alignment horizontal="left"/>
    </xf>
    <xf numFmtId="44" fontId="1" fillId="0" borderId="0" xfId="2" applyFill="1"/>
    <xf numFmtId="44" fontId="1" fillId="0" borderId="0" xfId="2" applyFill="1" applyBorder="1"/>
    <xf numFmtId="166" fontId="1" fillId="0" borderId="0" xfId="4" applyNumberFormat="1" applyFill="1"/>
    <xf numFmtId="166" fontId="1" fillId="0" borderId="0" xfId="1" applyNumberFormat="1" applyFill="1"/>
    <xf numFmtId="44" fontId="2" fillId="0" borderId="0" xfId="2" applyFont="1" applyFill="1"/>
    <xf numFmtId="165" fontId="1" fillId="0" borderId="0" xfId="1" applyNumberFormat="1" applyFill="1" applyBorder="1"/>
    <xf numFmtId="165" fontId="1" fillId="0" borderId="0" xfId="1" applyNumberFormat="1" applyFont="1" applyFill="1" applyAlignment="1">
      <alignment horizontal="right"/>
    </xf>
    <xf numFmtId="4" fontId="1" fillId="0" borderId="0" xfId="4" applyNumberFormat="1" applyFill="1" applyBorder="1"/>
    <xf numFmtId="4" fontId="1" fillId="0" borderId="0" xfId="1" applyNumberFormat="1" applyFill="1" applyBorder="1"/>
    <xf numFmtId="165" fontId="0" fillId="0" borderId="0" xfId="1" applyNumberFormat="1" applyFont="1" applyFill="1" applyAlignment="1">
      <alignment horizontal="left"/>
    </xf>
    <xf numFmtId="0" fontId="1" fillId="0" borderId="0" xfId="4" applyFont="1" applyFill="1" applyAlignment="1">
      <alignment horizontal="right"/>
    </xf>
    <xf numFmtId="0" fontId="1" fillId="0" borderId="0" xfId="4" applyFont="1" applyFill="1"/>
    <xf numFmtId="0" fontId="0" fillId="0" borderId="0" xfId="4" applyFont="1" applyFill="1"/>
    <xf numFmtId="0" fontId="1" fillId="0" borderId="0" xfId="5" applyFill="1" applyBorder="1" applyAlignment="1">
      <alignment horizontal="center"/>
    </xf>
    <xf numFmtId="43" fontId="1" fillId="0" borderId="0" xfId="1" applyFill="1" applyBorder="1"/>
    <xf numFmtId="0" fontId="1" fillId="0" borderId="0" xfId="5" applyFill="1" applyAlignment="1">
      <alignment horizontal="center"/>
    </xf>
    <xf numFmtId="17" fontId="2" fillId="0" borderId="1" xfId="4" applyNumberFormat="1" applyFont="1" applyFill="1" applyBorder="1" applyAlignment="1">
      <alignment horizontal="center"/>
    </xf>
    <xf numFmtId="4" fontId="1" fillId="0" borderId="0" xfId="4" applyNumberFormat="1" applyFill="1"/>
    <xf numFmtId="43" fontId="2" fillId="0" borderId="0" xfId="1" applyFont="1" applyFill="1"/>
    <xf numFmtId="43" fontId="2" fillId="0" borderId="0" xfId="1" applyFont="1" applyFill="1" applyBorder="1"/>
    <xf numFmtId="43" fontId="1" fillId="0" borderId="0" xfId="1" applyFont="1" applyFill="1"/>
    <xf numFmtId="43" fontId="1" fillId="0" borderId="0" xfId="4" applyNumberFormat="1" applyFill="1"/>
    <xf numFmtId="0" fontId="1" fillId="0" borderId="0" xfId="4" applyFill="1" applyBorder="1"/>
    <xf numFmtId="44" fontId="1" fillId="0" borderId="0" xfId="2" applyFont="1" applyFill="1" applyBorder="1"/>
    <xf numFmtId="4" fontId="1" fillId="0" borderId="0" xfId="1" applyNumberFormat="1" applyFill="1"/>
    <xf numFmtId="167" fontId="1" fillId="0" borderId="0" xfId="2" applyNumberFormat="1" applyFont="1" applyFill="1"/>
    <xf numFmtId="167" fontId="2" fillId="0" borderId="0" xfId="2" applyNumberFormat="1" applyFont="1" applyFill="1"/>
    <xf numFmtId="167" fontId="2" fillId="0" borderId="0" xfId="2" applyNumberFormat="1" applyFont="1" applyFill="1" applyBorder="1"/>
    <xf numFmtId="165" fontId="1" fillId="0" borderId="0" xfId="4" applyNumberFormat="1" applyFill="1" applyBorder="1"/>
    <xf numFmtId="166" fontId="1" fillId="0" borderId="0" xfId="1" applyNumberFormat="1" applyFont="1" applyFill="1"/>
    <xf numFmtId="10" fontId="0" fillId="0" borderId="0" xfId="3" applyNumberFormat="1" applyFont="1" applyFill="1" applyAlignment="1">
      <alignment horizontal="left"/>
    </xf>
    <xf numFmtId="37" fontId="1" fillId="0" borderId="0" xfId="1" applyNumberFormat="1" applyFill="1"/>
    <xf numFmtId="43" fontId="1" fillId="0" borderId="0" xfId="4" applyNumberFormat="1" applyFill="1" applyBorder="1"/>
    <xf numFmtId="0" fontId="2" fillId="0" borderId="0" xfId="4" applyFont="1" applyFill="1" applyAlignment="1">
      <alignment horizontal="left"/>
    </xf>
    <xf numFmtId="0" fontId="1" fillId="0" borderId="0" xfId="4" applyFill="1" applyAlignment="1">
      <alignment horizontal="center"/>
    </xf>
    <xf numFmtId="0" fontId="2" fillId="0" borderId="0" xfId="4" applyFont="1" applyFill="1" applyAlignment="1">
      <alignment horizontal="center"/>
    </xf>
    <xf numFmtId="164" fontId="1" fillId="0" borderId="0" xfId="4" applyNumberFormat="1" applyFill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43" fontId="1" fillId="0" borderId="0" xfId="1" applyNumberFormat="1" applyFill="1"/>
    <xf numFmtId="4" fontId="1" fillId="0" borderId="0" xfId="4" applyNumberFormat="1" applyFont="1" applyFill="1"/>
    <xf numFmtId="5" fontId="1" fillId="0" borderId="0" xfId="4" applyNumberFormat="1" applyFill="1"/>
    <xf numFmtId="44" fontId="2" fillId="0" borderId="0" xfId="2" applyFont="1" applyFill="1" applyBorder="1"/>
    <xf numFmtId="168" fontId="1" fillId="0" borderId="0" xfId="3" applyNumberFormat="1" applyFont="1" applyFill="1" applyAlignment="1">
      <alignment horizontal="right"/>
    </xf>
    <xf numFmtId="7" fontId="1" fillId="0" borderId="0" xfId="4" applyNumberFormat="1" applyFill="1"/>
    <xf numFmtId="165" fontId="1" fillId="0" borderId="0" xfId="1" applyNumberFormat="1" applyFont="1" applyFill="1" applyAlignment="1">
      <alignment horizontal="left"/>
    </xf>
    <xf numFmtId="169" fontId="1" fillId="0" borderId="0" xfId="1" applyNumberFormat="1" applyFill="1"/>
    <xf numFmtId="169" fontId="1" fillId="0" borderId="0" xfId="4" applyNumberFormat="1" applyFill="1"/>
    <xf numFmtId="43" fontId="1" fillId="0" borderId="0" xfId="1" applyFont="1" applyFill="1" applyAlignment="1">
      <alignment horizontal="right"/>
    </xf>
    <xf numFmtId="1" fontId="1" fillId="0" borderId="0" xfId="1" applyNumberFormat="1" applyFill="1"/>
    <xf numFmtId="43" fontId="2" fillId="0" borderId="0" xfId="4" applyNumberFormat="1" applyFont="1" applyFill="1"/>
    <xf numFmtId="44" fontId="2" fillId="0" borderId="0" xfId="4" applyNumberFormat="1" applyFont="1" applyFill="1" applyBorder="1"/>
    <xf numFmtId="44" fontId="1" fillId="0" borderId="0" xfId="2" applyFont="1" applyFill="1" applyAlignment="1">
      <alignment horizontal="right"/>
    </xf>
    <xf numFmtId="44" fontId="2" fillId="0" borderId="0" xfId="2" applyFont="1" applyFill="1" applyAlignment="1">
      <alignment horizontal="right"/>
    </xf>
    <xf numFmtId="43" fontId="2" fillId="0" borderId="0" xfId="1" applyFont="1" applyFill="1" applyBorder="1" applyAlignment="1">
      <alignment horizontal="right"/>
    </xf>
    <xf numFmtId="0" fontId="0" fillId="0" borderId="0" xfId="4" applyFont="1" applyFill="1" applyBorder="1"/>
    <xf numFmtId="44" fontId="1" fillId="0" borderId="0" xfId="4" applyNumberFormat="1" applyFill="1" applyBorder="1"/>
    <xf numFmtId="165" fontId="2" fillId="0" borderId="0" xfId="1" applyNumberFormat="1" applyFont="1" applyFill="1" applyAlignment="1">
      <alignment horizontal="right"/>
    </xf>
    <xf numFmtId="10" fontId="1" fillId="0" borderId="0" xfId="3" applyNumberFormat="1" applyFont="1" applyFill="1" applyAlignment="1">
      <alignment horizontal="right"/>
    </xf>
    <xf numFmtId="0" fontId="2" fillId="0" borderId="0" xfId="4" applyFont="1" applyFill="1" applyBorder="1"/>
    <xf numFmtId="0" fontId="0" fillId="0" borderId="0" xfId="5" applyFont="1" applyFill="1" applyBorder="1" applyAlignment="1">
      <alignment horizontal="center"/>
    </xf>
    <xf numFmtId="0" fontId="1" fillId="0" borderId="0" xfId="4" applyFont="1" applyFill="1" applyAlignment="1">
      <alignment horizontal="center"/>
    </xf>
    <xf numFmtId="0" fontId="2" fillId="0" borderId="1" xfId="4" applyFont="1" applyFill="1" applyBorder="1" applyAlignment="1">
      <alignment horizontal="center"/>
    </xf>
    <xf numFmtId="164" fontId="1" fillId="0" borderId="0" xfId="4" applyNumberFormat="1" applyFill="1" applyBorder="1"/>
    <xf numFmtId="0" fontId="6" fillId="0" borderId="0" xfId="4" applyFont="1" applyFill="1" applyAlignment="1">
      <alignment horizontal="center"/>
    </xf>
    <xf numFmtId="17" fontId="2" fillId="0" borderId="0" xfId="4" quotePrefix="1" applyNumberFormat="1" applyFont="1" applyFill="1" applyBorder="1" applyAlignment="1">
      <alignment horizontal="center"/>
    </xf>
    <xf numFmtId="4" fontId="1" fillId="0" borderId="0" xfId="4" applyNumberFormat="1" applyFont="1" applyFill="1" applyBorder="1"/>
    <xf numFmtId="43" fontId="2" fillId="0" borderId="0" xfId="1" applyNumberFormat="1" applyFont="1" applyFill="1" applyBorder="1"/>
    <xf numFmtId="43" fontId="1" fillId="0" borderId="0" xfId="1" applyNumberFormat="1" applyFont="1" applyFill="1" applyBorder="1"/>
    <xf numFmtId="3" fontId="2" fillId="0" borderId="0" xfId="1" applyNumberFormat="1" applyFont="1" applyFill="1"/>
    <xf numFmtId="3" fontId="2" fillId="0" borderId="0" xfId="4" applyNumberFormat="1" applyFont="1" applyFill="1"/>
    <xf numFmtId="0" fontId="1" fillId="0" borderId="0" xfId="4" applyFill="1" applyAlignment="1">
      <alignment horizontal="right"/>
    </xf>
    <xf numFmtId="3" fontId="1" fillId="0" borderId="0" xfId="4" applyNumberFormat="1" applyFill="1"/>
    <xf numFmtId="0" fontId="1" fillId="0" borderId="0" xfId="1" applyNumberFormat="1" applyFill="1"/>
    <xf numFmtId="0" fontId="2" fillId="0" borderId="0" xfId="1" applyNumberFormat="1" applyFont="1" applyFill="1"/>
    <xf numFmtId="37" fontId="1" fillId="0" borderId="0" xfId="4" applyNumberFormat="1" applyFill="1"/>
    <xf numFmtId="0" fontId="1" fillId="0" borderId="0" xfId="1" applyNumberFormat="1" applyFont="1" applyFill="1"/>
    <xf numFmtId="0" fontId="4" fillId="0" borderId="0" xfId="4" applyFont="1" applyFill="1"/>
    <xf numFmtId="43" fontId="1" fillId="0" borderId="0" xfId="1" applyNumberFormat="1" applyFont="1" applyFill="1" applyAlignment="1">
      <alignment horizontal="left"/>
    </xf>
    <xf numFmtId="10" fontId="1" fillId="0" borderId="0" xfId="3" applyNumberFormat="1" applyFill="1"/>
    <xf numFmtId="43" fontId="1" fillId="0" borderId="0" xfId="6" applyFill="1"/>
    <xf numFmtId="44" fontId="1" fillId="0" borderId="0" xfId="64" applyFont="1" applyFill="1"/>
  </cellXfs>
  <cellStyles count="135">
    <cellStyle name="20% - Accent1 2" xfId="9"/>
    <cellStyle name="20% - Accent4 2" xfId="10"/>
    <cellStyle name="40% - Accent1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Accent1 2" xfId="20"/>
    <cellStyle name="Accent2 2" xfId="21"/>
    <cellStyle name="Accent3 2" xfId="22"/>
    <cellStyle name="Accent6 2" xfId="23"/>
    <cellStyle name="Accounting" xfId="24"/>
    <cellStyle name="Accounting 2" xfId="25"/>
    <cellStyle name="Accounting 3" xfId="26"/>
    <cellStyle name="Accounting_Thurston" xfId="27"/>
    <cellStyle name="Bad 2" xfId="28"/>
    <cellStyle name="Budget" xfId="29"/>
    <cellStyle name="Budget 2" xfId="30"/>
    <cellStyle name="Budget 3" xfId="31"/>
    <cellStyle name="Budget_Thurston" xfId="32"/>
    <cellStyle name="Calculation 2" xfId="33"/>
    <cellStyle name="Comma" xfId="1" builtinId="3"/>
    <cellStyle name="Comma 10" xfId="34"/>
    <cellStyle name="Comma 11" xfId="35"/>
    <cellStyle name="Comma 12" xfId="36"/>
    <cellStyle name="Comma 13" xfId="37"/>
    <cellStyle name="Comma 14" xfId="38"/>
    <cellStyle name="Comma 15" xfId="39"/>
    <cellStyle name="Comma 16" xfId="40"/>
    <cellStyle name="Comma 2" xfId="6"/>
    <cellStyle name="Comma 2 2" xfId="41"/>
    <cellStyle name="Comma 2 3" xfId="42"/>
    <cellStyle name="Comma 3" xfId="43"/>
    <cellStyle name="Comma 3 2" xfId="44"/>
    <cellStyle name="Comma 3 2 2" xfId="45"/>
    <cellStyle name="Comma 3 3" xfId="46"/>
    <cellStyle name="Comma 4" xfId="47"/>
    <cellStyle name="Comma 4 2" xfId="48"/>
    <cellStyle name="Comma 4 3" xfId="49"/>
    <cellStyle name="Comma 4 4" xfId="50"/>
    <cellStyle name="Comma 4 5" xfId="51"/>
    <cellStyle name="Comma 5" xfId="52"/>
    <cellStyle name="Comma 6" xfId="53"/>
    <cellStyle name="Comma 7" xfId="54"/>
    <cellStyle name="Comma 8" xfId="55"/>
    <cellStyle name="Comma 9" xfId="56"/>
    <cellStyle name="Comma(2)" xfId="57"/>
    <cellStyle name="Comma0 - Style2" xfId="58"/>
    <cellStyle name="Comma1 - Style1" xfId="59"/>
    <cellStyle name="Comments" xfId="60"/>
    <cellStyle name="Currency" xfId="2" builtinId="4"/>
    <cellStyle name="Currency 2" xfId="7"/>
    <cellStyle name="Currency 2 2" xfId="61"/>
    <cellStyle name="Currency 3" xfId="62"/>
    <cellStyle name="Currency 4" xfId="63"/>
    <cellStyle name="Currency 5" xfId="64"/>
    <cellStyle name="Currency 6" xfId="65"/>
    <cellStyle name="Currency 7" xfId="66"/>
    <cellStyle name="Data Enter" xfId="67"/>
    <cellStyle name="FactSheet" xfId="68"/>
    <cellStyle name="Good 2" xfId="69"/>
    <cellStyle name="Heading 1 2" xfId="70"/>
    <cellStyle name="Heading 2 2" xfId="71"/>
    <cellStyle name="Heading 3 2" xfId="72"/>
    <cellStyle name="Hyperlink 2" xfId="73"/>
    <cellStyle name="Hyperlink 3" xfId="74"/>
    <cellStyle name="input(0)" xfId="75"/>
    <cellStyle name="Input(2)" xfId="76"/>
    <cellStyle name="Linked Cell 2" xfId="77"/>
    <cellStyle name="Neutral 2" xfId="78"/>
    <cellStyle name="New_normal" xfId="79"/>
    <cellStyle name="Normal" xfId="0" builtinId="0"/>
    <cellStyle name="Normal - Style1" xfId="80"/>
    <cellStyle name="Normal - Style2" xfId="81"/>
    <cellStyle name="Normal - Style3" xfId="82"/>
    <cellStyle name="Normal - Style4" xfId="83"/>
    <cellStyle name="Normal - Style5" xfId="84"/>
    <cellStyle name="Normal 10" xfId="85"/>
    <cellStyle name="Normal 11" xfId="86"/>
    <cellStyle name="Normal 12" xfId="87"/>
    <cellStyle name="Normal 13" xfId="88"/>
    <cellStyle name="Normal 14" xfId="89"/>
    <cellStyle name="Normal 15" xfId="90"/>
    <cellStyle name="Normal 16" xfId="91"/>
    <cellStyle name="Normal 17" xfId="92"/>
    <cellStyle name="Normal 18" xfId="93"/>
    <cellStyle name="Normal 19" xfId="94"/>
    <cellStyle name="Normal 2" xfId="95"/>
    <cellStyle name="Normal 2 2" xfId="96"/>
    <cellStyle name="Normal 2 2 2" xfId="97"/>
    <cellStyle name="Normal 2 2 3" xfId="98"/>
    <cellStyle name="Normal 2 2_Commodities Data" xfId="99"/>
    <cellStyle name="Normal 2 3" xfId="100"/>
    <cellStyle name="Normal 2 3 2" xfId="101"/>
    <cellStyle name="Normal 2 3 3" xfId="102"/>
    <cellStyle name="Normal 2 4" xfId="103"/>
    <cellStyle name="Normal 2 5" xfId="104"/>
    <cellStyle name="Normal 2_2180 Payroll Schedule 8-22-2011" xfId="105"/>
    <cellStyle name="Normal 3" xfId="106"/>
    <cellStyle name="Normal 3 2" xfId="107"/>
    <cellStyle name="Normal 3_70148 Region Allocation" xfId="108"/>
    <cellStyle name="Normal 4" xfId="109"/>
    <cellStyle name="Normal 5" xfId="110"/>
    <cellStyle name="Normal 5 2" xfId="111"/>
    <cellStyle name="Normal 5_2183 UTC Depreciation 3 31 2012 Heather 6-6-2012" xfId="112"/>
    <cellStyle name="Normal 6" xfId="113"/>
    <cellStyle name="Normal 7" xfId="114"/>
    <cellStyle name="Normal 8" xfId="115"/>
    <cellStyle name="Normal 9" xfId="116"/>
    <cellStyle name="Normal_Joe's 1-1-2004" xfId="4"/>
    <cellStyle name="Normal_Pacific 1-1-06" xfId="5"/>
    <cellStyle name="Note 2" xfId="117"/>
    <cellStyle name="Notes" xfId="118"/>
    <cellStyle name="Percent" xfId="3" builtinId="5"/>
    <cellStyle name="Percent 2" xfId="119"/>
    <cellStyle name="Percent 2 2" xfId="120"/>
    <cellStyle name="Percent 3" xfId="121"/>
    <cellStyle name="Percent 4" xfId="122"/>
    <cellStyle name="Percent(1)" xfId="123"/>
    <cellStyle name="Percent(2)" xfId="124"/>
    <cellStyle name="PRM" xfId="125"/>
    <cellStyle name="PRM 2" xfId="126"/>
    <cellStyle name="PRM 3" xfId="127"/>
    <cellStyle name="PRM_Thurston" xfId="128"/>
    <cellStyle name="PSChar" xfId="129"/>
    <cellStyle name="PSHeading" xfId="130"/>
    <cellStyle name="Style 1" xfId="131"/>
    <cellStyle name="Style 1 2" xfId="132"/>
    <cellStyle name="Style 1_Recycle Center Commodities MRF" xfId="133"/>
    <cellStyle name="STYLE1" xfId="8"/>
    <cellStyle name="Total 2" xfId="1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I36"/>
  <sheetViews>
    <sheetView tabSelected="1" zoomScaleNormal="100" workbookViewId="0">
      <pane xSplit="1" ySplit="6" topLeftCell="B7" activePane="bottomRight" state="frozen"/>
      <selection activeCell="G25" sqref="G25"/>
      <selection pane="topRight" activeCell="G25" sqref="G25"/>
      <selection pane="bottomLeft" activeCell="G25" sqref="G25"/>
      <selection pane="bottomRight" activeCell="P27" sqref="P27"/>
    </sheetView>
  </sheetViews>
  <sheetFormatPr defaultColWidth="9.1796875" defaultRowHeight="12.5" x14ac:dyDescent="0.25"/>
  <cols>
    <col min="1" max="1" width="24" style="1" customWidth="1"/>
    <col min="2" max="5" width="10.81640625" style="1" bestFit="1" customWidth="1"/>
    <col min="6" max="9" width="12.453125" style="1" bestFit="1" customWidth="1"/>
    <col min="10" max="10" width="11.26953125" style="1" customWidth="1"/>
    <col min="11" max="12" width="12.453125" style="1" bestFit="1" customWidth="1"/>
    <col min="13" max="13" width="12.26953125" style="1" customWidth="1"/>
    <col min="14" max="14" width="11.81640625" style="1" bestFit="1" customWidth="1"/>
    <col min="15" max="15" width="2.1796875" style="2" customWidth="1"/>
    <col min="16" max="16" width="9.1796875" style="1"/>
    <col min="17" max="17" width="12" style="1" customWidth="1"/>
    <col min="18" max="16384" width="9.1796875" style="1"/>
  </cols>
  <sheetData>
    <row r="1" spans="1:35" ht="13" x14ac:dyDescent="0.3">
      <c r="A1" s="3" t="s">
        <v>20</v>
      </c>
    </row>
    <row r="2" spans="1:35" ht="13" x14ac:dyDescent="0.3">
      <c r="A2" s="50" t="s">
        <v>0</v>
      </c>
    </row>
    <row r="3" spans="1:35" ht="13" x14ac:dyDescent="0.3">
      <c r="A3" s="3" t="s">
        <v>21</v>
      </c>
    </row>
    <row r="4" spans="1:35" ht="13" x14ac:dyDescent="0.3">
      <c r="A4" s="3" t="s">
        <v>25</v>
      </c>
      <c r="N4" s="51"/>
    </row>
    <row r="5" spans="1:35" ht="13" x14ac:dyDescent="0.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52" t="s">
        <v>1</v>
      </c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</row>
    <row r="6" spans="1:35" ht="13.5" thickBot="1" x14ac:dyDescent="0.35">
      <c r="A6" s="51"/>
      <c r="B6" s="33">
        <v>42155</v>
      </c>
      <c r="C6" s="33">
        <v>42185</v>
      </c>
      <c r="D6" s="33">
        <v>42216</v>
      </c>
      <c r="E6" s="33">
        <v>42247</v>
      </c>
      <c r="F6" s="33">
        <v>42277</v>
      </c>
      <c r="G6" s="33">
        <v>42308</v>
      </c>
      <c r="H6" s="33">
        <v>42338</v>
      </c>
      <c r="I6" s="33">
        <v>42369</v>
      </c>
      <c r="J6" s="33">
        <v>42400</v>
      </c>
      <c r="K6" s="33">
        <v>42429</v>
      </c>
      <c r="L6" s="33">
        <v>42460</v>
      </c>
      <c r="M6" s="33">
        <v>42490</v>
      </c>
      <c r="N6" s="54" t="s">
        <v>2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</row>
    <row r="7" spans="1:35" ht="12.75" customHeight="1" x14ac:dyDescent="0.2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6"/>
    </row>
    <row r="8" spans="1:35" ht="12.75" customHeight="1" x14ac:dyDescent="0.3">
      <c r="A8" s="3" t="s">
        <v>3</v>
      </c>
      <c r="N8" s="7"/>
    </row>
    <row r="9" spans="1:35" x14ac:dyDescent="0.25">
      <c r="A9" s="28" t="s">
        <v>4</v>
      </c>
      <c r="B9" s="37">
        <v>141.88000000000002</v>
      </c>
      <c r="C9" s="37">
        <v>148.55000000000001</v>
      </c>
      <c r="D9" s="37">
        <v>160.03000000000003</v>
      </c>
      <c r="E9" s="37">
        <v>150.19499999999996</v>
      </c>
      <c r="F9" s="37">
        <v>153.94500000000002</v>
      </c>
      <c r="G9" s="37">
        <v>148.29000000000002</v>
      </c>
      <c r="H9" s="37">
        <v>151.24</v>
      </c>
      <c r="I9" s="37">
        <v>167.06500000000003</v>
      </c>
      <c r="J9" s="37">
        <v>156.84999999999997</v>
      </c>
      <c r="K9" s="37">
        <v>156.86500000000001</v>
      </c>
      <c r="L9" s="37">
        <v>166.01000000000002</v>
      </c>
      <c r="M9" s="37">
        <v>152.83500000000001</v>
      </c>
      <c r="N9" s="31">
        <f>SUM(B9:M9)</f>
        <v>1853.7550000000001</v>
      </c>
      <c r="P9" s="57"/>
      <c r="Q9" s="34"/>
      <c r="R9" s="57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8"/>
      <c r="P10" s="28"/>
    </row>
    <row r="11" spans="1:35" ht="13" x14ac:dyDescent="0.3">
      <c r="A11" s="3" t="s">
        <v>5</v>
      </c>
      <c r="N11" s="9"/>
    </row>
    <row r="12" spans="1:35" x14ac:dyDescent="0.25">
      <c r="A12" s="28" t="s">
        <v>4</v>
      </c>
      <c r="B12" s="98">
        <v>56.230000000000004</v>
      </c>
      <c r="C12" s="98">
        <v>59.11</v>
      </c>
      <c r="D12" s="98">
        <v>54.41</v>
      </c>
      <c r="E12" s="98">
        <v>45.49</v>
      </c>
      <c r="F12" s="98">
        <v>45.13</v>
      </c>
      <c r="G12" s="98">
        <v>47.19</v>
      </c>
      <c r="H12" s="98">
        <v>45.21</v>
      </c>
      <c r="I12" s="98">
        <v>37.22</v>
      </c>
      <c r="J12" s="98">
        <v>28.82</v>
      </c>
      <c r="K12" s="98">
        <v>26.54</v>
      </c>
      <c r="L12" s="98">
        <v>35.24</v>
      </c>
      <c r="M12" s="98">
        <v>43.06</v>
      </c>
      <c r="N12" s="18"/>
      <c r="P12" s="19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</row>
    <row r="13" spans="1:35" x14ac:dyDescent="0.25">
      <c r="N13" s="9"/>
    </row>
    <row r="14" spans="1:35" ht="13" x14ac:dyDescent="0.3">
      <c r="A14" s="3" t="s">
        <v>6</v>
      </c>
      <c r="B14" s="11">
        <f t="shared" ref="B14:M14" si="0">+B9*B12</f>
        <v>7977.912400000002</v>
      </c>
      <c r="C14" s="11">
        <f t="shared" si="0"/>
        <v>8780.790500000001</v>
      </c>
      <c r="D14" s="11">
        <f t="shared" si="0"/>
        <v>8707.2323000000015</v>
      </c>
      <c r="E14" s="11">
        <f t="shared" si="0"/>
        <v>6832.3705499999987</v>
      </c>
      <c r="F14" s="11">
        <f t="shared" si="0"/>
        <v>6947.5378500000015</v>
      </c>
      <c r="G14" s="11">
        <f t="shared" si="0"/>
        <v>6997.8051000000005</v>
      </c>
      <c r="H14" s="11">
        <f t="shared" si="0"/>
        <v>6837.5604000000003</v>
      </c>
      <c r="I14" s="11">
        <f t="shared" si="0"/>
        <v>6218.1593000000012</v>
      </c>
      <c r="J14" s="11">
        <f t="shared" si="0"/>
        <v>4520.4169999999995</v>
      </c>
      <c r="K14" s="11">
        <f t="shared" si="0"/>
        <v>4163.1971000000003</v>
      </c>
      <c r="L14" s="11">
        <f t="shared" si="0"/>
        <v>5850.1924000000008</v>
      </c>
      <c r="M14" s="11">
        <f t="shared" si="0"/>
        <v>6581.0751000000009</v>
      </c>
      <c r="N14" s="12">
        <f>SUM(B14:M14)</f>
        <v>80414.250000000015</v>
      </c>
      <c r="P14" s="58"/>
      <c r="Q14" s="13"/>
    </row>
    <row r="15" spans="1:35" x14ac:dyDescent="0.25">
      <c r="E15" s="28"/>
      <c r="N15" s="9"/>
    </row>
    <row r="16" spans="1:35" s="5" customFormat="1" ht="13" x14ac:dyDescent="0.3">
      <c r="A16" s="3" t="s">
        <v>7</v>
      </c>
      <c r="B16" s="15">
        <v>9369</v>
      </c>
      <c r="C16" s="15">
        <v>9402</v>
      </c>
      <c r="D16" s="15">
        <v>9481</v>
      </c>
      <c r="E16" s="15">
        <v>9468</v>
      </c>
      <c r="F16" s="15">
        <v>9469</v>
      </c>
      <c r="G16" s="15">
        <v>9456</v>
      </c>
      <c r="H16" s="15">
        <v>9410</v>
      </c>
      <c r="I16" s="15">
        <v>9314</v>
      </c>
      <c r="J16" s="15">
        <v>9288</v>
      </c>
      <c r="K16" s="15">
        <v>9308</v>
      </c>
      <c r="L16" s="15">
        <v>9349</v>
      </c>
      <c r="M16" s="15">
        <v>9436</v>
      </c>
      <c r="N16" s="22">
        <f>SUM(B16:M16)</f>
        <v>112750</v>
      </c>
      <c r="O16" s="2"/>
      <c r="P16" s="14"/>
      <c r="Q16" s="13"/>
      <c r="R16" s="15"/>
    </row>
    <row r="17" spans="1:18" s="5" customFormat="1" x14ac:dyDescent="0.25">
      <c r="A17" s="16"/>
      <c r="N17" s="8"/>
      <c r="O17" s="2"/>
      <c r="P17" s="14"/>
      <c r="Q17" s="13"/>
      <c r="R17" s="15"/>
    </row>
    <row r="18" spans="1:18" x14ac:dyDescent="0.25">
      <c r="A18" s="1" t="s">
        <v>8</v>
      </c>
      <c r="B18" s="17">
        <f t="shared" ref="B18:M18" si="1">+IFERROR(B14/B16,0)</f>
        <v>0.85152229693670634</v>
      </c>
      <c r="C18" s="17">
        <f t="shared" si="1"/>
        <v>0.93392794086364617</v>
      </c>
      <c r="D18" s="17">
        <f t="shared" si="1"/>
        <v>0.91838754350806895</v>
      </c>
      <c r="E18" s="17">
        <f t="shared" si="1"/>
        <v>0.72162764575411897</v>
      </c>
      <c r="F18" s="17">
        <f t="shared" si="1"/>
        <v>0.73371399831027584</v>
      </c>
      <c r="G18" s="17">
        <f t="shared" si="1"/>
        <v>0.74003861040609142</v>
      </c>
      <c r="H18" s="17">
        <f t="shared" si="1"/>
        <v>0.72662703506907544</v>
      </c>
      <c r="I18" s="17">
        <f t="shared" si="1"/>
        <v>0.66761426884260267</v>
      </c>
      <c r="J18" s="17">
        <f t="shared" si="1"/>
        <v>0.48669433677863905</v>
      </c>
      <c r="K18" s="17">
        <f t="shared" si="1"/>
        <v>0.44727085302965197</v>
      </c>
      <c r="L18" s="17">
        <f t="shared" si="1"/>
        <v>0.62575595250828975</v>
      </c>
      <c r="M18" s="17">
        <f t="shared" si="1"/>
        <v>0.69744331284442573</v>
      </c>
      <c r="N18" s="18"/>
      <c r="P18" s="19"/>
    </row>
    <row r="19" spans="1:18" x14ac:dyDescent="0.25">
      <c r="A19" s="1" t="s">
        <v>9</v>
      </c>
      <c r="B19" s="17">
        <v>1.17</v>
      </c>
      <c r="C19" s="17">
        <v>1.17</v>
      </c>
      <c r="D19" s="17">
        <v>1.04</v>
      </c>
      <c r="E19" s="17">
        <v>1.04</v>
      </c>
      <c r="F19" s="17">
        <v>1.04</v>
      </c>
      <c r="G19" s="17">
        <v>1.04</v>
      </c>
      <c r="H19" s="17">
        <v>1.04</v>
      </c>
      <c r="I19" s="17">
        <v>1.04</v>
      </c>
      <c r="J19" s="17">
        <v>1.04</v>
      </c>
      <c r="K19" s="17">
        <v>1.04</v>
      </c>
      <c r="L19" s="17">
        <v>1.04</v>
      </c>
      <c r="M19" s="17">
        <v>1.04</v>
      </c>
      <c r="N19" s="18"/>
      <c r="P19" s="20"/>
    </row>
    <row r="20" spans="1:18" ht="13" x14ac:dyDescent="0.3">
      <c r="A20" s="21" t="s">
        <v>22</v>
      </c>
      <c r="B20" s="21">
        <f>+(B18-B19)*B16</f>
        <v>-2983.8175999999976</v>
      </c>
      <c r="C20" s="21">
        <f t="shared" ref="C20:M20" si="2">+(C18-C19)*C16</f>
        <v>-2219.5494999999983</v>
      </c>
      <c r="D20" s="21">
        <f t="shared" si="2"/>
        <v>-1153.0076999999985</v>
      </c>
      <c r="E20" s="21">
        <f t="shared" si="2"/>
        <v>-3014.349450000002</v>
      </c>
      <c r="F20" s="21">
        <f t="shared" si="2"/>
        <v>-2900.2221499999982</v>
      </c>
      <c r="G20" s="21">
        <f t="shared" si="2"/>
        <v>-2836.4348999999997</v>
      </c>
      <c r="H20" s="21">
        <f t="shared" si="2"/>
        <v>-2948.8396000000002</v>
      </c>
      <c r="I20" s="21">
        <f t="shared" si="2"/>
        <v>-3468.4006999999992</v>
      </c>
      <c r="J20" s="21">
        <f t="shared" si="2"/>
        <v>-5139.103000000001</v>
      </c>
      <c r="K20" s="21">
        <f t="shared" si="2"/>
        <v>-5517.1228999999994</v>
      </c>
      <c r="L20" s="21">
        <f t="shared" si="2"/>
        <v>-3872.7675999999997</v>
      </c>
      <c r="M20" s="21">
        <f t="shared" si="2"/>
        <v>-3232.3648999999991</v>
      </c>
      <c r="N20" s="59">
        <f>SUM(B20:M20)</f>
        <v>-39285.979999999996</v>
      </c>
      <c r="P20" s="5"/>
      <c r="Q20" s="13"/>
    </row>
    <row r="21" spans="1:18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22"/>
    </row>
    <row r="22" spans="1:18" ht="14.5" x14ac:dyDescent="0.35">
      <c r="A22" s="2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23" t="s">
        <v>24</v>
      </c>
      <c r="N22" s="69">
        <f>ROUND(N20/N16,2)</f>
        <v>-0.35</v>
      </c>
      <c r="O22" s="23"/>
      <c r="Q22" s="61"/>
    </row>
    <row r="23" spans="1:18" x14ac:dyDescent="0.2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 t="s">
        <v>10</v>
      </c>
      <c r="N23" s="69">
        <f>ROUND(N14/N16,2)</f>
        <v>0.71</v>
      </c>
      <c r="O23" s="23"/>
      <c r="Q23" s="19"/>
    </row>
    <row r="24" spans="1:18" ht="13" x14ac:dyDescent="0.3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74" t="s">
        <v>11</v>
      </c>
      <c r="N24" s="70">
        <f>SUM(N22:N23)</f>
        <v>0.36</v>
      </c>
      <c r="O24" s="23"/>
      <c r="Q24" s="61"/>
    </row>
    <row r="25" spans="1:18" ht="14.5" x14ac:dyDescent="0.35">
      <c r="B25" s="26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69"/>
      <c r="O25" s="23"/>
    </row>
    <row r="26" spans="1:18" ht="13" x14ac:dyDescent="0.3">
      <c r="A26" s="3"/>
      <c r="B26" s="6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7" t="s">
        <v>12</v>
      </c>
      <c r="N26" s="17">
        <v>0.85</v>
      </c>
      <c r="O26" s="1"/>
      <c r="P26" s="63"/>
      <c r="Q26" s="64"/>
    </row>
    <row r="27" spans="1:18" ht="13" x14ac:dyDescent="0.3">
      <c r="A27" s="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7" t="s">
        <v>13</v>
      </c>
      <c r="N27" s="10">
        <f>N26-N24</f>
        <v>0.49</v>
      </c>
      <c r="O27" s="28"/>
      <c r="P27" s="96">
        <f>N27/N26</f>
        <v>0.57647058823529407</v>
      </c>
    </row>
    <row r="28" spans="1:18" x14ac:dyDescent="0.25"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23"/>
      <c r="M28" s="27" t="s">
        <v>14</v>
      </c>
      <c r="N28" s="10">
        <f>N27*N16</f>
        <v>55247.5</v>
      </c>
      <c r="O28" s="28"/>
      <c r="P28" s="66"/>
    </row>
    <row r="29" spans="1:18" ht="13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67"/>
      <c r="P29" s="41"/>
    </row>
    <row r="30" spans="1:18" x14ac:dyDescent="0.25">
      <c r="N30" s="38"/>
      <c r="P30" s="20"/>
    </row>
    <row r="31" spans="1:18" x14ac:dyDescent="0.25">
      <c r="L31" s="39"/>
      <c r="M31" s="39"/>
      <c r="N31" s="39"/>
      <c r="P31" s="5"/>
      <c r="Q31" s="13"/>
    </row>
    <row r="32" spans="1:18" ht="13" x14ac:dyDescent="0.3">
      <c r="L32" s="39"/>
      <c r="M32" s="71"/>
      <c r="N32" s="36"/>
      <c r="Q32" s="61"/>
    </row>
    <row r="33" spans="12:17" ht="13" x14ac:dyDescent="0.3">
      <c r="L33" s="39"/>
      <c r="M33" s="71"/>
      <c r="N33" s="68"/>
      <c r="Q33" s="19"/>
    </row>
    <row r="34" spans="12:17" ht="14.5" x14ac:dyDescent="0.35">
      <c r="L34" s="39"/>
      <c r="M34" s="72"/>
      <c r="N34" s="31"/>
      <c r="Q34" s="61"/>
    </row>
    <row r="35" spans="12:17" ht="14.5" x14ac:dyDescent="0.35">
      <c r="L35" s="39"/>
      <c r="M35" s="72"/>
      <c r="N35" s="73"/>
    </row>
    <row r="36" spans="12:17" x14ac:dyDescent="0.25">
      <c r="L36" s="39"/>
      <c r="M36" s="39"/>
      <c r="N36" s="39"/>
    </row>
  </sheetData>
  <pageMargins left="0.25" right="0.25" top="1" bottom="0.5" header="0.5" footer="0.5"/>
  <pageSetup scale="6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H103"/>
  <sheetViews>
    <sheetView topLeftCell="A22" zoomScaleNormal="100" workbookViewId="0">
      <selection activeCell="S45" sqref="S45"/>
    </sheetView>
  </sheetViews>
  <sheetFormatPr defaultColWidth="9.1796875" defaultRowHeight="12.5" x14ac:dyDescent="0.25"/>
  <cols>
    <col min="1" max="1" width="21.81640625" style="1" customWidth="1"/>
    <col min="2" max="4" width="11.26953125" style="1" bestFit="1" customWidth="1"/>
    <col min="5" max="5" width="12.26953125" style="1" bestFit="1" customWidth="1"/>
    <col min="6" max="6" width="13" style="1" bestFit="1" customWidth="1"/>
    <col min="7" max="7" width="14.1796875" style="1" bestFit="1" customWidth="1"/>
    <col min="8" max="8" width="13.453125" style="1" bestFit="1" customWidth="1"/>
    <col min="9" max="10" width="13" style="1" bestFit="1" customWidth="1"/>
    <col min="11" max="11" width="10.81640625" style="1" bestFit="1" customWidth="1"/>
    <col min="12" max="12" width="11.7265625" style="1" customWidth="1"/>
    <col min="13" max="13" width="12.81640625" style="1" customWidth="1"/>
    <col min="14" max="15" width="11.81640625" style="1" bestFit="1" customWidth="1"/>
    <col min="16" max="16" width="11.26953125" style="1" bestFit="1" customWidth="1"/>
    <col min="17" max="16384" width="9.1796875" style="1"/>
  </cols>
  <sheetData>
    <row r="1" spans="1:60" s="39" customFormat="1" ht="13" x14ac:dyDescent="0.3">
      <c r="A1" s="76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6"/>
    </row>
    <row r="2" spans="1:60" s="39" customFormat="1" ht="13" x14ac:dyDescent="0.3">
      <c r="A2" s="76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6"/>
    </row>
    <row r="3" spans="1:60" s="39" customFormat="1" ht="14.5" x14ac:dyDescent="0.35">
      <c r="A3" s="3" t="s">
        <v>21</v>
      </c>
      <c r="B3" s="77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6"/>
    </row>
    <row r="4" spans="1:60" ht="13" x14ac:dyDescent="0.3">
      <c r="A4" s="3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78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</row>
    <row r="5" spans="1:60" ht="13" x14ac:dyDescent="0.3">
      <c r="A5" s="3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8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</row>
    <row r="6" spans="1:60" ht="13.5" thickBot="1" x14ac:dyDescent="0.35">
      <c r="A6" s="3"/>
      <c r="B6" s="33">
        <v>42155</v>
      </c>
      <c r="C6" s="33">
        <v>42185</v>
      </c>
      <c r="D6" s="33">
        <v>42216</v>
      </c>
      <c r="E6" s="33">
        <v>42247</v>
      </c>
      <c r="F6" s="33">
        <v>42277</v>
      </c>
      <c r="G6" s="33">
        <v>42308</v>
      </c>
      <c r="H6" s="33">
        <v>42338</v>
      </c>
      <c r="I6" s="33">
        <v>42369</v>
      </c>
      <c r="J6" s="33">
        <v>42400</v>
      </c>
      <c r="K6" s="33">
        <v>42429</v>
      </c>
      <c r="L6" s="33">
        <v>42460</v>
      </c>
      <c r="M6" s="33">
        <v>42490</v>
      </c>
      <c r="N6" s="79" t="s">
        <v>2</v>
      </c>
      <c r="O6" s="80"/>
      <c r="P6" s="80"/>
      <c r="Q6" s="80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</row>
    <row r="7" spans="1:60" ht="13" x14ac:dyDescent="0.3">
      <c r="A7" s="81" t="s">
        <v>23</v>
      </c>
      <c r="B7" s="4"/>
      <c r="C7" s="4"/>
      <c r="D7" s="4"/>
      <c r="E7" s="4"/>
      <c r="F7" s="4"/>
      <c r="G7" s="4"/>
      <c r="H7" s="4"/>
      <c r="I7" s="4"/>
      <c r="J7" s="4"/>
      <c r="K7" s="82"/>
      <c r="L7" s="4"/>
      <c r="M7" s="4"/>
      <c r="N7" s="54"/>
      <c r="O7" s="80"/>
      <c r="P7" s="80"/>
      <c r="Q7" s="80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</row>
    <row r="8" spans="1:60" ht="13" x14ac:dyDescent="0.3">
      <c r="A8" s="3" t="s">
        <v>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7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</row>
    <row r="9" spans="1:60" x14ac:dyDescent="0.25">
      <c r="A9" s="28" t="s">
        <v>4</v>
      </c>
      <c r="B9" s="97">
        <v>59.516081713019943</v>
      </c>
      <c r="C9" s="97">
        <v>66.624478603049681</v>
      </c>
      <c r="D9" s="97">
        <v>74.871667478091524</v>
      </c>
      <c r="E9" s="97">
        <v>57.183668941979519</v>
      </c>
      <c r="F9" s="97">
        <v>60.130564202334632</v>
      </c>
      <c r="G9" s="97">
        <v>51.432888025261107</v>
      </c>
      <c r="H9" s="97">
        <v>63.583553779069767</v>
      </c>
      <c r="I9" s="97">
        <v>87.323400878906256</v>
      </c>
      <c r="J9" s="97">
        <v>67.320078373744792</v>
      </c>
      <c r="K9" s="97">
        <v>58.971376528117354</v>
      </c>
      <c r="L9" s="97">
        <v>61.928456277479242</v>
      </c>
      <c r="M9" s="97">
        <v>60.069636098981078</v>
      </c>
      <c r="N9" s="31">
        <f>SUM(B9:M9)</f>
        <v>768.95585090003487</v>
      </c>
      <c r="O9" s="24"/>
      <c r="P9" s="24"/>
      <c r="Q9" s="83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</row>
    <row r="10" spans="1:60" x14ac:dyDescent="0.25">
      <c r="A10" s="28" t="s">
        <v>16</v>
      </c>
      <c r="B10" s="97">
        <v>8.94</v>
      </c>
      <c r="C10" s="97">
        <v>8.42</v>
      </c>
      <c r="D10" s="97">
        <v>12.12</v>
      </c>
      <c r="E10" s="97">
        <v>8.9600000000000009</v>
      </c>
      <c r="F10" s="97">
        <v>8.61</v>
      </c>
      <c r="G10" s="97">
        <v>8.98</v>
      </c>
      <c r="H10" s="97">
        <v>7.99</v>
      </c>
      <c r="I10" s="97">
        <v>10.81</v>
      </c>
      <c r="J10" s="97">
        <v>10.82</v>
      </c>
      <c r="K10" s="97">
        <v>8.9499999999999993</v>
      </c>
      <c r="L10" s="97">
        <v>9.58</v>
      </c>
      <c r="M10" s="97">
        <v>9.08</v>
      </c>
      <c r="N10" s="31">
        <f>SUM(B10:M10)</f>
        <v>113.26</v>
      </c>
      <c r="O10" s="24"/>
      <c r="P10" s="39"/>
      <c r="Q10" s="83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</row>
    <row r="11" spans="1:60" s="3" customFormat="1" ht="13" x14ac:dyDescent="0.3">
      <c r="A11" s="3" t="s">
        <v>17</v>
      </c>
      <c r="B11" s="35">
        <f>SUM(B9:B10)</f>
        <v>68.456081713019941</v>
      </c>
      <c r="C11" s="35">
        <f t="shared" ref="C11:M11" si="0">SUM(C9:C10)</f>
        <v>75.044478603049683</v>
      </c>
      <c r="D11" s="35">
        <f t="shared" si="0"/>
        <v>86.991667478091529</v>
      </c>
      <c r="E11" s="35">
        <f t="shared" si="0"/>
        <v>66.143668941979513</v>
      </c>
      <c r="F11" s="35">
        <f t="shared" si="0"/>
        <v>68.740564202334639</v>
      </c>
      <c r="G11" s="35">
        <f t="shared" si="0"/>
        <v>60.412888025261111</v>
      </c>
      <c r="H11" s="35">
        <f t="shared" si="0"/>
        <v>71.573553779069769</v>
      </c>
      <c r="I11" s="35">
        <f t="shared" si="0"/>
        <v>98.133400878906258</v>
      </c>
      <c r="J11" s="35">
        <f t="shared" si="0"/>
        <v>78.140078373744785</v>
      </c>
      <c r="K11" s="35">
        <f t="shared" si="0"/>
        <v>67.921376528117349</v>
      </c>
      <c r="L11" s="35">
        <f>SUM(L9:L10)</f>
        <v>71.50845627747924</v>
      </c>
      <c r="M11" s="35">
        <f t="shared" si="0"/>
        <v>69.149636098981077</v>
      </c>
      <c r="N11" s="36">
        <f>SUM(B11:M11)</f>
        <v>882.21585090003498</v>
      </c>
      <c r="O11" s="84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</row>
    <row r="12" spans="1:60" x14ac:dyDescent="0.25">
      <c r="A12" s="28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1"/>
      <c r="O12" s="85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</row>
    <row r="13" spans="1:60" ht="13" x14ac:dyDescent="0.3">
      <c r="A13" s="3" t="s">
        <v>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</row>
    <row r="14" spans="1:60" s="34" customFormat="1" x14ac:dyDescent="0.25">
      <c r="A14" s="57" t="s">
        <v>4</v>
      </c>
      <c r="B14" s="10">
        <f>'Designated RSA-1 Comm Credit'!B12</f>
        <v>56.230000000000004</v>
      </c>
      <c r="C14" s="10">
        <f>'Designated RSA-1 Comm Credit'!C12</f>
        <v>59.11</v>
      </c>
      <c r="D14" s="10">
        <f>'Designated RSA-1 Comm Credit'!D12</f>
        <v>54.41</v>
      </c>
      <c r="E14" s="10">
        <f>'Designated RSA-1 Comm Credit'!E12</f>
        <v>45.49</v>
      </c>
      <c r="F14" s="10">
        <f>'Designated RSA-1 Comm Credit'!F12</f>
        <v>45.13</v>
      </c>
      <c r="G14" s="10">
        <f>'Designated RSA-1 Comm Credit'!G12</f>
        <v>47.19</v>
      </c>
      <c r="H14" s="10">
        <f>'Designated RSA-1 Comm Credit'!H12</f>
        <v>45.21</v>
      </c>
      <c r="I14" s="10">
        <f>'Designated RSA-1 Comm Credit'!I12</f>
        <v>37.22</v>
      </c>
      <c r="J14" s="10">
        <f>'Designated RSA-1 Comm Credit'!J12</f>
        <v>28.82</v>
      </c>
      <c r="K14" s="10">
        <f>'Designated RSA-1 Comm Credit'!K12</f>
        <v>26.54</v>
      </c>
      <c r="L14" s="10">
        <f>'Designated RSA-1 Comm Credit'!L12</f>
        <v>35.24</v>
      </c>
      <c r="M14" s="10">
        <f>'Designated RSA-1 Comm Credit'!M12</f>
        <v>43.06</v>
      </c>
      <c r="N14" s="40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</row>
    <row r="15" spans="1:60" x14ac:dyDescent="0.25">
      <c r="A15" s="28" t="s">
        <v>16</v>
      </c>
      <c r="B15" s="10">
        <v>30</v>
      </c>
      <c r="C15" s="10">
        <v>30</v>
      </c>
      <c r="D15" s="10">
        <v>30</v>
      </c>
      <c r="E15" s="10">
        <v>30</v>
      </c>
      <c r="F15" s="10">
        <v>30</v>
      </c>
      <c r="G15" s="10">
        <v>30</v>
      </c>
      <c r="H15" s="10">
        <v>30</v>
      </c>
      <c r="I15" s="10">
        <v>30</v>
      </c>
      <c r="J15" s="10">
        <v>30</v>
      </c>
      <c r="K15" s="10">
        <v>30</v>
      </c>
      <c r="L15" s="10">
        <v>30</v>
      </c>
      <c r="M15" s="10">
        <v>30</v>
      </c>
      <c r="N15" s="18"/>
      <c r="O15" s="25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</row>
    <row r="16" spans="1:60" x14ac:dyDescent="0.25">
      <c r="N16" s="39"/>
    </row>
    <row r="17" spans="1:17" ht="13" x14ac:dyDescent="0.3">
      <c r="A17" s="3" t="s">
        <v>6</v>
      </c>
      <c r="B17" s="42">
        <f t="shared" ref="B17:M17" si="1">B9*B14</f>
        <v>3346.5892747231114</v>
      </c>
      <c r="C17" s="42">
        <f t="shared" si="1"/>
        <v>3938.1729302262665</v>
      </c>
      <c r="D17" s="42">
        <f t="shared" si="1"/>
        <v>4073.7674274829596</v>
      </c>
      <c r="E17" s="42">
        <f t="shared" si="1"/>
        <v>2601.2851001706485</v>
      </c>
      <c r="F17" s="42">
        <f t="shared" si="1"/>
        <v>2713.692362451362</v>
      </c>
      <c r="G17" s="42">
        <f t="shared" si="1"/>
        <v>2427.1179859120716</v>
      </c>
      <c r="H17" s="42">
        <f t="shared" si="1"/>
        <v>2874.6124663517444</v>
      </c>
      <c r="I17" s="42">
        <f t="shared" si="1"/>
        <v>3250.1769807128908</v>
      </c>
      <c r="J17" s="42">
        <f t="shared" si="1"/>
        <v>1940.1646587313248</v>
      </c>
      <c r="K17" s="42">
        <f t="shared" si="1"/>
        <v>1565.1003330562346</v>
      </c>
      <c r="L17" s="42">
        <f>L9*L14</f>
        <v>2182.3587992183684</v>
      </c>
      <c r="M17" s="42">
        <f t="shared" si="1"/>
        <v>2586.5985304221254</v>
      </c>
      <c r="N17" s="12">
        <f>SUM(B17:M17)</f>
        <v>33499.636849459108</v>
      </c>
      <c r="O17" s="15"/>
    </row>
    <row r="18" spans="1:17" x14ac:dyDescent="0.25">
      <c r="A18" s="28" t="s">
        <v>16</v>
      </c>
      <c r="B18" s="42">
        <f t="shared" ref="B18:M18" si="2">+B15*B10</f>
        <v>268.2</v>
      </c>
      <c r="C18" s="42">
        <f t="shared" si="2"/>
        <v>252.6</v>
      </c>
      <c r="D18" s="42">
        <f t="shared" si="2"/>
        <v>363.59999999999997</v>
      </c>
      <c r="E18" s="42">
        <f t="shared" si="2"/>
        <v>268.8</v>
      </c>
      <c r="F18" s="42">
        <f t="shared" si="2"/>
        <v>258.29999999999995</v>
      </c>
      <c r="G18" s="42">
        <f t="shared" si="2"/>
        <v>269.40000000000003</v>
      </c>
      <c r="H18" s="42">
        <f t="shared" si="2"/>
        <v>239.70000000000002</v>
      </c>
      <c r="I18" s="42">
        <f t="shared" si="2"/>
        <v>324.3</v>
      </c>
      <c r="J18" s="42">
        <f t="shared" si="2"/>
        <v>324.60000000000002</v>
      </c>
      <c r="K18" s="42">
        <f t="shared" si="2"/>
        <v>268.5</v>
      </c>
      <c r="L18" s="42">
        <f>+L15*L10</f>
        <v>287.39999999999998</v>
      </c>
      <c r="M18" s="42">
        <f t="shared" si="2"/>
        <v>272.39999999999998</v>
      </c>
      <c r="N18" s="12">
        <f>SUM(B18:M18)</f>
        <v>3397.8</v>
      </c>
      <c r="O18" s="48"/>
    </row>
    <row r="19" spans="1:17" s="3" customFormat="1" ht="13" x14ac:dyDescent="0.3">
      <c r="A19" s="3" t="s">
        <v>2</v>
      </c>
      <c r="B19" s="43">
        <f t="shared" ref="B19:I19" si="3">+B17+B18</f>
        <v>3614.7892747231112</v>
      </c>
      <c r="C19" s="43">
        <f t="shared" si="3"/>
        <v>4190.7729302262669</v>
      </c>
      <c r="D19" s="43">
        <f t="shared" si="3"/>
        <v>4437.36742748296</v>
      </c>
      <c r="E19" s="43">
        <f t="shared" si="3"/>
        <v>2870.0851001706487</v>
      </c>
      <c r="F19" s="43">
        <f t="shared" si="3"/>
        <v>2971.9923624513622</v>
      </c>
      <c r="G19" s="43">
        <f t="shared" si="3"/>
        <v>2696.5179859120717</v>
      </c>
      <c r="H19" s="43">
        <f t="shared" si="3"/>
        <v>3114.3124663517442</v>
      </c>
      <c r="I19" s="43">
        <f t="shared" si="3"/>
        <v>3574.476980712891</v>
      </c>
      <c r="J19" s="43">
        <f>+J17+J18</f>
        <v>2264.7646587313247</v>
      </c>
      <c r="K19" s="43">
        <f>+K17+K18</f>
        <v>1833.6003330562346</v>
      </c>
      <c r="L19" s="43">
        <f>+L17+L18</f>
        <v>2469.7587992183685</v>
      </c>
      <c r="M19" s="43">
        <f>+M17+M18</f>
        <v>2858.9985304221254</v>
      </c>
      <c r="N19" s="44">
        <f>SUM(N17:N18)</f>
        <v>36897.436849459111</v>
      </c>
      <c r="O19" s="86"/>
      <c r="P19" s="87"/>
    </row>
    <row r="20" spans="1:17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45"/>
    </row>
    <row r="21" spans="1:17" s="5" customFormat="1" ht="13" x14ac:dyDescent="0.3">
      <c r="A21" s="3" t="s">
        <v>7</v>
      </c>
      <c r="B21" s="5">
        <v>3734</v>
      </c>
      <c r="C21" s="5">
        <v>3737</v>
      </c>
      <c r="D21" s="5">
        <v>3779</v>
      </c>
      <c r="E21" s="5">
        <v>3773</v>
      </c>
      <c r="F21" s="5">
        <v>3783</v>
      </c>
      <c r="G21" s="5">
        <v>3788</v>
      </c>
      <c r="H21" s="5">
        <v>3799</v>
      </c>
      <c r="I21" s="5">
        <v>3767</v>
      </c>
      <c r="J21" s="5">
        <v>3754</v>
      </c>
      <c r="K21" s="5">
        <v>3761</v>
      </c>
      <c r="L21" s="5">
        <v>3765</v>
      </c>
      <c r="M21" s="5">
        <v>3793</v>
      </c>
      <c r="N21" s="8">
        <f>SUM(B21:M21)</f>
        <v>45233</v>
      </c>
      <c r="Q21" s="15"/>
    </row>
    <row r="22" spans="1:17" s="5" customFormat="1" x14ac:dyDescent="0.25">
      <c r="N22" s="8"/>
      <c r="Q22" s="15"/>
    </row>
    <row r="23" spans="1:17" x14ac:dyDescent="0.25">
      <c r="A23" s="1" t="s">
        <v>8</v>
      </c>
      <c r="B23" s="17">
        <f t="shared" ref="B23:M23" si="4">+IFERROR(B19/B21,0)</f>
        <v>0.96807425675498426</v>
      </c>
      <c r="C23" s="17">
        <f t="shared" si="4"/>
        <v>1.1214270618748372</v>
      </c>
      <c r="D23" s="17">
        <f t="shared" si="4"/>
        <v>1.1742173663622546</v>
      </c>
      <c r="E23" s="17">
        <f t="shared" si="4"/>
        <v>0.76069045856629969</v>
      </c>
      <c r="F23" s="17">
        <f t="shared" si="4"/>
        <v>0.78561785949018292</v>
      </c>
      <c r="G23" s="17">
        <f t="shared" si="4"/>
        <v>0.71185796882578456</v>
      </c>
      <c r="H23" s="17">
        <f t="shared" si="4"/>
        <v>0.81977164157718985</v>
      </c>
      <c r="I23" s="17">
        <f t="shared" si="4"/>
        <v>0.94889221680724478</v>
      </c>
      <c r="J23" s="17">
        <f t="shared" si="4"/>
        <v>0.60329372901740141</v>
      </c>
      <c r="K23" s="17">
        <f t="shared" si="4"/>
        <v>0.48753000081261222</v>
      </c>
      <c r="L23" s="17">
        <f t="shared" si="4"/>
        <v>0.65597843272732226</v>
      </c>
      <c r="M23" s="17">
        <f t="shared" si="4"/>
        <v>0.75375653319855662</v>
      </c>
      <c r="N23" s="18"/>
      <c r="O23" s="46"/>
    </row>
    <row r="24" spans="1:17" x14ac:dyDescent="0.25">
      <c r="A24" s="1" t="s">
        <v>9</v>
      </c>
      <c r="B24" s="17">
        <v>1.55</v>
      </c>
      <c r="C24" s="17">
        <v>1.55</v>
      </c>
      <c r="D24" s="17">
        <v>1.4</v>
      </c>
      <c r="E24" s="17">
        <v>1.4</v>
      </c>
      <c r="F24" s="17">
        <v>1.4</v>
      </c>
      <c r="G24" s="17">
        <v>1.4</v>
      </c>
      <c r="H24" s="17">
        <v>1.4</v>
      </c>
      <c r="I24" s="17">
        <v>1.4</v>
      </c>
      <c r="J24" s="17">
        <v>1.4</v>
      </c>
      <c r="K24" s="17">
        <v>1.4</v>
      </c>
      <c r="L24" s="17">
        <v>1.4</v>
      </c>
      <c r="M24" s="17">
        <v>1.4</v>
      </c>
      <c r="N24" s="18"/>
      <c r="O24" s="20"/>
    </row>
    <row r="25" spans="1:17" ht="13" x14ac:dyDescent="0.3">
      <c r="A25" s="21" t="s">
        <v>22</v>
      </c>
      <c r="B25" s="21">
        <f>+(B23-B24)*B21</f>
        <v>-2172.910725276889</v>
      </c>
      <c r="C25" s="21">
        <f t="shared" ref="C25:I25" si="5">+(C23-C24)*C21</f>
        <v>-1601.5770697737335</v>
      </c>
      <c r="D25" s="21">
        <f t="shared" si="5"/>
        <v>-853.23257251703956</v>
      </c>
      <c r="E25" s="21">
        <f t="shared" si="5"/>
        <v>-2412.1148998293511</v>
      </c>
      <c r="F25" s="21">
        <f t="shared" si="5"/>
        <v>-2324.2076375486376</v>
      </c>
      <c r="G25" s="21">
        <f t="shared" si="5"/>
        <v>-2606.6820140879277</v>
      </c>
      <c r="H25" s="21">
        <f t="shared" si="5"/>
        <v>-2204.2875336482552</v>
      </c>
      <c r="I25" s="21">
        <f t="shared" si="5"/>
        <v>-1699.3230192871085</v>
      </c>
      <c r="J25" s="21">
        <f>+(J23-J24)*J21</f>
        <v>-2990.8353412686747</v>
      </c>
      <c r="K25" s="21">
        <f>+(K23-K24)*K21</f>
        <v>-3431.7996669437653</v>
      </c>
      <c r="L25" s="21">
        <f>+(L23-L24)*L21</f>
        <v>-2801.2412007816315</v>
      </c>
      <c r="M25" s="21">
        <f>+(M23-M24)*M21</f>
        <v>-2451.2014695778744</v>
      </c>
      <c r="N25" s="59">
        <f>SUM(B25:M25)</f>
        <v>-27549.413150540891</v>
      </c>
      <c r="O25" s="5"/>
      <c r="P25" s="38"/>
    </row>
    <row r="26" spans="1:17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22"/>
    </row>
    <row r="27" spans="1:17" x14ac:dyDescent="0.25">
      <c r="A27" s="28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23" t="s">
        <v>24</v>
      </c>
      <c r="N27" s="18">
        <f>ROUND(N25/N21,2)</f>
        <v>-0.61</v>
      </c>
      <c r="P27" s="38"/>
    </row>
    <row r="28" spans="1:17" x14ac:dyDescent="0.2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 t="s">
        <v>10</v>
      </c>
      <c r="N28" s="18">
        <f>ROUND(N19/N21,2)</f>
        <v>0.82</v>
      </c>
      <c r="P28" s="38"/>
    </row>
    <row r="29" spans="1:17" ht="13" x14ac:dyDescent="0.3">
      <c r="A29" s="28"/>
      <c r="B29" s="6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74" t="s">
        <v>11</v>
      </c>
      <c r="N29" s="59">
        <f>SUM(N27:N28)</f>
        <v>0.20999999999999996</v>
      </c>
      <c r="P29" s="38"/>
    </row>
    <row r="30" spans="1:17" ht="14.5" x14ac:dyDescent="0.35">
      <c r="B30" s="47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59"/>
    </row>
    <row r="31" spans="1:17" ht="13" x14ac:dyDescent="0.3">
      <c r="B31" s="62"/>
      <c r="C31" s="23"/>
      <c r="D31" s="23"/>
      <c r="E31" s="23"/>
      <c r="F31" s="23"/>
      <c r="G31" s="23"/>
      <c r="H31" s="23"/>
      <c r="I31" s="23"/>
      <c r="M31" s="88" t="s">
        <v>12</v>
      </c>
      <c r="N31" s="59">
        <v>1.21</v>
      </c>
      <c r="O31" s="14"/>
      <c r="P31" s="89"/>
    </row>
    <row r="32" spans="1:17" x14ac:dyDescent="0.2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7" t="s">
        <v>13</v>
      </c>
      <c r="N32" s="18">
        <f>N31-N29</f>
        <v>1</v>
      </c>
      <c r="O32" s="96">
        <f>N32/N31</f>
        <v>0.82644628099173556</v>
      </c>
    </row>
    <row r="33" spans="1:16" x14ac:dyDescent="0.2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7" t="s">
        <v>14</v>
      </c>
      <c r="N33" s="18">
        <f>N32*N21</f>
        <v>45233</v>
      </c>
      <c r="O33" s="14"/>
      <c r="P33" s="89"/>
    </row>
    <row r="34" spans="1:16" x14ac:dyDescent="0.25">
      <c r="A34" s="90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4"/>
    </row>
    <row r="35" spans="1:16" ht="13" x14ac:dyDescent="0.3">
      <c r="A35" s="3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24"/>
    </row>
    <row r="36" spans="1:16" ht="13" x14ac:dyDescent="0.3">
      <c r="A36" s="91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24"/>
    </row>
    <row r="37" spans="1:16" ht="13" x14ac:dyDescent="0.3">
      <c r="A37" s="90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52" t="s">
        <v>1</v>
      </c>
      <c r="O37" s="41"/>
    </row>
    <row r="38" spans="1:16" ht="13.5" thickBot="1" x14ac:dyDescent="0.35">
      <c r="A38" s="81" t="s">
        <v>18</v>
      </c>
      <c r="B38" s="33">
        <f>B6</f>
        <v>42155</v>
      </c>
      <c r="C38" s="33">
        <f t="shared" ref="C38:M38" si="6">C6</f>
        <v>42185</v>
      </c>
      <c r="D38" s="33">
        <f t="shared" si="6"/>
        <v>42216</v>
      </c>
      <c r="E38" s="33">
        <f t="shared" si="6"/>
        <v>42247</v>
      </c>
      <c r="F38" s="33">
        <f t="shared" si="6"/>
        <v>42277</v>
      </c>
      <c r="G38" s="33">
        <f t="shared" si="6"/>
        <v>42308</v>
      </c>
      <c r="H38" s="33">
        <f t="shared" si="6"/>
        <v>42338</v>
      </c>
      <c r="I38" s="33">
        <f t="shared" si="6"/>
        <v>42369</v>
      </c>
      <c r="J38" s="33">
        <f t="shared" si="6"/>
        <v>42400</v>
      </c>
      <c r="K38" s="33">
        <f t="shared" si="6"/>
        <v>42429</v>
      </c>
      <c r="L38" s="33">
        <f t="shared" si="6"/>
        <v>42460</v>
      </c>
      <c r="M38" s="33">
        <f t="shared" si="6"/>
        <v>42490</v>
      </c>
      <c r="N38" s="79" t="s">
        <v>2</v>
      </c>
      <c r="O38" s="48"/>
      <c r="P38" s="92"/>
    </row>
    <row r="39" spans="1:16" ht="13" x14ac:dyDescent="0.3">
      <c r="A39" s="3" t="s">
        <v>3</v>
      </c>
      <c r="N39" s="24"/>
    </row>
    <row r="40" spans="1:16" x14ac:dyDescent="0.25">
      <c r="A40" s="93" t="s">
        <v>4</v>
      </c>
      <c r="B40" s="37">
        <v>5.2439182869800636</v>
      </c>
      <c r="C40" s="37">
        <v>5.8655213969503199</v>
      </c>
      <c r="D40" s="37">
        <v>6.518332521908472</v>
      </c>
      <c r="E40" s="37">
        <v>4.9863310580204789</v>
      </c>
      <c r="F40" s="37">
        <v>5.2294357976653698</v>
      </c>
      <c r="G40" s="37">
        <v>4.4671119747388879</v>
      </c>
      <c r="H40" s="37">
        <v>5.5064462209302336</v>
      </c>
      <c r="I40" s="37">
        <v>7.6265991210937516</v>
      </c>
      <c r="J40" s="37">
        <v>5.899921626255205</v>
      </c>
      <c r="K40" s="37">
        <v>5.1586234718826409</v>
      </c>
      <c r="L40" s="37">
        <v>5.4115437225207632</v>
      </c>
      <c r="M40" s="37">
        <v>5.2103639010189235</v>
      </c>
      <c r="N40" s="31">
        <f>SUM(B40:M40)</f>
        <v>67.124149099965123</v>
      </c>
      <c r="P40" s="38"/>
    </row>
    <row r="41" spans="1:16" ht="13" x14ac:dyDescent="0.3">
      <c r="A41" s="93" t="s">
        <v>16</v>
      </c>
      <c r="B41" s="2">
        <v>0.79</v>
      </c>
      <c r="C41" s="2">
        <v>0.74</v>
      </c>
      <c r="D41" s="2">
        <v>1.05</v>
      </c>
      <c r="E41" s="2">
        <v>0.78</v>
      </c>
      <c r="F41" s="2">
        <v>0.75</v>
      </c>
      <c r="G41" s="2">
        <v>0.78</v>
      </c>
      <c r="H41" s="2">
        <v>0.69</v>
      </c>
      <c r="I41" s="2">
        <v>0.94</v>
      </c>
      <c r="J41" s="2">
        <v>0.95</v>
      </c>
      <c r="K41" s="2">
        <v>0.78</v>
      </c>
      <c r="L41" s="2">
        <v>0.84</v>
      </c>
      <c r="M41" s="2">
        <v>0.79</v>
      </c>
      <c r="N41" s="31">
        <f>SUM(B41:M41)</f>
        <v>9.879999999999999</v>
      </c>
      <c r="O41" s="94"/>
      <c r="P41" s="38"/>
    </row>
    <row r="42" spans="1:16" ht="13" x14ac:dyDescent="0.3">
      <c r="A42" s="91" t="s">
        <v>17</v>
      </c>
      <c r="B42" s="35">
        <f t="shared" ref="B42:M42" si="7">SUM(B40:B41)</f>
        <v>6.0339182869800636</v>
      </c>
      <c r="C42" s="35">
        <f t="shared" si="7"/>
        <v>6.6055213969503201</v>
      </c>
      <c r="D42" s="35">
        <f t="shared" si="7"/>
        <v>7.5683325219084718</v>
      </c>
      <c r="E42" s="35">
        <f t="shared" si="7"/>
        <v>5.7663310580204792</v>
      </c>
      <c r="F42" s="35">
        <f t="shared" si="7"/>
        <v>5.9794357976653698</v>
      </c>
      <c r="G42" s="35">
        <f t="shared" si="7"/>
        <v>5.2471119747388881</v>
      </c>
      <c r="H42" s="35">
        <f t="shared" si="7"/>
        <v>6.196446220930234</v>
      </c>
      <c r="I42" s="35">
        <f t="shared" si="7"/>
        <v>8.566599121093752</v>
      </c>
      <c r="J42" s="35">
        <f t="shared" si="7"/>
        <v>6.8499216262552052</v>
      </c>
      <c r="K42" s="35">
        <f t="shared" si="7"/>
        <v>5.9386234718826412</v>
      </c>
      <c r="L42" s="35">
        <f>SUM(L40:L41)</f>
        <v>6.2515437225207631</v>
      </c>
      <c r="M42" s="35">
        <f t="shared" si="7"/>
        <v>6.0003639010189236</v>
      </c>
      <c r="N42" s="36">
        <f>SUM(N40:N41)</f>
        <v>77.004149099965119</v>
      </c>
    </row>
    <row r="43" spans="1:16" x14ac:dyDescent="0.25">
      <c r="A43" s="9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49"/>
    </row>
    <row r="44" spans="1:16" ht="13" x14ac:dyDescent="0.3">
      <c r="A44" s="91" t="s">
        <v>5</v>
      </c>
      <c r="N44" s="39"/>
    </row>
    <row r="45" spans="1:16" x14ac:dyDescent="0.25">
      <c r="A45" s="93" t="s">
        <v>4</v>
      </c>
      <c r="B45" s="17">
        <f t="shared" ref="B45:M46" si="8">+B14</f>
        <v>56.230000000000004</v>
      </c>
      <c r="C45" s="17">
        <f t="shared" si="8"/>
        <v>59.11</v>
      </c>
      <c r="D45" s="17">
        <f t="shared" si="8"/>
        <v>54.41</v>
      </c>
      <c r="E45" s="17">
        <f t="shared" si="8"/>
        <v>45.49</v>
      </c>
      <c r="F45" s="17">
        <f t="shared" si="8"/>
        <v>45.13</v>
      </c>
      <c r="G45" s="17">
        <f t="shared" si="8"/>
        <v>47.19</v>
      </c>
      <c r="H45" s="17">
        <f t="shared" si="8"/>
        <v>45.21</v>
      </c>
      <c r="I45" s="17">
        <f t="shared" si="8"/>
        <v>37.22</v>
      </c>
      <c r="J45" s="17">
        <f t="shared" si="8"/>
        <v>28.82</v>
      </c>
      <c r="K45" s="17">
        <f t="shared" si="8"/>
        <v>26.54</v>
      </c>
      <c r="L45" s="17">
        <f>+L14</f>
        <v>35.24</v>
      </c>
      <c r="M45" s="17">
        <f t="shared" si="8"/>
        <v>43.06</v>
      </c>
      <c r="N45" s="39"/>
    </row>
    <row r="46" spans="1:16" x14ac:dyDescent="0.25">
      <c r="A46" s="93" t="s">
        <v>16</v>
      </c>
      <c r="B46" s="17">
        <f t="shared" si="8"/>
        <v>30</v>
      </c>
      <c r="C46" s="17">
        <f t="shared" si="8"/>
        <v>30</v>
      </c>
      <c r="D46" s="17">
        <f t="shared" si="8"/>
        <v>30</v>
      </c>
      <c r="E46" s="17">
        <f t="shared" si="8"/>
        <v>30</v>
      </c>
      <c r="F46" s="17">
        <f t="shared" si="8"/>
        <v>30</v>
      </c>
      <c r="G46" s="17">
        <f t="shared" si="8"/>
        <v>30</v>
      </c>
      <c r="H46" s="17">
        <f t="shared" si="8"/>
        <v>30</v>
      </c>
      <c r="I46" s="17">
        <f t="shared" si="8"/>
        <v>30</v>
      </c>
      <c r="J46" s="17">
        <f t="shared" si="8"/>
        <v>30</v>
      </c>
      <c r="K46" s="17">
        <f t="shared" si="8"/>
        <v>30</v>
      </c>
      <c r="L46" s="17">
        <f>+L15</f>
        <v>30</v>
      </c>
      <c r="M46" s="17">
        <f t="shared" si="8"/>
        <v>30</v>
      </c>
      <c r="N46" s="39"/>
    </row>
    <row r="47" spans="1:16" x14ac:dyDescent="0.25">
      <c r="A47" s="9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9"/>
    </row>
    <row r="48" spans="1:16" ht="13" x14ac:dyDescent="0.3">
      <c r="A48" s="3" t="s">
        <v>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9"/>
    </row>
    <row r="49" spans="1:17" x14ac:dyDescent="0.25">
      <c r="A49" s="93" t="s">
        <v>4</v>
      </c>
      <c r="B49" s="11">
        <f t="shared" ref="B49:M49" si="9">+B40*B45</f>
        <v>294.865525276889</v>
      </c>
      <c r="C49" s="11">
        <f t="shared" si="9"/>
        <v>346.71096977373338</v>
      </c>
      <c r="D49" s="11">
        <f t="shared" si="9"/>
        <v>354.66247251703993</v>
      </c>
      <c r="E49" s="11">
        <f t="shared" si="9"/>
        <v>226.8281998293516</v>
      </c>
      <c r="F49" s="11">
        <f t="shared" si="9"/>
        <v>236.00443754863815</v>
      </c>
      <c r="G49" s="11">
        <f t="shared" si="9"/>
        <v>210.80301408792812</v>
      </c>
      <c r="H49" s="11">
        <f t="shared" si="9"/>
        <v>248.94643364825586</v>
      </c>
      <c r="I49" s="11">
        <f t="shared" si="9"/>
        <v>283.86201928710943</v>
      </c>
      <c r="J49" s="11">
        <f t="shared" si="9"/>
        <v>170.035741268675</v>
      </c>
      <c r="K49" s="11">
        <f t="shared" si="9"/>
        <v>136.90986694376528</v>
      </c>
      <c r="L49" s="11">
        <f>+L40*L45</f>
        <v>190.70280078163171</v>
      </c>
      <c r="M49" s="11">
        <f t="shared" si="9"/>
        <v>224.35826957787486</v>
      </c>
      <c r="N49" s="12">
        <f>SUM(B49:M49)</f>
        <v>2924.6897505408924</v>
      </c>
    </row>
    <row r="50" spans="1:17" x14ac:dyDescent="0.25">
      <c r="A50" s="93" t="s">
        <v>16</v>
      </c>
      <c r="B50" s="11">
        <f t="shared" ref="B50:M50" si="10">+B46*B41</f>
        <v>23.700000000000003</v>
      </c>
      <c r="C50" s="11">
        <f t="shared" si="10"/>
        <v>22.2</v>
      </c>
      <c r="D50" s="11">
        <f t="shared" si="10"/>
        <v>31.5</v>
      </c>
      <c r="E50" s="11">
        <f t="shared" si="10"/>
        <v>23.400000000000002</v>
      </c>
      <c r="F50" s="11">
        <f t="shared" si="10"/>
        <v>22.5</v>
      </c>
      <c r="G50" s="11">
        <f t="shared" si="10"/>
        <v>23.400000000000002</v>
      </c>
      <c r="H50" s="11">
        <f t="shared" si="10"/>
        <v>20.7</v>
      </c>
      <c r="I50" s="11">
        <f t="shared" si="10"/>
        <v>28.2</v>
      </c>
      <c r="J50" s="11">
        <f t="shared" si="10"/>
        <v>28.5</v>
      </c>
      <c r="K50" s="11">
        <f t="shared" si="10"/>
        <v>23.400000000000002</v>
      </c>
      <c r="L50" s="11">
        <f>+L46*L41</f>
        <v>25.2</v>
      </c>
      <c r="M50" s="11">
        <f t="shared" si="10"/>
        <v>23.700000000000003</v>
      </c>
      <c r="N50" s="12">
        <f>SUM(B50:M50)</f>
        <v>296.39999999999998</v>
      </c>
    </row>
    <row r="51" spans="1:17" ht="13" x14ac:dyDescent="0.3">
      <c r="A51" s="3" t="s">
        <v>19</v>
      </c>
      <c r="B51" s="43">
        <f t="shared" ref="B51:I51" si="11">+B49+B50</f>
        <v>318.56552527688899</v>
      </c>
      <c r="C51" s="43">
        <f t="shared" si="11"/>
        <v>368.91096977373337</v>
      </c>
      <c r="D51" s="43">
        <f t="shared" si="11"/>
        <v>386.16247251703993</v>
      </c>
      <c r="E51" s="43">
        <f t="shared" si="11"/>
        <v>250.22819982935161</v>
      </c>
      <c r="F51" s="43">
        <f t="shared" si="11"/>
        <v>258.50443754863818</v>
      </c>
      <c r="G51" s="43">
        <f t="shared" si="11"/>
        <v>234.20301408792812</v>
      </c>
      <c r="H51" s="43">
        <f t="shared" si="11"/>
        <v>269.64643364825588</v>
      </c>
      <c r="I51" s="43">
        <f t="shared" si="11"/>
        <v>312.06201928710942</v>
      </c>
      <c r="J51" s="43">
        <f>+J49+J50</f>
        <v>198.535741268675</v>
      </c>
      <c r="K51" s="43">
        <f>+K49+K50</f>
        <v>160.30986694376529</v>
      </c>
      <c r="L51" s="43">
        <f>+L49+L50</f>
        <v>215.9028007816317</v>
      </c>
      <c r="M51" s="43">
        <f>+M49+M50</f>
        <v>248.05826957787485</v>
      </c>
      <c r="N51" s="44">
        <f>SUM(N49:N50)</f>
        <v>3221.0897505408925</v>
      </c>
    </row>
    <row r="52" spans="1:17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9"/>
    </row>
    <row r="53" spans="1:17" ht="13" x14ac:dyDescent="0.3">
      <c r="A53" s="91" t="s">
        <v>7</v>
      </c>
      <c r="B53" s="5">
        <v>329</v>
      </c>
      <c r="C53" s="5">
        <v>329</v>
      </c>
      <c r="D53" s="5">
        <v>329.00000000000006</v>
      </c>
      <c r="E53" s="5">
        <v>329.00000000000006</v>
      </c>
      <c r="F53" s="5">
        <v>329.00000000000006</v>
      </c>
      <c r="G53" s="5">
        <v>329.00000000000006</v>
      </c>
      <c r="H53" s="5">
        <v>329.00000000000006</v>
      </c>
      <c r="I53" s="5">
        <v>329.00000000000006</v>
      </c>
      <c r="J53" s="5">
        <v>329.00000000000006</v>
      </c>
      <c r="K53" s="15">
        <v>329.00000000000006</v>
      </c>
      <c r="L53" s="5">
        <v>329.00000000000006</v>
      </c>
      <c r="M53" s="5">
        <v>329.00000000000006</v>
      </c>
      <c r="N53" s="8">
        <f>SUM(B53:M53)</f>
        <v>3948</v>
      </c>
      <c r="Q53" s="28"/>
    </row>
    <row r="54" spans="1:17" x14ac:dyDescent="0.25">
      <c r="A54" s="93"/>
      <c r="N54" s="9"/>
    </row>
    <row r="55" spans="1:17" x14ac:dyDescent="0.25">
      <c r="A55" s="28" t="s">
        <v>8</v>
      </c>
      <c r="B55" s="17">
        <f t="shared" ref="B55:M55" si="12">IFERROR(B51/B53,0)</f>
        <v>0.96828427135832518</v>
      </c>
      <c r="C55" s="17">
        <f t="shared" si="12"/>
        <v>1.121309938521986</v>
      </c>
      <c r="D55" s="17">
        <f t="shared" si="12"/>
        <v>1.1737461170730694</v>
      </c>
      <c r="E55" s="17">
        <f t="shared" si="12"/>
        <v>0.76057203595547584</v>
      </c>
      <c r="F55" s="17">
        <f t="shared" si="12"/>
        <v>0.78572777370406732</v>
      </c>
      <c r="G55" s="17">
        <f t="shared" si="12"/>
        <v>0.71186326470494854</v>
      </c>
      <c r="H55" s="17">
        <f t="shared" si="12"/>
        <v>0.81959402324697816</v>
      </c>
      <c r="I55" s="17">
        <f t="shared" si="12"/>
        <v>0.94851677594866068</v>
      </c>
      <c r="J55" s="17">
        <f t="shared" si="12"/>
        <v>0.60345210112059255</v>
      </c>
      <c r="K55" s="17">
        <f t="shared" si="12"/>
        <v>0.48726403326372419</v>
      </c>
      <c r="L55" s="17">
        <f t="shared" si="12"/>
        <v>0.65623951605359165</v>
      </c>
      <c r="M55" s="17">
        <f t="shared" si="12"/>
        <v>0.75397650327621524</v>
      </c>
      <c r="N55" s="18"/>
    </row>
    <row r="56" spans="1:17" x14ac:dyDescent="0.25">
      <c r="A56" s="28" t="s">
        <v>9</v>
      </c>
      <c r="B56" s="17">
        <v>1.56</v>
      </c>
      <c r="C56" s="17">
        <v>1.56</v>
      </c>
      <c r="D56" s="17">
        <v>1.37</v>
      </c>
      <c r="E56" s="17">
        <v>1.37</v>
      </c>
      <c r="F56" s="17">
        <v>1.37</v>
      </c>
      <c r="G56" s="17">
        <v>1.37</v>
      </c>
      <c r="H56" s="17">
        <v>1.37</v>
      </c>
      <c r="I56" s="17">
        <v>1.37</v>
      </c>
      <c r="J56" s="17">
        <v>1.37</v>
      </c>
      <c r="K56" s="17">
        <v>1.37</v>
      </c>
      <c r="L56" s="17">
        <v>1.37</v>
      </c>
      <c r="M56" s="17">
        <v>1.37</v>
      </c>
      <c r="N56" s="18"/>
    </row>
    <row r="57" spans="1:17" ht="13" x14ac:dyDescent="0.3">
      <c r="A57" s="21" t="s">
        <v>22</v>
      </c>
      <c r="B57" s="21">
        <f>(B55-B56)*B53</f>
        <v>-194.67447472311105</v>
      </c>
      <c r="C57" s="21">
        <f t="shared" ref="C57:I57" si="13">(C55-C56)*C53</f>
        <v>-144.32903022626661</v>
      </c>
      <c r="D57" s="21">
        <f t="shared" si="13"/>
        <v>-64.567527482960202</v>
      </c>
      <c r="E57" s="21">
        <f t="shared" si="13"/>
        <v>-200.50180017064852</v>
      </c>
      <c r="F57" s="21">
        <f t="shared" si="13"/>
        <v>-192.22556245136192</v>
      </c>
      <c r="G57" s="21">
        <f t="shared" si="13"/>
        <v>-216.52698591207201</v>
      </c>
      <c r="H57" s="21">
        <f t="shared" si="13"/>
        <v>-181.08356635174425</v>
      </c>
      <c r="I57" s="21">
        <f t="shared" si="13"/>
        <v>-138.66798071289068</v>
      </c>
      <c r="J57" s="21">
        <f>(J55-J56)*J53</f>
        <v>-252.19425873132514</v>
      </c>
      <c r="K57" s="21">
        <f>(K55-K56)*K53</f>
        <v>-290.42013305623482</v>
      </c>
      <c r="L57" s="21">
        <f>(L55-L56)*L53</f>
        <v>-234.82719921836843</v>
      </c>
      <c r="M57" s="21">
        <f>(M55-M56)*M53</f>
        <v>-202.67173042212525</v>
      </c>
      <c r="N57" s="59">
        <f>SUM(B57:M57)</f>
        <v>-2312.6902494591091</v>
      </c>
    </row>
    <row r="58" spans="1:17" x14ac:dyDescent="0.25">
      <c r="N58" s="7"/>
    </row>
    <row r="59" spans="1:17" ht="14.5" x14ac:dyDescent="0.35">
      <c r="A59" s="2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23" t="s">
        <v>24</v>
      </c>
      <c r="N59" s="18">
        <f>ROUND(N57/N53,2)</f>
        <v>-0.59</v>
      </c>
    </row>
    <row r="60" spans="1:17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 t="s">
        <v>10</v>
      </c>
      <c r="N60" s="18">
        <f>ROUND(N51/N53,2)</f>
        <v>0.82</v>
      </c>
    </row>
    <row r="61" spans="1:17" ht="14.5" x14ac:dyDescent="0.35">
      <c r="A61" s="29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4" t="s">
        <v>11</v>
      </c>
      <c r="N61" s="59">
        <f>SUM(N59:N60)</f>
        <v>0.22999999999999998</v>
      </c>
    </row>
    <row r="62" spans="1:17" ht="14.5" x14ac:dyDescent="0.35">
      <c r="B62" s="26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59"/>
    </row>
    <row r="63" spans="1:17" ht="14.5" x14ac:dyDescent="0.35">
      <c r="A63" s="29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88" t="s">
        <v>12</v>
      </c>
      <c r="N63" s="59">
        <v>1.29</v>
      </c>
    </row>
    <row r="64" spans="1:17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 t="s">
        <v>13</v>
      </c>
      <c r="N64" s="18">
        <f>N63-N61</f>
        <v>1.06</v>
      </c>
      <c r="O64" s="96">
        <f>N64/N63</f>
        <v>0.82170542635658916</v>
      </c>
    </row>
    <row r="65" spans="1:60" x14ac:dyDescent="0.25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 t="s">
        <v>14</v>
      </c>
      <c r="N65" s="18">
        <f>N64*N53</f>
        <v>4184.88</v>
      </c>
    </row>
    <row r="66" spans="1:60" x14ac:dyDescent="0.25">
      <c r="N66" s="39"/>
    </row>
    <row r="67" spans="1:60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39"/>
    </row>
    <row r="68" spans="1:60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39"/>
    </row>
    <row r="69" spans="1:60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39"/>
    </row>
    <row r="70" spans="1:60" x14ac:dyDescent="0.25">
      <c r="N70" s="39"/>
    </row>
    <row r="71" spans="1:60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39"/>
    </row>
    <row r="72" spans="1:60" s="2" customFormat="1" x14ac:dyDescent="0.25">
      <c r="A72" s="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39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s="2" customFormat="1" x14ac:dyDescent="0.25">
      <c r="A73" s="1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39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s="2" customForma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39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s="2" customForma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9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s="2" customForma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39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s="2" customForma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39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s="2" customForma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39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s="2" customForma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39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s="2" customForma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39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spans="1:60" s="2" customForma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39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s="2" customForma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39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  <row r="83" spans="1:60" s="2" customForma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39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spans="1:60" s="2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39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 s="2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39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0" s="2" customForma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39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7" spans="1:60" s="2" customForma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39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spans="1:60" s="2" customForma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39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spans="1:60" s="2" customForma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39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</row>
    <row r="90" spans="1:60" s="2" customForma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39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</row>
    <row r="91" spans="1:60" s="2" customForma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39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pans="1:60" s="2" customForma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39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pans="1:60" s="2" customForma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39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pans="1:60" s="2" customForma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39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pans="1:60" s="2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39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pans="1:60" s="2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39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pans="1:60" s="2" customForma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39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pans="1:60" s="2" customForma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39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pans="1:60" s="2" customForma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39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pans="1:60" s="2" customForma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39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pans="1:60" s="2" customForma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39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pans="1:60" s="2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9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pans="1:60" s="2" customForma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</row>
  </sheetData>
  <pageMargins left="0.25" right="0.25" top="1" bottom="0.5" header="0.5" footer="0.5"/>
  <pageSetup scale="61" orientation="landscape" horizontalDpi="300" verticalDpi="300" r:id="rId1"/>
  <headerFooter alignWithMargins="0"/>
  <rowBreaks count="1" manualBreakCount="1">
    <brk id="34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160509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D69AA04E787054AB85B5E88FF7D01DA" ma:contentTypeVersion="104" ma:contentTypeDescription="" ma:contentTypeScope="" ma:versionID="febfcc9d48e64b5c41161b145dc5805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3F46-4EB6-4FE4-B09C-63CF8BDA7777}"/>
</file>

<file path=customXml/itemProps2.xml><?xml version="1.0" encoding="utf-8"?>
<ds:datastoreItem xmlns:ds="http://schemas.openxmlformats.org/officeDocument/2006/customXml" ds:itemID="{CB97DC84-4CDB-4218-A75A-A39A6AF2FF0C}"/>
</file>

<file path=customXml/itemProps3.xml><?xml version="1.0" encoding="utf-8"?>
<ds:datastoreItem xmlns:ds="http://schemas.openxmlformats.org/officeDocument/2006/customXml" ds:itemID="{157D658E-35D3-4F8D-B275-26266D1969BC}"/>
</file>

<file path=customXml/itemProps4.xml><?xml version="1.0" encoding="utf-8"?>
<ds:datastoreItem xmlns:ds="http://schemas.openxmlformats.org/officeDocument/2006/customXml" ds:itemID="{947A90A8-FB12-4915-B57E-99ED7F45EA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Designated RSA-1 Comm Credit</vt:lpstr>
      <vt:lpstr>Joe's Comm Credit</vt:lpstr>
      <vt:lpstr>'Designated RSA-1 Comm Credit'!Print_Area</vt:lpstr>
      <vt:lpstr>'Joe''s Comm Credit'!Print_Area</vt:lpstr>
      <vt:lpstr>'Designated RSA-1 Comm Credit'!Print_Titles</vt:lpstr>
    </vt:vector>
  </TitlesOfParts>
  <Company>Waste Connections,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Rollman, Courtney (UTC)</cp:lastModifiedBy>
  <cp:lastPrinted>2014-05-15T17:55:18Z</cp:lastPrinted>
  <dcterms:created xsi:type="dcterms:W3CDTF">2014-05-15T16:04:05Z</dcterms:created>
  <dcterms:modified xsi:type="dcterms:W3CDTF">2016-05-16T20:47:27Z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0x0101006E56B4D1795A2E4DB2F0B01679ED314A00ED69AA04E787054AB85B5E88FF7D01DA</vt:lpwstr>
  </property>
  <property fmtid="{D5CDD505-2E9C-101B-9397-08002B2CF9AE}" pid="3" name="_docset_NoMedatataSyncRequired">
    <vt:lpwstr>False</vt:lpwstr>
  </property>
</Properties>
</file>