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45" windowWidth="21075" windowHeight="10035" tabRatio="90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62912"/>
</workbook>
</file>

<file path=xl/calcChain.xml><?xml version="1.0" encoding="utf-8"?>
<calcChain xmlns="http://schemas.openxmlformats.org/spreadsheetml/2006/main">
  <c r="D34" i="13" l="1"/>
  <c r="D32" i="13"/>
  <c r="D21" i="13"/>
  <c r="E16" i="3"/>
  <c r="D19" i="13"/>
  <c r="C41" i="12"/>
  <c r="E12" i="3"/>
  <c r="D29" i="13"/>
  <c r="D20" i="13"/>
  <c r="D18" i="13"/>
  <c r="D17" i="13"/>
  <c r="D16" i="13"/>
  <c r="D28" i="13"/>
  <c r="D49" i="19"/>
  <c r="D47" i="19"/>
  <c r="D20" i="19"/>
  <c r="D12" i="19"/>
  <c r="D48" i="19"/>
  <c r="D50" i="19"/>
  <c r="D51" i="19"/>
  <c r="D28" i="1"/>
  <c r="D44" i="19"/>
  <c r="D45" i="19"/>
  <c r="D30" i="19"/>
  <c r="D52" i="19"/>
  <c r="F14" i="18"/>
  <c r="E19" i="3"/>
  <c r="D19" i="3"/>
  <c r="E52" i="13"/>
  <c r="D52" i="10"/>
  <c r="D22" i="10"/>
  <c r="E54" i="13"/>
  <c r="D54" i="10"/>
  <c r="D53" i="13"/>
  <c r="C53" i="13"/>
  <c r="E51" i="13"/>
  <c r="D51" i="10"/>
  <c r="E50" i="13"/>
  <c r="E53" i="13"/>
  <c r="E48" i="13"/>
  <c r="D48" i="10"/>
  <c r="E47" i="13"/>
  <c r="D47" i="10"/>
  <c r="E46" i="13"/>
  <c r="D46" i="10"/>
  <c r="E45" i="13"/>
  <c r="D45" i="10"/>
  <c r="E44" i="13"/>
  <c r="D44" i="10"/>
  <c r="E43" i="13"/>
  <c r="D43" i="10"/>
  <c r="E39" i="13"/>
  <c r="D39" i="10"/>
  <c r="E38" i="13"/>
  <c r="D38" i="10"/>
  <c r="E37" i="13"/>
  <c r="D37" i="10"/>
  <c r="D17" i="19"/>
  <c r="D36" i="13"/>
  <c r="C36" i="13"/>
  <c r="E35" i="13"/>
  <c r="D35" i="10"/>
  <c r="E34" i="13"/>
  <c r="D34" i="10"/>
  <c r="E33" i="13"/>
  <c r="D33" i="10"/>
  <c r="E32" i="13"/>
  <c r="C30" i="13"/>
  <c r="E29" i="13"/>
  <c r="D29" i="10"/>
  <c r="E27" i="13"/>
  <c r="D27" i="10"/>
  <c r="E26" i="13"/>
  <c r="D26" i="10"/>
  <c r="D23" i="13"/>
  <c r="D24" i="13"/>
  <c r="C23" i="13"/>
  <c r="C24" i="13"/>
  <c r="E21" i="13"/>
  <c r="E23" i="13"/>
  <c r="E20" i="13"/>
  <c r="D20" i="10"/>
  <c r="E19" i="13"/>
  <c r="D19" i="10"/>
  <c r="E18" i="13"/>
  <c r="D18" i="10"/>
  <c r="E17" i="13"/>
  <c r="D17" i="10"/>
  <c r="E16" i="13"/>
  <c r="D15" i="13"/>
  <c r="C15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D9" i="10"/>
  <c r="E36" i="13"/>
  <c r="D50" i="10"/>
  <c r="D32" i="10"/>
  <c r="D25" i="13"/>
  <c r="D21" i="10"/>
  <c r="C25" i="13"/>
  <c r="C31" i="13"/>
  <c r="C41" i="13"/>
  <c r="E24" i="13"/>
  <c r="D16" i="10"/>
  <c r="E15" i="13"/>
  <c r="C56" i="13"/>
  <c r="C55" i="13"/>
  <c r="E25" i="13"/>
  <c r="D30" i="13"/>
  <c r="E28" i="13"/>
  <c r="C57" i="13"/>
  <c r="C49" i="13"/>
  <c r="C58" i="13"/>
  <c r="I28" i="12"/>
  <c r="G28" i="5"/>
  <c r="I31" i="12"/>
  <c r="G31" i="5"/>
  <c r="I17" i="12"/>
  <c r="G17" i="5"/>
  <c r="G46" i="12"/>
  <c r="C46" i="12"/>
  <c r="B46" i="12"/>
  <c r="D45" i="12"/>
  <c r="C45" i="5"/>
  <c r="E12" i="18"/>
  <c r="I44" i="12"/>
  <c r="G44" i="5"/>
  <c r="D44" i="12"/>
  <c r="C44" i="5"/>
  <c r="I43" i="12"/>
  <c r="G43" i="5"/>
  <c r="D43" i="12"/>
  <c r="C43" i="5"/>
  <c r="I42" i="12"/>
  <c r="G42" i="5"/>
  <c r="D42" i="12"/>
  <c r="C42" i="5"/>
  <c r="E11" i="18"/>
  <c r="I41" i="12"/>
  <c r="G41" i="5"/>
  <c r="D41" i="12"/>
  <c r="C41" i="5"/>
  <c r="E10" i="18"/>
  <c r="I40" i="12"/>
  <c r="G40" i="5"/>
  <c r="I39" i="12"/>
  <c r="G39" i="5"/>
  <c r="B38" i="12"/>
  <c r="H37" i="12"/>
  <c r="G37" i="12"/>
  <c r="D37" i="12"/>
  <c r="C37" i="5"/>
  <c r="I36" i="12"/>
  <c r="G36" i="5"/>
  <c r="D36" i="12"/>
  <c r="C36" i="5"/>
  <c r="I35" i="12"/>
  <c r="G35" i="5"/>
  <c r="D35" i="12"/>
  <c r="C35" i="5"/>
  <c r="I34" i="12"/>
  <c r="D33" i="12"/>
  <c r="C33" i="5"/>
  <c r="H32" i="12"/>
  <c r="G32" i="12"/>
  <c r="D32" i="12"/>
  <c r="C32" i="5"/>
  <c r="I30" i="12"/>
  <c r="G30" i="5"/>
  <c r="D30" i="12"/>
  <c r="C30" i="5"/>
  <c r="I29" i="12"/>
  <c r="G29" i="5"/>
  <c r="D29" i="12"/>
  <c r="C29" i="5"/>
  <c r="I27" i="12"/>
  <c r="G27" i="5"/>
  <c r="I26" i="12"/>
  <c r="G26" i="5"/>
  <c r="I25" i="12"/>
  <c r="G25" i="5"/>
  <c r="C25" i="12"/>
  <c r="B25" i="12"/>
  <c r="I24" i="12"/>
  <c r="G24" i="5"/>
  <c r="D24" i="12"/>
  <c r="C24" i="5"/>
  <c r="I23" i="12"/>
  <c r="G23" i="5"/>
  <c r="D23" i="12"/>
  <c r="C23" i="5"/>
  <c r="I22" i="12"/>
  <c r="I32" i="12"/>
  <c r="D22" i="12"/>
  <c r="C22" i="5"/>
  <c r="D21" i="12"/>
  <c r="C21" i="5"/>
  <c r="E13" i="18"/>
  <c r="H20" i="12"/>
  <c r="G20" i="12"/>
  <c r="D20" i="12"/>
  <c r="C20" i="5"/>
  <c r="I19" i="12"/>
  <c r="G19" i="5"/>
  <c r="D19" i="12"/>
  <c r="C19" i="5"/>
  <c r="I18" i="12"/>
  <c r="G18" i="5"/>
  <c r="D18" i="12"/>
  <c r="C18" i="5"/>
  <c r="D17" i="12"/>
  <c r="C17" i="5"/>
  <c r="I16" i="12"/>
  <c r="G16" i="5"/>
  <c r="I15" i="12"/>
  <c r="G15" i="5"/>
  <c r="D15" i="12"/>
  <c r="C15" i="5"/>
  <c r="I14" i="12"/>
  <c r="G14" i="5"/>
  <c r="D14" i="12"/>
  <c r="C14" i="5"/>
  <c r="I13" i="12"/>
  <c r="G13" i="5"/>
  <c r="D13" i="12"/>
  <c r="C13" i="5"/>
  <c r="I12" i="12"/>
  <c r="G12" i="5"/>
  <c r="I11" i="12"/>
  <c r="G11" i="5"/>
  <c r="D11" i="12"/>
  <c r="C11" i="5"/>
  <c r="I10" i="12"/>
  <c r="D10" i="12"/>
  <c r="C10" i="5"/>
  <c r="H32" i="2"/>
  <c r="H20" i="2"/>
  <c r="C25" i="2"/>
  <c r="I37" i="12"/>
  <c r="E15" i="18"/>
  <c r="D35" i="19"/>
  <c r="E30" i="13"/>
  <c r="E31" i="13"/>
  <c r="D28" i="10"/>
  <c r="D55" i="13"/>
  <c r="D56" i="13"/>
  <c r="D31" i="13"/>
  <c r="D40" i="13"/>
  <c r="G22" i="5"/>
  <c r="B48" i="12"/>
  <c r="G48" i="12"/>
  <c r="I20" i="12"/>
  <c r="G10" i="5"/>
  <c r="G34" i="5"/>
  <c r="D46" i="12"/>
  <c r="D25" i="12"/>
  <c r="C34" i="12"/>
  <c r="H45" i="12"/>
  <c r="E12" i="8"/>
  <c r="E11" i="8"/>
  <c r="E56" i="13"/>
  <c r="E55" i="13"/>
  <c r="E40" i="13"/>
  <c r="E41" i="13"/>
  <c r="D41" i="13"/>
  <c r="I45" i="12"/>
  <c r="H46" i="12"/>
  <c r="H48" i="12"/>
  <c r="D34" i="12"/>
  <c r="C38" i="12"/>
  <c r="C48" i="12"/>
  <c r="D11" i="2"/>
  <c r="E58" i="13"/>
  <c r="D40" i="10"/>
  <c r="D18" i="19"/>
  <c r="D19" i="19"/>
  <c r="D57" i="13"/>
  <c r="D49" i="13"/>
  <c r="D58" i="13"/>
  <c r="I46" i="12"/>
  <c r="I48" i="12"/>
  <c r="G45" i="5"/>
  <c r="D38" i="12"/>
  <c r="D48" i="12"/>
  <c r="C34" i="5"/>
  <c r="D33" i="2"/>
  <c r="B38" i="2"/>
  <c r="D21" i="19"/>
  <c r="D22" i="19"/>
  <c r="E49" i="13"/>
  <c r="E57" i="13"/>
  <c r="E54" i="1"/>
  <c r="C53" i="1"/>
  <c r="E32" i="1"/>
  <c r="E33" i="1"/>
  <c r="C54" i="10"/>
  <c r="E52" i="1"/>
  <c r="C52" i="10"/>
  <c r="E51" i="1"/>
  <c r="C51" i="10"/>
  <c r="E50" i="1"/>
  <c r="C50" i="10"/>
  <c r="E43" i="1"/>
  <c r="C43" i="10"/>
  <c r="E44" i="1"/>
  <c r="C44" i="10"/>
  <c r="E45" i="1"/>
  <c r="C45" i="10"/>
  <c r="E46" i="1"/>
  <c r="C46" i="10"/>
  <c r="E47" i="1"/>
  <c r="C47" i="10"/>
  <c r="E48" i="1"/>
  <c r="C48" i="10"/>
  <c r="E38" i="1"/>
  <c r="C38" i="10"/>
  <c r="E39" i="1"/>
  <c r="C39" i="10"/>
  <c r="E37" i="1"/>
  <c r="C33" i="10"/>
  <c r="E34" i="1"/>
  <c r="E35" i="1"/>
  <c r="C35" i="10"/>
  <c r="C32" i="10"/>
  <c r="E27" i="1"/>
  <c r="E29" i="1"/>
  <c r="C29" i="10"/>
  <c r="E26" i="1"/>
  <c r="C26" i="10"/>
  <c r="E17" i="1"/>
  <c r="C17" i="10"/>
  <c r="E18" i="1"/>
  <c r="C18" i="10"/>
  <c r="E19" i="1"/>
  <c r="C19" i="10"/>
  <c r="E20" i="1"/>
  <c r="C20" i="10"/>
  <c r="E21" i="1"/>
  <c r="C21" i="10"/>
  <c r="C22" i="10"/>
  <c r="E16" i="1"/>
  <c r="C16" i="10"/>
  <c r="E10" i="1"/>
  <c r="E11" i="1"/>
  <c r="C11" i="10"/>
  <c r="E12" i="1"/>
  <c r="C12" i="10"/>
  <c r="E13" i="1"/>
  <c r="C13" i="10"/>
  <c r="E14" i="1"/>
  <c r="C14" i="10"/>
  <c r="E9" i="1"/>
  <c r="C9" i="10"/>
  <c r="D53" i="1"/>
  <c r="D36" i="1"/>
  <c r="C36" i="1"/>
  <c r="C30" i="1"/>
  <c r="D23" i="1"/>
  <c r="D24" i="1"/>
  <c r="C23" i="1"/>
  <c r="C24" i="1"/>
  <c r="D15" i="1"/>
  <c r="C15" i="1"/>
  <c r="C37" i="10"/>
  <c r="E36" i="1"/>
  <c r="D15" i="10"/>
  <c r="E21" i="3"/>
  <c r="C10" i="10"/>
  <c r="C55" i="1"/>
  <c r="C56" i="1"/>
  <c r="D53" i="10"/>
  <c r="D36" i="10"/>
  <c r="D10" i="19"/>
  <c r="D23" i="10"/>
  <c r="D24" i="10"/>
  <c r="D25" i="1"/>
  <c r="C53" i="10"/>
  <c r="C27" i="10"/>
  <c r="E23" i="1"/>
  <c r="E24" i="1"/>
  <c r="C25" i="1"/>
  <c r="D30" i="10"/>
  <c r="C34" i="10"/>
  <c r="C36" i="10"/>
  <c r="C23" i="10"/>
  <c r="C24" i="10"/>
  <c r="E53" i="1"/>
  <c r="E15" i="1"/>
  <c r="I40" i="2"/>
  <c r="F40" i="5"/>
  <c r="I41" i="2"/>
  <c r="F41" i="5"/>
  <c r="I42" i="2"/>
  <c r="F42" i="5"/>
  <c r="I43" i="2"/>
  <c r="F43" i="5"/>
  <c r="I44" i="2"/>
  <c r="F44" i="5"/>
  <c r="I39" i="2"/>
  <c r="F39" i="5"/>
  <c r="I35" i="2"/>
  <c r="F35" i="5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D10" i="18"/>
  <c r="F10" i="18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3" i="8"/>
  <c r="C13" i="8"/>
  <c r="F11" i="8"/>
  <c r="E25" i="1"/>
  <c r="C15" i="10"/>
  <c r="C25" i="10"/>
  <c r="D20" i="3"/>
  <c r="D21" i="3"/>
  <c r="C31" i="1"/>
  <c r="C41" i="1"/>
  <c r="G46" i="5"/>
  <c r="C38" i="5"/>
  <c r="D56" i="10"/>
  <c r="D55" i="10"/>
  <c r="E13" i="8"/>
  <c r="F13" i="8"/>
  <c r="D25" i="10"/>
  <c r="D31" i="10"/>
  <c r="G37" i="5"/>
  <c r="G32" i="5"/>
  <c r="G20" i="5"/>
  <c r="C46" i="5"/>
  <c r="F37" i="5"/>
  <c r="F32" i="5"/>
  <c r="F20" i="5"/>
  <c r="F12" i="8"/>
  <c r="B42" i="5"/>
  <c r="D11" i="18"/>
  <c r="B43" i="5"/>
  <c r="B44" i="5"/>
  <c r="B45" i="5"/>
  <c r="D12" i="18"/>
  <c r="F12" i="18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/>
  <c r="C38" i="2"/>
  <c r="D46" i="2"/>
  <c r="B46" i="2"/>
  <c r="D25" i="2"/>
  <c r="B25" i="2"/>
  <c r="D8" i="19"/>
  <c r="F11" i="18"/>
  <c r="D15" i="18"/>
  <c r="D34" i="19"/>
  <c r="D36" i="19"/>
  <c r="D37" i="19"/>
  <c r="E28" i="1"/>
  <c r="D30" i="1"/>
  <c r="H45" i="2"/>
  <c r="I45" i="2"/>
  <c r="F45" i="5"/>
  <c r="F46" i="5"/>
  <c r="F48" i="5"/>
  <c r="C49" i="1"/>
  <c r="C58" i="1"/>
  <c r="C57" i="1"/>
  <c r="H46" i="2"/>
  <c r="H48" i="2"/>
  <c r="D34" i="2"/>
  <c r="D41" i="10"/>
  <c r="G48" i="2"/>
  <c r="B48" i="2"/>
  <c r="B46" i="5"/>
  <c r="G48" i="5"/>
  <c r="B25" i="5"/>
  <c r="C48" i="5"/>
  <c r="D11" i="19"/>
  <c r="D13" i="19"/>
  <c r="D14" i="19"/>
  <c r="D49" i="10"/>
  <c r="D27" i="19"/>
  <c r="D29" i="19"/>
  <c r="D31" i="19"/>
  <c r="F15" i="18"/>
  <c r="D56" i="1"/>
  <c r="D55" i="1"/>
  <c r="D31" i="1"/>
  <c r="D40" i="1"/>
  <c r="C28" i="10"/>
  <c r="C30" i="10"/>
  <c r="E30" i="1"/>
  <c r="I46" i="2"/>
  <c r="I48" i="2"/>
  <c r="D57" i="10"/>
  <c r="C48" i="2"/>
  <c r="D58" i="10"/>
  <c r="D38" i="19"/>
  <c r="D39" i="19"/>
  <c r="D24" i="19"/>
  <c r="E56" i="1"/>
  <c r="E55" i="1"/>
  <c r="E31" i="1"/>
  <c r="C56" i="10"/>
  <c r="C55" i="10"/>
  <c r="C31" i="10"/>
  <c r="E40" i="1"/>
  <c r="D38" i="2"/>
  <c r="D48" i="2"/>
  <c r="B34" i="5"/>
  <c r="B38" i="5"/>
  <c r="B48" i="5"/>
  <c r="E41" i="1"/>
  <c r="D41" i="1"/>
  <c r="D57" i="1"/>
  <c r="C40" i="10"/>
  <c r="C41" i="10"/>
  <c r="D58" i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<sst xmlns="http://schemas.openxmlformats.org/spreadsheetml/2006/main" count="715" uniqueCount="314">
  <si>
    <t>STATE USF FILING</t>
  </si>
  <si>
    <t>FINANCIAL TEMPLATE</t>
  </si>
  <si>
    <t>"S CORP" COMPANIES</t>
  </si>
  <si>
    <t>Company Name: (Below)</t>
  </si>
  <si>
    <t>Westgate Communications, LLC</t>
  </si>
  <si>
    <t>Balance</t>
  </si>
  <si>
    <t>Part 64</t>
  </si>
  <si>
    <t>Adj. Balance</t>
  </si>
  <si>
    <t>ASSETS</t>
  </si>
  <si>
    <t>End of Year</t>
  </si>
  <si>
    <t>Adj to NonReg</t>
  </si>
  <si>
    <t>LIABILITIES AND STOCKHOLDERS' EQUITY</t>
  </si>
  <si>
    <t>2013 (A)</t>
  </si>
  <si>
    <t>2013 (B)</t>
  </si>
  <si>
    <t>2013 (C)</t>
  </si>
  <si>
    <t>CURRENT ASSETS</t>
  </si>
  <si>
    <t>CURRENT LIABILITIES</t>
  </si>
  <si>
    <t>1.  Cash and Equivalents</t>
  </si>
  <si>
    <t>25.  Accounts Payable</t>
  </si>
  <si>
    <t>2.  Cash-RUS Construction Fund</t>
  </si>
  <si>
    <t>26.  Notes Payable</t>
  </si>
  <si>
    <t>3.  Affiliates:</t>
  </si>
  <si>
    <t>27.  Advance Billings and Payments</t>
  </si>
  <si>
    <t xml:space="preserve">   a. Telecom, Accounts Receivable</t>
  </si>
  <si>
    <t>28.  Customer Deposits</t>
  </si>
  <si>
    <t xml:space="preserve">   b. Other Accounts Receivable</t>
  </si>
  <si>
    <t>29.  Current Mat. L/T Debt</t>
  </si>
  <si>
    <t xml:space="preserve">   c. Notes Receivable</t>
  </si>
  <si>
    <t>30.  Current Mat. L/T Debt Rur. Dev.</t>
  </si>
  <si>
    <t>4.  Non-Affiliates:</t>
  </si>
  <si>
    <t>31.  Current Mat. - Capital Leases</t>
  </si>
  <si>
    <t>32.  Income Taxes Accrued</t>
  </si>
  <si>
    <t>33.  Other Taxes Accrued</t>
  </si>
  <si>
    <t>34. Other Current Liabilities</t>
  </si>
  <si>
    <t>5.  Interest and Dividends Receivable</t>
  </si>
  <si>
    <t>35. Total Current Liabilities (25 thru 34)</t>
  </si>
  <si>
    <t>6.  Material-Regulated</t>
  </si>
  <si>
    <t>LONG-TERM DEBT</t>
  </si>
  <si>
    <t>7.  Material-Nonregulated</t>
  </si>
  <si>
    <t>36.  Funded Debt-RUS Notes</t>
  </si>
  <si>
    <t>8.  Prepayments</t>
  </si>
  <si>
    <t>37.  Funded Debt-RTB Notes</t>
  </si>
  <si>
    <t>9.  Other Current Assets</t>
  </si>
  <si>
    <t>38.  Funded Debt-FFB Notes</t>
  </si>
  <si>
    <t>10. Total Current Assets (1 Thru 9)</t>
  </si>
  <si>
    <t>39.  Funded Debt-Other</t>
  </si>
  <si>
    <t>40.  Funded Debt-Rural Develop. Loan</t>
  </si>
  <si>
    <t>NONCURRENT ASSETS</t>
  </si>
  <si>
    <t>41.  Premium (Discount) on L/T Debt</t>
  </si>
  <si>
    <t>11.  Investment in Affiliated Companies</t>
  </si>
  <si>
    <t>42.  Reacquired Debt</t>
  </si>
  <si>
    <t xml:space="preserve">    a. Rural Development</t>
  </si>
  <si>
    <t>43.  Obligations Under Capital Lease</t>
  </si>
  <si>
    <t xml:space="preserve">    b. Nonrural Development</t>
  </si>
  <si>
    <t>44.  Adv. From Affiliated Companies</t>
  </si>
  <si>
    <t>12.  Other Investments</t>
  </si>
  <si>
    <t>45.  Other Long-Term Debt</t>
  </si>
  <si>
    <t xml:space="preserve">   a. Rural Development</t>
  </si>
  <si>
    <t>46. Total Long-Term Debt (36 thru 45)</t>
  </si>
  <si>
    <t xml:space="preserve">   b. Nonrural Development</t>
  </si>
  <si>
    <t>OTHER LIAB. &amp; DEF. CREDITS</t>
  </si>
  <si>
    <t>13.  Nonregulated Investments (B1)</t>
  </si>
  <si>
    <t>47. Other Long-Term Liabilities</t>
  </si>
  <si>
    <t>14.  Other Noncurrent Assets</t>
  </si>
  <si>
    <t>48. Other Deferred Credits (C)</t>
  </si>
  <si>
    <t>15.  Deferred Charges</t>
  </si>
  <si>
    <t>49.  Other Jurisdictional Differences</t>
  </si>
  <si>
    <t>16.  Jurisdictional Differences</t>
  </si>
  <si>
    <t>50. Total Other Liab. &amp; Def. Credits (47 thru 49)</t>
  </si>
  <si>
    <t>17.  Total noncurrent Assets (11 thru 16)</t>
  </si>
  <si>
    <t>EQUITY</t>
  </si>
  <si>
    <t>51.  Cap. Stock Outstanding &amp; Subscribed</t>
  </si>
  <si>
    <t>PLANT, PROPERTY AND EQUIPMENT</t>
  </si>
  <si>
    <t>52.  Additional Paid-in-Capital</t>
  </si>
  <si>
    <t>18.  Telecom Plant-In-Service</t>
  </si>
  <si>
    <t>53. Treasury Stock</t>
  </si>
  <si>
    <t>19.  Property Held for Future Use</t>
  </si>
  <si>
    <t>54. Membership and cap. Certificates</t>
  </si>
  <si>
    <t>20.  Plant Under Construction</t>
  </si>
  <si>
    <t>55. Other Capital</t>
  </si>
  <si>
    <t>21.  Plant Adj.,Nonop Plant &amp; Goodwill</t>
  </si>
  <si>
    <t>56. Patronage Capital Credits</t>
  </si>
  <si>
    <t>22.   Accumulated Depreciation (CR.)</t>
  </si>
  <si>
    <t>57. Retained Earnings or Margins (B2)</t>
  </si>
  <si>
    <t>23.  Net Plant (18 thru 21 less 22)</t>
  </si>
  <si>
    <t>58. Total Equity (51 thru 57)</t>
  </si>
  <si>
    <t>24. TOTAL ASSETS (10+17+23)</t>
  </si>
  <si>
    <t>59.  TOTAL LIABILITIES AND EQUITY (35+46+50+58)</t>
  </si>
  <si>
    <t>Footnotes:</t>
  </si>
  <si>
    <t>(A) - As reported on RUS Form 479</t>
  </si>
  <si>
    <t>(B1) - Part 64 offset to nonreg investment</t>
  </si>
  <si>
    <t>(B) - Part 64 adjustments from regulated</t>
  </si>
  <si>
    <t>(B2) - Part 64 offset to retained earnings</t>
  </si>
  <si>
    <t>to nonregulated.</t>
  </si>
  <si>
    <t>(C) - Includes deferred taxes</t>
  </si>
  <si>
    <t>2014 (A)</t>
  </si>
  <si>
    <t>2014 (B)</t>
  </si>
  <si>
    <t>2014 (C)</t>
  </si>
  <si>
    <t>Adjusted</t>
  </si>
  <si>
    <t>Prior Year</t>
  </si>
  <si>
    <t>Current Year</t>
  </si>
  <si>
    <t>Balance 2013</t>
  </si>
  <si>
    <t>Balance 2014</t>
  </si>
  <si>
    <t>35. Total Current Liabilities (25 - 34)</t>
  </si>
  <si>
    <t>46. Total Long-Term Debt (36-45)</t>
  </si>
  <si>
    <t>13.  Nonregulated Investments</t>
  </si>
  <si>
    <t xml:space="preserve">48. Other Deferred Credits </t>
  </si>
  <si>
    <t>18.  Telecom Plant-in-Service</t>
  </si>
  <si>
    <t>22.  Accumulated Depreciation (CR.)</t>
  </si>
  <si>
    <t>57. Retained Earnings or Margins</t>
  </si>
  <si>
    <t>Footnote:</t>
  </si>
  <si>
    <t>Adjusted Balances represents balances</t>
  </si>
  <si>
    <t>after Part 64 adjustments</t>
  </si>
  <si>
    <t>B/S</t>
  </si>
  <si>
    <t>Average</t>
  </si>
  <si>
    <t>Line #</t>
  </si>
  <si>
    <t>Description</t>
  </si>
  <si>
    <t>Line</t>
  </si>
  <si>
    <t>Adj End of Year</t>
  </si>
  <si>
    <t>#</t>
  </si>
  <si>
    <t>Average Rate Base:</t>
  </si>
  <si>
    <t>Total Regulated Adjusted Telecom Plant-In-service</t>
  </si>
  <si>
    <t>Total Property Held for Future Use</t>
  </si>
  <si>
    <t>Total Regulated Adjusted Accumulated Depreciation (CR)</t>
  </si>
  <si>
    <t>Total Regulated Materials &amp; Supplies</t>
  </si>
  <si>
    <t>Deferred Income Taxes (CR)</t>
  </si>
  <si>
    <t>Total Regulated Rate Base</t>
  </si>
  <si>
    <t>1. Normal balance of deferred income taxes and</t>
  </si>
  <si>
    <t>accumulated depreciation is a credit.</t>
  </si>
  <si>
    <t>2. Adjusted balance includes Part 64 adjustments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</si>
  <si>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</si>
  <si>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</si>
  <si>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</si>
  <si>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</si>
  <si>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</si>
  <si>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</si>
  <si>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</si>
  <si>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Access Lines:</t>
  </si>
  <si>
    <t xml:space="preserve">  Residential</t>
  </si>
  <si>
    <t xml:space="preserve">  Business</t>
  </si>
  <si>
    <t xml:space="preserve">  Total</t>
  </si>
  <si>
    <t>Adj. to NonReg</t>
  </si>
  <si>
    <t>(A)</t>
  </si>
  <si>
    <t>(B)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</si>
  <si>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</si>
  <si>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</si>
  <si>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</si>
  <si>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</si>
  <si>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</si>
  <si>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Uncollectible Revenues (Normal Balance  is debit or in brackets)</t>
  </si>
  <si>
    <t>Net Operating Revenues (1 thru 6)</t>
  </si>
  <si>
    <t>Plant Specific Operations Expense</t>
  </si>
  <si>
    <t>Plant Nonspecific Operations Expense (excluding Depreciation &amp; Amort.)</t>
  </si>
  <si>
    <t>Depreciation Expense</t>
  </si>
  <si>
    <t>Amortization Expense</t>
  </si>
  <si>
    <t>Customer Operations Expense</t>
  </si>
  <si>
    <t>Corporate Operations</t>
  </si>
  <si>
    <t>13a</t>
  </si>
  <si>
    <t>Less:  Corporate Operations Adjustment (FCC 36.621) report in (  )</t>
  </si>
  <si>
    <t>(C)</t>
  </si>
  <si>
    <t>13b</t>
  </si>
  <si>
    <t>Adjusted Corporate Operations Expense (Line 13 minus Line 13a)</t>
  </si>
  <si>
    <t>Total Operations Expenses (8 thru 12 +13b)</t>
  </si>
  <si>
    <t>Operating Income or Margins (7 less 14)</t>
  </si>
  <si>
    <t>Other Operating Income and Expenses (  )</t>
  </si>
  <si>
    <t>State and Local Taxes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</si>
  <si>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</si>
  <si>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Other Taxes</t>
  </si>
  <si>
    <t>Total Operating Taxes (17+18+19)</t>
  </si>
  <si>
    <t>Net Operating Income or Margins (15+16-20)</t>
  </si>
  <si>
    <t>Interest on Funded Debt</t>
  </si>
  <si>
    <t>Interest Expense - Capital Leases</t>
  </si>
  <si>
    <t>Other Interest Expense</t>
  </si>
  <si>
    <t>Allowance for Funds Used During Construction (CR)</t>
  </si>
  <si>
    <t>Total Fixed Charges (22+23+24-25)</t>
  </si>
  <si>
    <t>Nonoperating Net Income</t>
  </si>
  <si>
    <t>Extraordinary Items</t>
  </si>
  <si>
    <t>Jurisdictional Differences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</si>
  <si>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</si>
  <si>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t>Total Net Income or Margins (21+27+28+29+30-26)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</si>
  <si>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</si>
  <si>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</si>
  <si>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</si>
  <si>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</si>
  <si>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</si>
  <si>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</si>
  <si>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</si>
  <si>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End-of-Period ((31+33+34)-(35+36+37+38)(A2)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</si>
  <si>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</si>
  <si>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</si>
  <si>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</si>
  <si>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</si>
  <si>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</si>
  <si>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</si>
  <si>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</si>
  <si>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</si>
  <si>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As reported on RUS Form 479</t>
  </si>
  <si>
    <t>(A1)</t>
  </si>
  <si>
    <t xml:space="preserve">S Corps provide effective tax rate from Cost study on Page 8 Inc. Stmt </t>
  </si>
  <si>
    <t>Summary Schedule Footnote</t>
  </si>
  <si>
    <t>(A2)</t>
  </si>
  <si>
    <t>Column A, Line 39 must equal Column A, Line 57 of Page 1, Balance Sheet</t>
  </si>
  <si>
    <t>Part 64 adjustment from regulated to nonregulated</t>
  </si>
  <si>
    <t>(B1)</t>
  </si>
  <si>
    <t>Part 64 offset to nonregulated income (No Impact to retained earnings)</t>
  </si>
  <si>
    <t xml:space="preserve">Corp. Op. Adj Exp. Reduction - See Exhibit 7 of Petition which takes </t>
  </si>
  <si>
    <t>() amount * 65% to Line 13a, Column C</t>
  </si>
  <si>
    <t>(Reduces total operating expense (L 14) and increases Operating Inc. (L15)</t>
  </si>
  <si>
    <t>S Corps provide effective tax rate from Cost study on Page 8, Inc. Stmt</t>
  </si>
  <si>
    <t xml:space="preserve"> Summary Schedule Footnote</t>
  </si>
  <si>
    <t>Column A, Line 39 must equal Column A, Line 57 of Page 2, Balance Sheet</t>
  </si>
  <si>
    <t>Corp. Op. Adj Exp. Reduction - See Exhibit 7 of Petition which takes</t>
  </si>
  <si>
    <t xml:space="preserve"> () amount * 65% to Line 13a, Column C</t>
  </si>
  <si>
    <t>Company Name:</t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</si>
  <si>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</si>
  <si>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Allowance for Funds Used During Construction</t>
  </si>
  <si>
    <t>Nonregulated Net Income</t>
  </si>
  <si>
    <t>Retained Earnings or Margins End-of-Period ((31+33+34)-(35+36+37+38)</t>
  </si>
  <si>
    <t xml:space="preserve">Footnote </t>
  </si>
  <si>
    <t>2013</t>
  </si>
  <si>
    <t>2014</t>
  </si>
  <si>
    <t>S Corporation Effective Tax Rate (2 decimal places):</t>
  </si>
  <si>
    <t>Note:</t>
  </si>
  <si>
    <t>Adjusted Income Statement reflects Part 64 Adustments (Regulated to</t>
  </si>
  <si>
    <t>Nonregulated).</t>
  </si>
  <si>
    <t>Part 32</t>
  </si>
  <si>
    <t>Account</t>
  </si>
  <si>
    <t>End User Revenue (SLC, ARC, etc.)</t>
  </si>
  <si>
    <t>5081</t>
  </si>
  <si>
    <t>Switched Access (excluding USF):</t>
  </si>
  <si>
    <t>5082</t>
  </si>
  <si>
    <t>2a</t>
  </si>
  <si>
    <t xml:space="preserve">  Intrastate</t>
  </si>
  <si>
    <t>2b</t>
  </si>
  <si>
    <t xml:space="preserve">  Interstate (includes CAF)</t>
  </si>
  <si>
    <t>Special Access:</t>
  </si>
  <si>
    <t>3a</t>
  </si>
  <si>
    <t>3b</t>
  </si>
  <si>
    <t xml:space="preserve">  Interstate</t>
  </si>
  <si>
    <t>Federal USF (ICLS/HCL/SN)</t>
  </si>
  <si>
    <t>Varies</t>
  </si>
  <si>
    <t>State USF</t>
  </si>
  <si>
    <t>Other*</t>
  </si>
  <si>
    <t>Total (must equal line 2 of Income Stmt.)</t>
  </si>
  <si>
    <t>Line 2 of Income Stmt.</t>
  </si>
  <si>
    <t>* - if &gt; than 5% of Access revenue total,</t>
  </si>
  <si>
    <t>provide description  below.</t>
  </si>
  <si>
    <t>Description of Out-of-Period - 2014 (As Recorded)</t>
  </si>
  <si>
    <t>Part 32 Account</t>
  </si>
  <si>
    <t>Debit</t>
  </si>
  <si>
    <t>Credit</t>
  </si>
  <si>
    <t>Adjustment #1:</t>
  </si>
  <si>
    <t>Adjustment #2:</t>
  </si>
  <si>
    <t>Adjustment #3:</t>
  </si>
  <si>
    <t>Adjustment #4</t>
  </si>
  <si>
    <t>Source(A)</t>
  </si>
  <si>
    <t>Net Operating Income Inputted FIT Calculation</t>
  </si>
  <si>
    <t>Page 9, Line 21 (CY)</t>
  </si>
  <si>
    <t xml:space="preserve">Adjusted Net Operating Income </t>
  </si>
  <si>
    <t>Out-of-Period Adjustments</t>
  </si>
  <si>
    <t>Page 9, Line 26 (CY)</t>
  </si>
  <si>
    <t>Total Fixed Charges</t>
  </si>
  <si>
    <t>Sum</t>
  </si>
  <si>
    <t>Adj. Taxable Operating Income (Line 1 + Line 2 - Line 3)</t>
  </si>
  <si>
    <t>Inputted S Corp. Tax Rate(B)</t>
  </si>
  <si>
    <t>Calculated</t>
  </si>
  <si>
    <t>inputted FIT (Line 4* Line 5)</t>
  </si>
  <si>
    <t>Adj. Net Operating income after FIT (Line 1 - Line 6)</t>
  </si>
  <si>
    <t>NonOperating Income Inputted FIT Calculation</t>
  </si>
  <si>
    <t>Page 9, Line 27 (CY)</t>
  </si>
  <si>
    <t>Nonoperating net income</t>
  </si>
  <si>
    <t>Page 9, Line 30 (CY)</t>
  </si>
  <si>
    <t>Nonregulated net income</t>
  </si>
  <si>
    <t>Sub-Total (Line 27+Line 30)</t>
  </si>
  <si>
    <t>FIT (Line 10 * Line 11)</t>
  </si>
  <si>
    <t>Nonop/Nonreg income after FIT (Line 10 - Line 12)</t>
  </si>
  <si>
    <t xml:space="preserve"> Adjusted Net Income w/inputted FIT </t>
  </si>
  <si>
    <t>(B)+(C)-(A)</t>
  </si>
  <si>
    <t>Sanity Check:</t>
  </si>
  <si>
    <t>Page 9, Line 31 (CY)</t>
  </si>
  <si>
    <t xml:space="preserve">Line 31 as reported </t>
  </si>
  <si>
    <t>Total</t>
  </si>
  <si>
    <t>Inverse of effective tax rate (100%-Line 10 percent)</t>
  </si>
  <si>
    <t>Adjusted Net Income (Line 17*Line 18) = Line 14</t>
  </si>
  <si>
    <t>(D)</t>
  </si>
  <si>
    <t>Regulated Rate of Return</t>
  </si>
  <si>
    <t>Page 5, Total (PY)</t>
  </si>
  <si>
    <t>Regulated rate base Year End 2013</t>
  </si>
  <si>
    <t>Page 5, Total (CY)</t>
  </si>
  <si>
    <t>Regulated rate base Year End 2014</t>
  </si>
  <si>
    <t>Simple Avg.</t>
  </si>
  <si>
    <t>(E)</t>
  </si>
  <si>
    <t>Line 7 (above)</t>
  </si>
  <si>
    <t>Adj Operating Income after inputted FIT</t>
  </si>
  <si>
    <t>Regulated rate of return</t>
  </si>
  <si>
    <t>(B)/(E)</t>
  </si>
  <si>
    <t>Source</t>
  </si>
  <si>
    <t>Total Consolidated Company Return on Equity</t>
  </si>
  <si>
    <t>Audited FinStmts</t>
  </si>
  <si>
    <t xml:space="preserve">Total Equity Year End 2013 </t>
  </si>
  <si>
    <t xml:space="preserve">Total Equity Year End 2014 </t>
  </si>
  <si>
    <t>(G)</t>
  </si>
  <si>
    <t xml:space="preserve">Consolidated Net Income  </t>
  </si>
  <si>
    <t>Line 2 above</t>
  </si>
  <si>
    <t xml:space="preserve">Out-of-period adjustment </t>
  </si>
  <si>
    <t>Adjusted Consolidated Net Income</t>
  </si>
  <si>
    <t>Inputted S Corp Tax Rate</t>
  </si>
  <si>
    <t>Inputted FIT (Line 34 * Line 35)</t>
  </si>
  <si>
    <t>Adj Consolidated Net Income after inputted FIT</t>
  </si>
  <si>
    <t>(H)</t>
  </si>
  <si>
    <t>Total Adj. Consolidated Company Return on Equity</t>
  </si>
  <si>
    <t>(H)/(G)</t>
  </si>
  <si>
    <t>(A) - Source is financial template in state USF petition</t>
  </si>
  <si>
    <t>(B) - Company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</si>
</sst>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6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6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165" fontId="0" fillId="0" borderId="0" xfId="0" applyNumberFormat="1" applyBorder="1"/>
    <xf numFmtId="165" fontId="0" fillId="0" borderId="1" xfId="0" applyNumberFormat="1" applyBorder="1"/>
    <xf numFmtId="10" fontId="0" fillId="0" borderId="0" xfId="0" applyNumberFormat="1" applyBorder="1"/>
    <xf numFmtId="164" fontId="0" fillId="0" borderId="17" xfId="2" applyNumberFormat="1" applyFont="1" applyBorder="1"/>
    <xf numFmtId="168" fontId="0" fillId="0" borderId="0" xfId="5" applyNumberFormat="1" applyFont="1" applyBorder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6" xfId="2" applyNumberFormat="1" applyFont="1" applyBorder="1"/>
    <xf numFmtId="165" fontId="0" fillId="0" borderId="10" xfId="3" applyNumberFormat="1" applyFont="1" applyBorder="1"/>
    <xf numFmtId="165" fontId="0" fillId="0" borderId="11" xfId="0" applyNumberFormat="1" applyBorder="1"/>
    <xf numFmtId="10" fontId="0" fillId="0" borderId="0" xfId="2" applyNumberFormat="1" applyFont="1" applyBorder="1"/>
    <xf numFmtId="0" fontId="0" fillId="0" borderId="0" xfId="0" applyFill="1"/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37" fontId="0" fillId="0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32" t="s">
        <v>0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32" t="s">
        <v>1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32" t="s">
        <v>2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3</v>
      </c>
    </row>
    <row r="3" spans="1:5" x14ac:dyDescent="0.25">
      <c r="B3" s="59" t="s">
        <v>4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99</v>
      </c>
      <c r="E6" s="24" t="s">
        <v>100</v>
      </c>
    </row>
    <row r="7" spans="1:5" x14ac:dyDescent="0.25">
      <c r="A7" s="18" t="s">
        <v>115</v>
      </c>
      <c r="B7" s="11" t="s">
        <v>116</v>
      </c>
      <c r="C7" s="11" t="s">
        <v>225</v>
      </c>
      <c r="D7" s="11">
        <v>2013</v>
      </c>
      <c r="E7" s="5">
        <v>2014</v>
      </c>
    </row>
    <row r="8" spans="1:5" x14ac:dyDescent="0.25">
      <c r="A8" s="20"/>
      <c r="B8" s="20"/>
      <c r="C8" s="12" t="s">
        <v>226</v>
      </c>
      <c r="D8" s="26"/>
      <c r="E8" s="30"/>
    </row>
    <row r="9" spans="1:5" x14ac:dyDescent="0.25">
      <c r="A9" s="10">
        <v>1</v>
      </c>
      <c r="B9" s="7" t="s">
        <v>227</v>
      </c>
      <c r="C9" s="28" t="s">
        <v>228</v>
      </c>
      <c r="D9" s="56">
        <v>4016</v>
      </c>
      <c r="E9" s="56">
        <v>4772.17</v>
      </c>
    </row>
    <row r="10" spans="1:5" x14ac:dyDescent="0.25">
      <c r="A10" s="11">
        <v>2</v>
      </c>
      <c r="B10" s="45" t="s">
        <v>229</v>
      </c>
      <c r="C10" s="29" t="s">
        <v>230</v>
      </c>
      <c r="D10" s="45"/>
      <c r="E10" s="45"/>
    </row>
    <row r="11" spans="1:5" x14ac:dyDescent="0.25">
      <c r="A11" s="11" t="s">
        <v>231</v>
      </c>
      <c r="B11" s="18" t="s">
        <v>232</v>
      </c>
      <c r="C11" s="11"/>
      <c r="D11" s="53">
        <v>28051</v>
      </c>
      <c r="E11" s="53">
        <v>17597.439999999999</v>
      </c>
    </row>
    <row r="12" spans="1:5" x14ac:dyDescent="0.25">
      <c r="A12" s="11" t="s">
        <v>233</v>
      </c>
      <c r="B12" s="18" t="s">
        <v>234</v>
      </c>
      <c r="C12" s="11"/>
      <c r="D12" s="53">
        <v>91768</v>
      </c>
      <c r="E12" s="53">
        <f>23076.18+20768+11324</f>
        <v>55168.18</v>
      </c>
    </row>
    <row r="13" spans="1:5" x14ac:dyDescent="0.25">
      <c r="A13" s="11">
        <v>3</v>
      </c>
      <c r="B13" s="45" t="s">
        <v>235</v>
      </c>
      <c r="C13" s="11">
        <v>5083</v>
      </c>
      <c r="D13" s="45"/>
      <c r="E13" s="45"/>
    </row>
    <row r="14" spans="1:5" x14ac:dyDescent="0.25">
      <c r="A14" s="11" t="s">
        <v>236</v>
      </c>
      <c r="B14" s="18" t="s">
        <v>232</v>
      </c>
      <c r="C14" s="11"/>
      <c r="D14" s="53"/>
      <c r="E14" s="53"/>
    </row>
    <row r="15" spans="1:5" x14ac:dyDescent="0.25">
      <c r="A15" s="11" t="s">
        <v>237</v>
      </c>
      <c r="B15" s="18" t="s">
        <v>238</v>
      </c>
      <c r="C15" s="11"/>
      <c r="D15" s="53"/>
      <c r="E15" s="53"/>
    </row>
    <row r="16" spans="1:5" x14ac:dyDescent="0.25">
      <c r="A16" s="11">
        <v>4</v>
      </c>
      <c r="B16" s="18" t="s">
        <v>239</v>
      </c>
      <c r="C16" s="11" t="s">
        <v>240</v>
      </c>
      <c r="D16" s="53">
        <v>366587</v>
      </c>
      <c r="E16" s="53">
        <f>81386+45768+130464+54603+28.79</f>
        <v>312249.78999999998</v>
      </c>
    </row>
    <row r="17" spans="1:5" x14ac:dyDescent="0.25">
      <c r="A17" s="11">
        <v>5</v>
      </c>
      <c r="B17" s="18" t="s">
        <v>241</v>
      </c>
      <c r="C17" s="11"/>
      <c r="D17" s="53"/>
      <c r="E17" s="53">
        <v>21183</v>
      </c>
    </row>
    <row r="18" spans="1:5" x14ac:dyDescent="0.25">
      <c r="A18" s="11">
        <v>6</v>
      </c>
      <c r="B18" s="18" t="s">
        <v>242</v>
      </c>
      <c r="C18" s="12"/>
      <c r="D18" s="54"/>
      <c r="E18" s="54"/>
    </row>
    <row r="19" spans="1:5" x14ac:dyDescent="0.25">
      <c r="A19" s="11">
        <v>7</v>
      </c>
      <c r="B19" s="18" t="s">
        <v>243</v>
      </c>
      <c r="C19" s="7"/>
      <c r="D19" s="36">
        <f>D9+D11+D12+D14+D15+D16+D17+D18</f>
        <v>490422</v>
      </c>
      <c r="E19" s="36">
        <f>E9+E11+E12+E14+E15+E16+E17+E18</f>
        <v>410970.57999999996</v>
      </c>
    </row>
    <row r="20" spans="1:5" x14ac:dyDescent="0.25">
      <c r="A20" s="11">
        <v>8</v>
      </c>
      <c r="B20" s="19" t="s">
        <v>244</v>
      </c>
      <c r="C20" s="18"/>
      <c r="D20" s="38">
        <f>IncomeStmtSummary!C10</f>
        <v>490422</v>
      </c>
      <c r="E20" s="38">
        <f>IncomeStmtSummary!D10</f>
        <v>410971</v>
      </c>
    </row>
    <row r="21" spans="1:5" ht="15.75" thickBot="1" x14ac:dyDescent="0.3">
      <c r="A21" s="12">
        <v>9</v>
      </c>
      <c r="B21" s="52" t="s">
        <v>132</v>
      </c>
      <c r="C21" s="20"/>
      <c r="D21" s="51">
        <f>D19-D20</f>
        <v>0</v>
      </c>
      <c r="E21" s="35">
        <f>E19-E20</f>
        <v>-0.42000000004190952</v>
      </c>
    </row>
    <row r="22" spans="1:5" ht="15.75" thickTop="1" x14ac:dyDescent="0.25">
      <c r="B22" s="74" t="s">
        <v>110</v>
      </c>
      <c r="C22" s="68"/>
      <c r="D22" s="68"/>
      <c r="E22" s="68"/>
    </row>
    <row r="23" spans="1:5" x14ac:dyDescent="0.25">
      <c r="B23" t="s">
        <v>245</v>
      </c>
      <c r="C23" s="68"/>
      <c r="D23" s="68"/>
      <c r="E23" s="68"/>
    </row>
    <row r="24" spans="1:5" x14ac:dyDescent="0.25">
      <c r="B24" t="s">
        <v>246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YSWYUH0ZyqqrZjtZv7ElvnTmH5OlhbzaqGAISdfgwZ/ckGhB8MzAj8lmJBOJb6TJ0szhfQ8v6zQ9VIX7ECp3WQ==" saltValue="h61GanSs8qOWBEX54ucOK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F25" sqref="F25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247</v>
      </c>
      <c r="B4" s="134" t="s">
        <v>248</v>
      </c>
      <c r="C4" s="134"/>
    </row>
    <row r="5" spans="1:3" x14ac:dyDescent="0.25">
      <c r="B5" s="48" t="s">
        <v>249</v>
      </c>
      <c r="C5" s="48" t="s">
        <v>250</v>
      </c>
    </row>
    <row r="6" spans="1:3" x14ac:dyDescent="0.25">
      <c r="A6" t="s">
        <v>251</v>
      </c>
    </row>
    <row r="11" spans="1:3" x14ac:dyDescent="0.25">
      <c r="A11" t="s">
        <v>252</v>
      </c>
    </row>
    <row r="16" spans="1:3" x14ac:dyDescent="0.25">
      <c r="A16" t="s">
        <v>253</v>
      </c>
    </row>
    <row r="21" spans="1:1" x14ac:dyDescent="0.25">
      <c r="A21" t="s">
        <v>254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zoomScaleNormal="100" workbookViewId="0"/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213</v>
      </c>
    </row>
    <row r="3" spans="1:6" x14ac:dyDescent="0.25">
      <c r="C3" s="59" t="s">
        <v>4</v>
      </c>
      <c r="D3" s="68"/>
      <c r="E3" s="68"/>
    </row>
    <row r="4" spans="1:6" x14ac:dyDescent="0.25">
      <c r="C4" s="69"/>
      <c r="D4" s="68"/>
      <c r="E4" s="68"/>
    </row>
    <row r="6" spans="1:6" x14ac:dyDescent="0.25">
      <c r="A6" s="7"/>
      <c r="B6" s="7"/>
      <c r="C6" s="7"/>
      <c r="D6" s="28" t="s">
        <v>220</v>
      </c>
      <c r="E6" s="7"/>
    </row>
    <row r="7" spans="1:6" x14ac:dyDescent="0.25">
      <c r="A7" s="78" t="s">
        <v>115</v>
      </c>
      <c r="B7" s="9" t="s">
        <v>255</v>
      </c>
      <c r="C7" s="9" t="s">
        <v>256</v>
      </c>
      <c r="D7" s="20"/>
      <c r="E7" s="20"/>
    </row>
    <row r="8" spans="1:6" x14ac:dyDescent="0.25">
      <c r="A8" s="10">
        <v>1</v>
      </c>
      <c r="B8" s="7" t="s">
        <v>257</v>
      </c>
      <c r="C8" s="7" t="s">
        <v>258</v>
      </c>
      <c r="D8" s="95">
        <f>IncomeStmtSummary!D31</f>
        <v>-90766</v>
      </c>
      <c r="E8" s="7"/>
    </row>
    <row r="9" spans="1:6" x14ac:dyDescent="0.25">
      <c r="A9" s="11">
        <v>2</v>
      </c>
      <c r="B9" s="18"/>
      <c r="C9" s="18" t="s">
        <v>259</v>
      </c>
      <c r="D9" s="125"/>
      <c r="E9" s="18"/>
    </row>
    <row r="10" spans="1:6" x14ac:dyDescent="0.25">
      <c r="A10" s="11">
        <v>3</v>
      </c>
      <c r="B10" s="18" t="s">
        <v>260</v>
      </c>
      <c r="C10" s="18" t="s">
        <v>261</v>
      </c>
      <c r="D10" s="96">
        <f>IncomeStmtSummary!D36</f>
        <v>59889</v>
      </c>
      <c r="E10" s="11" t="s">
        <v>142</v>
      </c>
    </row>
    <row r="11" spans="1:6" x14ac:dyDescent="0.25">
      <c r="A11" s="11">
        <v>4</v>
      </c>
      <c r="B11" s="18" t="s">
        <v>262</v>
      </c>
      <c r="C11" s="18" t="s">
        <v>263</v>
      </c>
      <c r="D11" s="95">
        <f>D8+D9-D10</f>
        <v>-150655</v>
      </c>
      <c r="E11" s="18"/>
    </row>
    <row r="12" spans="1:6" x14ac:dyDescent="0.25">
      <c r="A12" s="11">
        <v>5</v>
      </c>
      <c r="B12" s="18"/>
      <c r="C12" s="18" t="s">
        <v>264</v>
      </c>
      <c r="D12" s="97">
        <f>IncomeStmtSummary!D62</f>
        <v>0.1303</v>
      </c>
      <c r="E12" s="18"/>
      <c r="F12" s="124"/>
    </row>
    <row r="13" spans="1:6" x14ac:dyDescent="0.25">
      <c r="A13" s="11">
        <v>6</v>
      </c>
      <c r="B13" s="18" t="s">
        <v>265</v>
      </c>
      <c r="C13" s="18" t="s">
        <v>266</v>
      </c>
      <c r="D13" s="98">
        <f>D11*D12</f>
        <v>-19630.3465</v>
      </c>
      <c r="E13" s="18"/>
    </row>
    <row r="14" spans="1:6" ht="15.75" thickBot="1" x14ac:dyDescent="0.3">
      <c r="A14" s="12">
        <v>7</v>
      </c>
      <c r="B14" s="20" t="s">
        <v>262</v>
      </c>
      <c r="C14" s="20" t="s">
        <v>267</v>
      </c>
      <c r="D14" s="99">
        <f>D8-D13</f>
        <v>-71135.6535</v>
      </c>
      <c r="E14" s="12" t="s">
        <v>143</v>
      </c>
    </row>
    <row r="15" spans="1:6" ht="15.75" thickTop="1" x14ac:dyDescent="0.25">
      <c r="A15" s="100"/>
      <c r="B15" s="101"/>
      <c r="C15" s="101"/>
      <c r="D15" s="101"/>
      <c r="E15" s="102"/>
    </row>
    <row r="16" spans="1:6" x14ac:dyDescent="0.25">
      <c r="A16" s="79" t="s">
        <v>115</v>
      </c>
      <c r="B16" s="103" t="s">
        <v>255</v>
      </c>
      <c r="C16" s="103" t="s">
        <v>268</v>
      </c>
      <c r="D16" s="80"/>
      <c r="E16" s="80"/>
    </row>
    <row r="17" spans="1:6" x14ac:dyDescent="0.25">
      <c r="A17" s="10">
        <v>8</v>
      </c>
      <c r="B17" s="7" t="s">
        <v>269</v>
      </c>
      <c r="C17" s="7" t="s">
        <v>270</v>
      </c>
      <c r="D17" s="95">
        <f>IncomeStmtSummary!D37</f>
        <v>36748</v>
      </c>
      <c r="E17" s="7"/>
    </row>
    <row r="18" spans="1:6" x14ac:dyDescent="0.25">
      <c r="A18" s="11">
        <v>9</v>
      </c>
      <c r="B18" s="18" t="s">
        <v>271</v>
      </c>
      <c r="C18" s="18" t="s">
        <v>272</v>
      </c>
      <c r="D18" s="96">
        <f>IncomeStmtSummary!D40</f>
        <v>-78433</v>
      </c>
      <c r="E18" s="18"/>
    </row>
    <row r="19" spans="1:6" x14ac:dyDescent="0.25">
      <c r="A19" s="11">
        <v>10</v>
      </c>
      <c r="B19" s="18" t="s">
        <v>262</v>
      </c>
      <c r="C19" s="18" t="s">
        <v>273</v>
      </c>
      <c r="D19" s="95">
        <f>SUM(D17:D18)</f>
        <v>-41685</v>
      </c>
      <c r="E19" s="18"/>
    </row>
    <row r="20" spans="1:6" x14ac:dyDescent="0.25">
      <c r="A20" s="11">
        <v>11</v>
      </c>
      <c r="B20" s="18"/>
      <c r="C20" s="18" t="s">
        <v>264</v>
      </c>
      <c r="D20" s="97">
        <f>IncomeStmtSummary!D62</f>
        <v>0.1303</v>
      </c>
      <c r="E20" s="18"/>
    </row>
    <row r="21" spans="1:6" x14ac:dyDescent="0.25">
      <c r="A21" s="11">
        <v>12</v>
      </c>
      <c r="B21" s="18" t="s">
        <v>265</v>
      </c>
      <c r="C21" s="18" t="s">
        <v>274</v>
      </c>
      <c r="D21" s="98">
        <f>D19*D20</f>
        <v>-5431.5555000000004</v>
      </c>
      <c r="E21" s="18"/>
    </row>
    <row r="22" spans="1:6" ht="15.75" thickBot="1" x14ac:dyDescent="0.3">
      <c r="A22" s="12">
        <v>13</v>
      </c>
      <c r="B22" s="20" t="s">
        <v>262</v>
      </c>
      <c r="C22" s="20" t="s">
        <v>275</v>
      </c>
      <c r="D22" s="99">
        <f>D19-D21</f>
        <v>-36253.444499999998</v>
      </c>
      <c r="E22" s="12" t="s">
        <v>159</v>
      </c>
    </row>
    <row r="23" spans="1:6" ht="15.75" thickTop="1" x14ac:dyDescent="0.25">
      <c r="A23" s="104"/>
      <c r="B23" s="105"/>
      <c r="C23" s="105"/>
      <c r="D23" s="106"/>
      <c r="E23" s="102"/>
    </row>
    <row r="24" spans="1:6" ht="15.75" thickBot="1" x14ac:dyDescent="0.3">
      <c r="A24" s="107">
        <v>14</v>
      </c>
      <c r="B24" s="80" t="s">
        <v>262</v>
      </c>
      <c r="C24" s="103" t="s">
        <v>276</v>
      </c>
      <c r="D24" s="108">
        <f>D14+D22-D10</f>
        <v>-167278.098</v>
      </c>
      <c r="E24" s="80" t="s">
        <v>277</v>
      </c>
    </row>
    <row r="25" spans="1:6" ht="15.75" thickTop="1" x14ac:dyDescent="0.25">
      <c r="A25" s="100"/>
      <c r="B25" s="105"/>
      <c r="C25" s="105"/>
      <c r="D25" s="109"/>
      <c r="E25" s="17"/>
    </row>
    <row r="26" spans="1:6" x14ac:dyDescent="0.25">
      <c r="A26" s="103" t="s">
        <v>115</v>
      </c>
      <c r="B26" s="103" t="s">
        <v>255</v>
      </c>
      <c r="C26" s="103" t="s">
        <v>278</v>
      </c>
      <c r="D26" s="80"/>
      <c r="E26" s="80"/>
    </row>
    <row r="27" spans="1:6" x14ac:dyDescent="0.25">
      <c r="A27" s="10">
        <v>15</v>
      </c>
      <c r="B27" s="7" t="s">
        <v>279</v>
      </c>
      <c r="C27" s="7" t="s">
        <v>280</v>
      </c>
      <c r="D27" s="95">
        <f>IncomeStmtSummary!D41</f>
        <v>-192340</v>
      </c>
      <c r="E27" s="7"/>
    </row>
    <row r="28" spans="1:6" x14ac:dyDescent="0.25">
      <c r="A28" s="11">
        <v>16</v>
      </c>
      <c r="B28" s="18"/>
      <c r="C28" s="18" t="s">
        <v>259</v>
      </c>
      <c r="D28" s="126"/>
      <c r="E28" s="18"/>
    </row>
    <row r="29" spans="1:6" x14ac:dyDescent="0.25">
      <c r="A29" s="11">
        <v>17</v>
      </c>
      <c r="B29" s="18"/>
      <c r="C29" s="18" t="s">
        <v>281</v>
      </c>
      <c r="D29" s="95">
        <f>D27+D28</f>
        <v>-192340</v>
      </c>
      <c r="E29" s="18"/>
    </row>
    <row r="30" spans="1:6" x14ac:dyDescent="0.25">
      <c r="A30" s="11">
        <v>18</v>
      </c>
      <c r="B30" s="18"/>
      <c r="C30" s="18" t="s">
        <v>282</v>
      </c>
      <c r="D30" s="97">
        <f>100%-D20</f>
        <v>0.86970000000000003</v>
      </c>
      <c r="E30" s="18"/>
    </row>
    <row r="31" spans="1:6" ht="15.75" thickBot="1" x14ac:dyDescent="0.3">
      <c r="A31" s="12">
        <v>19</v>
      </c>
      <c r="B31" s="20" t="s">
        <v>265</v>
      </c>
      <c r="C31" s="20" t="s">
        <v>283</v>
      </c>
      <c r="D31" s="110">
        <f>D29*D30</f>
        <v>-167278.098</v>
      </c>
      <c r="E31" s="12" t="s">
        <v>284</v>
      </c>
      <c r="F31" s="48"/>
    </row>
    <row r="32" spans="1:6" ht="15.75" thickTop="1" x14ac:dyDescent="0.25">
      <c r="A32" s="104"/>
      <c r="B32" s="105"/>
      <c r="C32" s="105"/>
      <c r="D32" s="105"/>
      <c r="E32" s="17"/>
    </row>
    <row r="33" spans="1:8" x14ac:dyDescent="0.25">
      <c r="A33" s="103" t="s">
        <v>115</v>
      </c>
      <c r="B33" s="103" t="s">
        <v>255</v>
      </c>
      <c r="C33" s="103" t="s">
        <v>285</v>
      </c>
      <c r="D33" s="80"/>
      <c r="E33" s="80"/>
      <c r="G33" s="48"/>
    </row>
    <row r="34" spans="1:8" x14ac:dyDescent="0.25">
      <c r="A34" s="10">
        <v>20</v>
      </c>
      <c r="B34" s="7" t="s">
        <v>286</v>
      </c>
      <c r="C34" s="7" t="s">
        <v>287</v>
      </c>
      <c r="D34" s="95">
        <f>'RateBase '!D15</f>
        <v>955087.27000000048</v>
      </c>
      <c r="E34" s="7"/>
      <c r="G34" s="111"/>
    </row>
    <row r="35" spans="1:8" x14ac:dyDescent="0.25">
      <c r="A35" s="11">
        <v>21</v>
      </c>
      <c r="B35" s="18" t="s">
        <v>288</v>
      </c>
      <c r="C35" s="18" t="s">
        <v>289</v>
      </c>
      <c r="D35" s="96">
        <f>'RateBase '!E15</f>
        <v>823156</v>
      </c>
      <c r="E35" s="18"/>
      <c r="G35" s="95"/>
    </row>
    <row r="36" spans="1:8" x14ac:dyDescent="0.25">
      <c r="A36" s="11">
        <v>22</v>
      </c>
      <c r="B36" s="18" t="s">
        <v>262</v>
      </c>
      <c r="C36" s="18" t="s">
        <v>281</v>
      </c>
      <c r="D36" s="95">
        <f>SUM(D34:D35)</f>
        <v>1778243.2700000005</v>
      </c>
      <c r="E36" s="18"/>
      <c r="G36" s="111"/>
    </row>
    <row r="37" spans="1:8" x14ac:dyDescent="0.25">
      <c r="A37" s="11">
        <v>23</v>
      </c>
      <c r="B37" s="18" t="s">
        <v>265</v>
      </c>
      <c r="C37" s="18" t="s">
        <v>290</v>
      </c>
      <c r="D37" s="95">
        <f>D36/2</f>
        <v>889121.63500000024</v>
      </c>
      <c r="E37" s="11" t="s">
        <v>291</v>
      </c>
      <c r="G37" s="111"/>
      <c r="H37" s="48"/>
    </row>
    <row r="38" spans="1:8" x14ac:dyDescent="0.25">
      <c r="A38" s="11">
        <v>24</v>
      </c>
      <c r="B38" s="18" t="s">
        <v>292</v>
      </c>
      <c r="C38" s="14" t="s">
        <v>293</v>
      </c>
      <c r="D38" s="121">
        <f>D14</f>
        <v>-71135.6535</v>
      </c>
      <c r="E38" s="15"/>
    </row>
    <row r="39" spans="1:8" ht="15.75" thickBot="1" x14ac:dyDescent="0.3">
      <c r="A39" s="12">
        <v>27</v>
      </c>
      <c r="B39" s="20" t="s">
        <v>265</v>
      </c>
      <c r="C39" s="20" t="s">
        <v>294</v>
      </c>
      <c r="D39" s="120">
        <f>D38/D37</f>
        <v>-8.0006661293311104E-2</v>
      </c>
      <c r="E39" s="12" t="s">
        <v>295</v>
      </c>
      <c r="G39" s="112"/>
      <c r="H39" s="48"/>
    </row>
    <row r="40" spans="1:8" ht="15.75" thickTop="1" x14ac:dyDescent="0.25">
      <c r="A40" s="104"/>
      <c r="B40" s="105"/>
      <c r="C40" s="105"/>
      <c r="D40" s="105"/>
      <c r="E40" s="17"/>
    </row>
    <row r="41" spans="1:8" x14ac:dyDescent="0.25">
      <c r="A41" s="103" t="s">
        <v>115</v>
      </c>
      <c r="B41" s="103" t="s">
        <v>296</v>
      </c>
      <c r="C41" s="103" t="s">
        <v>297</v>
      </c>
      <c r="D41" s="80"/>
      <c r="E41" s="15"/>
    </row>
    <row r="42" spans="1:8" x14ac:dyDescent="0.25">
      <c r="A42" s="10">
        <v>28</v>
      </c>
      <c r="B42" s="7" t="s">
        <v>298</v>
      </c>
      <c r="C42" s="7" t="s">
        <v>299</v>
      </c>
      <c r="D42" s="127"/>
      <c r="E42" s="7"/>
      <c r="F42" s="124"/>
    </row>
    <row r="43" spans="1:8" x14ac:dyDescent="0.25">
      <c r="A43" s="11">
        <v>29</v>
      </c>
      <c r="B43" s="18" t="s">
        <v>298</v>
      </c>
      <c r="C43" s="18" t="s">
        <v>300</v>
      </c>
      <c r="D43" s="128"/>
      <c r="E43" s="18"/>
      <c r="F43" s="124"/>
      <c r="G43" s="111"/>
    </row>
    <row r="44" spans="1:8" x14ac:dyDescent="0.25">
      <c r="A44" s="11">
        <v>30</v>
      </c>
      <c r="B44" s="18" t="s">
        <v>262</v>
      </c>
      <c r="C44" s="18" t="s">
        <v>281</v>
      </c>
      <c r="D44" s="113">
        <f>SUM(D42:D43)</f>
        <v>0</v>
      </c>
      <c r="E44" s="18"/>
      <c r="G44" s="95"/>
    </row>
    <row r="45" spans="1:8" x14ac:dyDescent="0.25">
      <c r="A45" s="11">
        <v>31</v>
      </c>
      <c r="B45" s="18" t="s">
        <v>265</v>
      </c>
      <c r="C45" s="18" t="s">
        <v>290</v>
      </c>
      <c r="D45" s="113">
        <f>D44/2</f>
        <v>0</v>
      </c>
      <c r="E45" s="11" t="s">
        <v>301</v>
      </c>
      <c r="G45" s="95"/>
    </row>
    <row r="46" spans="1:8" x14ac:dyDescent="0.25">
      <c r="A46" s="11">
        <v>32</v>
      </c>
      <c r="B46" s="18" t="s">
        <v>298</v>
      </c>
      <c r="C46" s="18" t="s">
        <v>302</v>
      </c>
      <c r="D46" s="127"/>
      <c r="E46" s="18"/>
      <c r="F46" s="124"/>
      <c r="G46" s="115"/>
    </row>
    <row r="47" spans="1:8" x14ac:dyDescent="0.25">
      <c r="A47" s="11">
        <v>33</v>
      </c>
      <c r="B47" s="18" t="s">
        <v>303</v>
      </c>
      <c r="C47" s="18" t="s">
        <v>304</v>
      </c>
      <c r="D47" s="114">
        <f>D9</f>
        <v>0</v>
      </c>
      <c r="E47" s="18"/>
      <c r="F47" s="124"/>
      <c r="G47" s="115"/>
    </row>
    <row r="48" spans="1:8" x14ac:dyDescent="0.25">
      <c r="A48" s="11">
        <v>34</v>
      </c>
      <c r="B48" s="18"/>
      <c r="C48" s="18" t="s">
        <v>305</v>
      </c>
      <c r="D48" s="113">
        <f>D46+D47</f>
        <v>0</v>
      </c>
      <c r="E48" s="18"/>
      <c r="F48" s="124"/>
      <c r="G48" s="115"/>
    </row>
    <row r="49" spans="1:8" x14ac:dyDescent="0.25">
      <c r="A49" s="11">
        <v>35</v>
      </c>
      <c r="B49" s="18"/>
      <c r="C49" s="18" t="s">
        <v>306</v>
      </c>
      <c r="D49" s="123">
        <f>IncomeStmtSummary!D62</f>
        <v>0.1303</v>
      </c>
      <c r="E49" s="18"/>
      <c r="F49" s="124"/>
      <c r="G49" s="115"/>
    </row>
    <row r="50" spans="1:8" x14ac:dyDescent="0.25">
      <c r="A50" s="11">
        <v>36</v>
      </c>
      <c r="B50" s="18"/>
      <c r="C50" s="18" t="s">
        <v>307</v>
      </c>
      <c r="D50" s="122">
        <f>D48*D49</f>
        <v>0</v>
      </c>
      <c r="E50" s="18"/>
      <c r="F50" s="124"/>
      <c r="G50" s="115"/>
    </row>
    <row r="51" spans="1:8" x14ac:dyDescent="0.25">
      <c r="A51" s="11">
        <v>37</v>
      </c>
      <c r="B51" s="18" t="s">
        <v>262</v>
      </c>
      <c r="C51" s="18" t="s">
        <v>308</v>
      </c>
      <c r="D51" s="113">
        <f>D48-D50</f>
        <v>0</v>
      </c>
      <c r="E51" s="11" t="s">
        <v>309</v>
      </c>
      <c r="F51" s="124"/>
      <c r="G51" s="115"/>
    </row>
    <row r="52" spans="1:8" x14ac:dyDescent="0.25">
      <c r="A52" s="12">
        <v>38</v>
      </c>
      <c r="B52" s="20" t="s">
        <v>265</v>
      </c>
      <c r="C52" s="20" t="s">
        <v>310</v>
      </c>
      <c r="D52" s="116" t="e">
        <f>D51/D45</f>
        <v>#DIV/0!</v>
      </c>
      <c r="E52" s="12" t="s">
        <v>311</v>
      </c>
      <c r="G52" s="117"/>
    </row>
    <row r="53" spans="1:8" x14ac:dyDescent="0.25">
      <c r="A53" s="68"/>
      <c r="B53" s="68"/>
      <c r="C53" s="118" t="s">
        <v>88</v>
      </c>
      <c r="D53" s="68"/>
      <c r="E53" s="68"/>
      <c r="F53" s="68"/>
      <c r="G53" s="69"/>
      <c r="H53" s="68"/>
    </row>
    <row r="54" spans="1:8" x14ac:dyDescent="0.25">
      <c r="A54" s="68"/>
      <c r="B54" s="68"/>
      <c r="C54" t="s">
        <v>312</v>
      </c>
      <c r="D54" s="68"/>
      <c r="E54" s="68"/>
      <c r="F54" s="68"/>
      <c r="G54" s="69"/>
      <c r="H54" s="68"/>
    </row>
    <row r="55" spans="1:8" x14ac:dyDescent="0.25">
      <c r="A55" s="68"/>
      <c r="B55" s="68"/>
      <c r="C55" t="s">
        <v>313</v>
      </c>
      <c r="D55" s="68"/>
      <c r="E55" s="68"/>
      <c r="F55" s="68"/>
      <c r="G55" s="129"/>
      <c r="H55" s="68"/>
    </row>
    <row r="56" spans="1:8" x14ac:dyDescent="0.25">
      <c r="A56" s="68"/>
      <c r="B56" s="68"/>
      <c r="C56" s="68"/>
      <c r="D56" s="68"/>
      <c r="E56" s="68"/>
      <c r="F56" s="68"/>
      <c r="G56" s="130"/>
      <c r="H56" s="68"/>
    </row>
    <row r="57" spans="1:8" x14ac:dyDescent="0.25">
      <c r="A57" s="68"/>
      <c r="B57" s="68"/>
      <c r="C57" s="68"/>
      <c r="D57" s="68"/>
      <c r="E57" s="68"/>
      <c r="F57" s="68"/>
      <c r="G57" s="131"/>
      <c r="H57" s="68"/>
    </row>
    <row r="58" spans="1:8" x14ac:dyDescent="0.25">
      <c r="A58" s="68"/>
      <c r="B58" s="68"/>
      <c r="C58" s="68"/>
      <c r="D58" s="68"/>
      <c r="E58" s="68"/>
      <c r="F58" s="68"/>
      <c r="G58" s="68"/>
      <c r="H58" s="68"/>
    </row>
    <row r="59" spans="1:8" x14ac:dyDescent="0.25">
      <c r="A59" s="68"/>
      <c r="B59" s="68"/>
      <c r="C59" s="68"/>
      <c r="D59" s="68"/>
      <c r="E59" s="68"/>
      <c r="F59" s="68"/>
      <c r="G59" s="68"/>
      <c r="H59" s="68"/>
    </row>
    <row r="60" spans="1:8" x14ac:dyDescent="0.25">
      <c r="A60" s="68"/>
      <c r="B60" s="68"/>
      <c r="C60" s="68"/>
      <c r="D60" s="68"/>
      <c r="E60" s="68"/>
      <c r="F60" s="68"/>
      <c r="G60" s="68"/>
      <c r="H60" s="68"/>
    </row>
  </sheetData>
  <sheetProtection algorithmName="SHA-512" hashValue="gaExEbTssN1TsY3duH90rbBgtTqR9bCkQ/ekS6DkB+PwRDC7t6qvndJk8Qzt9xOTfVPAf3ktBKKse6EjLUArIg==" saltValue="vfR1dyFnRCkIzY6Fj1C6o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3</v>
      </c>
    </row>
    <row r="3" spans="1:9" x14ac:dyDescent="0.25">
      <c r="A3" s="59" t="s">
        <v>4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5</v>
      </c>
      <c r="C6" s="10" t="s">
        <v>6</v>
      </c>
      <c r="D6" s="7" t="s">
        <v>7</v>
      </c>
      <c r="E6" s="7"/>
      <c r="F6" s="7"/>
      <c r="G6" s="10" t="s">
        <v>5</v>
      </c>
      <c r="H6" s="10" t="s">
        <v>6</v>
      </c>
      <c r="I6" s="4" t="s">
        <v>7</v>
      </c>
    </row>
    <row r="7" spans="1:9" x14ac:dyDescent="0.25">
      <c r="A7" s="8" t="s">
        <v>8</v>
      </c>
      <c r="B7" s="11" t="s">
        <v>9</v>
      </c>
      <c r="C7" s="11" t="s">
        <v>10</v>
      </c>
      <c r="D7" s="11" t="s">
        <v>9</v>
      </c>
      <c r="E7" s="11"/>
      <c r="F7" s="8" t="s">
        <v>11</v>
      </c>
      <c r="G7" s="11" t="s">
        <v>9</v>
      </c>
      <c r="H7" s="11" t="s">
        <v>10</v>
      </c>
      <c r="I7" s="5" t="s">
        <v>9</v>
      </c>
    </row>
    <row r="8" spans="1:9" x14ac:dyDescent="0.25">
      <c r="A8" s="9"/>
      <c r="B8" s="12" t="s">
        <v>12</v>
      </c>
      <c r="C8" s="12" t="s">
        <v>13</v>
      </c>
      <c r="D8" s="12" t="s">
        <v>14</v>
      </c>
      <c r="E8" s="12"/>
      <c r="F8" s="9"/>
      <c r="G8" s="12" t="s">
        <v>12</v>
      </c>
      <c r="H8" s="12" t="s">
        <v>13</v>
      </c>
      <c r="I8" s="6" t="s">
        <v>14</v>
      </c>
    </row>
    <row r="9" spans="1:9" x14ac:dyDescent="0.25">
      <c r="A9" s="21" t="s">
        <v>15</v>
      </c>
      <c r="B9" s="7"/>
      <c r="C9" s="7"/>
      <c r="D9" s="4"/>
      <c r="E9" s="7"/>
      <c r="F9" s="21" t="s">
        <v>16</v>
      </c>
      <c r="G9" s="3"/>
      <c r="H9" s="7"/>
      <c r="I9" s="4"/>
    </row>
    <row r="10" spans="1:9" x14ac:dyDescent="0.25">
      <c r="A10" s="18" t="s">
        <v>17</v>
      </c>
      <c r="B10" s="53">
        <v>1621.52</v>
      </c>
      <c r="C10" s="57"/>
      <c r="D10" s="60">
        <f>SUM(B10:C10)</f>
        <v>1621.52</v>
      </c>
      <c r="E10" s="18"/>
      <c r="F10" s="18" t="s">
        <v>18</v>
      </c>
      <c r="G10" s="53">
        <v>528033.98</v>
      </c>
      <c r="H10" s="57"/>
      <c r="I10" s="60">
        <f>SUM(G10:H10)</f>
        <v>528033.98</v>
      </c>
    </row>
    <row r="11" spans="1:9" x14ac:dyDescent="0.25">
      <c r="A11" s="18" t="s">
        <v>19</v>
      </c>
      <c r="B11" s="53">
        <v>0</v>
      </c>
      <c r="C11" s="57"/>
      <c r="D11" s="60">
        <f>SUM(B11:C11)</f>
        <v>0</v>
      </c>
      <c r="E11" s="18"/>
      <c r="F11" s="18" t="s">
        <v>20</v>
      </c>
      <c r="G11" s="53">
        <v>80375.5</v>
      </c>
      <c r="H11" s="57"/>
      <c r="I11" s="60">
        <f t="shared" ref="I11:I19" si="0">SUM(G11:H11)</f>
        <v>80375.5</v>
      </c>
    </row>
    <row r="12" spans="1:9" x14ac:dyDescent="0.25">
      <c r="A12" s="18" t="s">
        <v>21</v>
      </c>
      <c r="B12" s="23"/>
      <c r="C12" s="23"/>
      <c r="D12" s="17"/>
      <c r="E12" s="19"/>
      <c r="F12" s="18" t="s">
        <v>22</v>
      </c>
      <c r="G12" s="53">
        <v>0</v>
      </c>
      <c r="H12" s="57"/>
      <c r="I12" s="60">
        <f t="shared" si="0"/>
        <v>0</v>
      </c>
    </row>
    <row r="13" spans="1:9" x14ac:dyDescent="0.25">
      <c r="A13" s="18" t="s">
        <v>23</v>
      </c>
      <c r="B13" s="53">
        <v>5379.28</v>
      </c>
      <c r="C13" s="57"/>
      <c r="D13" s="60">
        <f>SUM(B13:C13)</f>
        <v>5379.28</v>
      </c>
      <c r="E13" s="18"/>
      <c r="F13" s="18" t="s">
        <v>24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25</v>
      </c>
      <c r="B14" s="53">
        <v>0</v>
      </c>
      <c r="C14" s="57"/>
      <c r="D14" s="60">
        <f t="shared" ref="D14:D15" si="1">SUM(B14:C14)</f>
        <v>0</v>
      </c>
      <c r="E14" s="18"/>
      <c r="F14" s="18" t="s">
        <v>26</v>
      </c>
      <c r="G14" s="53">
        <v>583700</v>
      </c>
      <c r="H14" s="57"/>
      <c r="I14" s="60">
        <f t="shared" si="0"/>
        <v>583700</v>
      </c>
    </row>
    <row r="15" spans="1:9" x14ac:dyDescent="0.25">
      <c r="A15" s="18" t="s">
        <v>27</v>
      </c>
      <c r="B15" s="53">
        <v>0</v>
      </c>
      <c r="C15" s="57"/>
      <c r="D15" s="60">
        <f t="shared" si="1"/>
        <v>0</v>
      </c>
      <c r="E15" s="18"/>
      <c r="F15" s="18" t="s">
        <v>28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29</v>
      </c>
      <c r="B16" s="23"/>
      <c r="C16" s="23"/>
      <c r="D16" s="17"/>
      <c r="E16" s="19"/>
      <c r="F16" s="18" t="s">
        <v>30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23</v>
      </c>
      <c r="B17" s="53">
        <v>33962.9</v>
      </c>
      <c r="C17" s="57"/>
      <c r="D17" s="60">
        <f>SUM(B17:C17)</f>
        <v>33962.9</v>
      </c>
      <c r="E17" s="19"/>
      <c r="F17" s="18" t="s">
        <v>31</v>
      </c>
      <c r="G17" s="53">
        <v>0</v>
      </c>
      <c r="H17" s="57"/>
      <c r="I17" s="60">
        <f t="shared" si="0"/>
        <v>0</v>
      </c>
    </row>
    <row r="18" spans="1:9" x14ac:dyDescent="0.25">
      <c r="A18" s="18" t="s">
        <v>25</v>
      </c>
      <c r="B18" s="53">
        <v>0</v>
      </c>
      <c r="C18" s="57"/>
      <c r="D18" s="60">
        <f t="shared" ref="D18:D24" si="2">SUM(B18:C18)</f>
        <v>0</v>
      </c>
      <c r="E18" s="18"/>
      <c r="F18" s="18" t="s">
        <v>32</v>
      </c>
      <c r="G18" s="53">
        <v>11921.23</v>
      </c>
      <c r="H18" s="57"/>
      <c r="I18" s="60">
        <f t="shared" si="0"/>
        <v>11921.23</v>
      </c>
    </row>
    <row r="19" spans="1:9" x14ac:dyDescent="0.25">
      <c r="A19" s="18" t="s">
        <v>27</v>
      </c>
      <c r="B19" s="53">
        <v>0</v>
      </c>
      <c r="C19" s="57"/>
      <c r="D19" s="60">
        <f t="shared" si="2"/>
        <v>0</v>
      </c>
      <c r="E19" s="18"/>
      <c r="F19" s="18" t="s">
        <v>33</v>
      </c>
      <c r="G19" s="54">
        <v>419681.84</v>
      </c>
      <c r="H19" s="67"/>
      <c r="I19" s="61">
        <f t="shared" si="0"/>
        <v>419681.84</v>
      </c>
    </row>
    <row r="20" spans="1:9" x14ac:dyDescent="0.25">
      <c r="A20" s="18" t="s">
        <v>34</v>
      </c>
      <c r="B20" s="53">
        <v>0</v>
      </c>
      <c r="C20" s="57"/>
      <c r="D20" s="60">
        <f t="shared" si="2"/>
        <v>0</v>
      </c>
      <c r="E20" s="18"/>
      <c r="F20" s="18" t="s">
        <v>35</v>
      </c>
      <c r="G20" s="60">
        <f>SUM(G10:G19)</f>
        <v>1623712.55</v>
      </c>
      <c r="H20" s="60">
        <f>SUM(H10:H19)</f>
        <v>0</v>
      </c>
      <c r="I20" s="60">
        <f t="shared" ref="I20" si="3">SUM(I10:I19)</f>
        <v>1623712.55</v>
      </c>
    </row>
    <row r="21" spans="1:9" x14ac:dyDescent="0.25">
      <c r="A21" s="18" t="s">
        <v>36</v>
      </c>
      <c r="B21" s="53">
        <v>0</v>
      </c>
      <c r="C21" s="55"/>
      <c r="D21" s="60">
        <f t="shared" si="2"/>
        <v>0</v>
      </c>
      <c r="E21" s="18"/>
      <c r="F21" s="22" t="s">
        <v>37</v>
      </c>
      <c r="G21" s="14"/>
      <c r="H21" s="18"/>
      <c r="I21" s="15"/>
    </row>
    <row r="22" spans="1:9" x14ac:dyDescent="0.25">
      <c r="A22" s="18" t="s">
        <v>38</v>
      </c>
      <c r="B22" s="53">
        <v>0</v>
      </c>
      <c r="C22" s="57"/>
      <c r="D22" s="60">
        <f t="shared" si="2"/>
        <v>0</v>
      </c>
      <c r="E22" s="18"/>
      <c r="F22" s="18" t="s">
        <v>39</v>
      </c>
      <c r="G22" s="53">
        <v>806932</v>
      </c>
      <c r="H22" s="57"/>
      <c r="I22" s="60">
        <f>SUM(G22:H22)</f>
        <v>806932</v>
      </c>
    </row>
    <row r="23" spans="1:9" x14ac:dyDescent="0.25">
      <c r="A23" s="18" t="s">
        <v>40</v>
      </c>
      <c r="B23" s="53">
        <v>0</v>
      </c>
      <c r="C23" s="57"/>
      <c r="D23" s="60">
        <f t="shared" si="2"/>
        <v>0</v>
      </c>
      <c r="E23" s="18"/>
      <c r="F23" s="18" t="s">
        <v>41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42</v>
      </c>
      <c r="B24" s="54">
        <v>0</v>
      </c>
      <c r="C24" s="67"/>
      <c r="D24" s="61">
        <f t="shared" si="2"/>
        <v>0</v>
      </c>
      <c r="E24" s="18"/>
      <c r="F24" s="18" t="s">
        <v>43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44</v>
      </c>
      <c r="B25" s="60">
        <f>B10+B11+B13+B14+B15+B17+B18+B19+B20+B21+B22+B23+B24</f>
        <v>40963.699999999997</v>
      </c>
      <c r="C25" s="60">
        <f>C10+C11+C13+C14+C15+C17+C18+C19+C20+C21+C22+C23+C24</f>
        <v>0</v>
      </c>
      <c r="D25" s="60">
        <f t="shared" ref="D25" si="5">D10+D11+D13+D14+D15+D17+D18+D19+D20+D21+D22+D23+D24</f>
        <v>40963.699999999997</v>
      </c>
      <c r="E25" s="18"/>
      <c r="F25" s="18" t="s">
        <v>45</v>
      </c>
      <c r="G25" s="53">
        <v>333595</v>
      </c>
      <c r="H25" s="57"/>
      <c r="I25" s="60">
        <f t="shared" si="4"/>
        <v>333595</v>
      </c>
    </row>
    <row r="26" spans="1:9" x14ac:dyDescent="0.25">
      <c r="A26" s="18"/>
      <c r="B26" s="31"/>
      <c r="C26" s="18"/>
      <c r="D26" s="15"/>
      <c r="E26" s="18"/>
      <c r="F26" s="18" t="s">
        <v>46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47</v>
      </c>
      <c r="B27" s="31"/>
      <c r="C27" s="19"/>
      <c r="D27" s="15"/>
      <c r="E27" s="18"/>
      <c r="F27" s="18" t="s">
        <v>48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49</v>
      </c>
      <c r="B28" s="32"/>
      <c r="C28" s="23"/>
      <c r="D28" s="17"/>
      <c r="E28" s="19"/>
      <c r="F28" s="18" t="s">
        <v>50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51</v>
      </c>
      <c r="B29" s="53">
        <v>0</v>
      </c>
      <c r="C29" s="57"/>
      <c r="D29" s="60">
        <f>SUM(B29:C29)</f>
        <v>0</v>
      </c>
      <c r="E29" s="18"/>
      <c r="F29" s="18" t="s">
        <v>52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53</v>
      </c>
      <c r="B30" s="53">
        <v>0</v>
      </c>
      <c r="C30" s="57"/>
      <c r="D30" s="60">
        <f>SUM(B30:C30)</f>
        <v>0</v>
      </c>
      <c r="E30" s="18"/>
      <c r="F30" s="18" t="s">
        <v>54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55</v>
      </c>
      <c r="B31" s="32"/>
      <c r="C31" s="23"/>
      <c r="D31" s="17"/>
      <c r="E31" s="19"/>
      <c r="F31" s="18" t="s">
        <v>56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58</v>
      </c>
      <c r="G32" s="60">
        <f>SUM(G22:G31)</f>
        <v>1140527</v>
      </c>
      <c r="H32" s="60">
        <f>SUM(H22:H31)</f>
        <v>0</v>
      </c>
      <c r="I32" s="60">
        <f t="shared" ref="I32" si="6">SUM(I22:I31)</f>
        <v>1140527</v>
      </c>
    </row>
    <row r="33" spans="1:9" x14ac:dyDescent="0.25">
      <c r="A33" s="18" t="s">
        <v>59</v>
      </c>
      <c r="B33" s="53">
        <v>0</v>
      </c>
      <c r="C33" s="57"/>
      <c r="D33" s="60">
        <f t="shared" ref="D33:D37" si="7">SUM(B33:C33)</f>
        <v>0</v>
      </c>
      <c r="E33" s="18"/>
      <c r="F33" s="22" t="s">
        <v>60</v>
      </c>
      <c r="G33" s="14"/>
      <c r="H33" s="18"/>
      <c r="I33" s="15"/>
    </row>
    <row r="34" spans="1:9" x14ac:dyDescent="0.25">
      <c r="A34" s="18" t="s">
        <v>61</v>
      </c>
      <c r="B34" s="53">
        <v>2649.28</v>
      </c>
      <c r="C34" s="72">
        <f>-1*(C25+C29+C30+C32+C33+C35+C36+C37+C46)</f>
        <v>19735</v>
      </c>
      <c r="D34" s="60">
        <f t="shared" si="7"/>
        <v>22384.28</v>
      </c>
      <c r="E34" s="18"/>
      <c r="F34" s="18" t="s">
        <v>62</v>
      </c>
      <c r="G34" s="53">
        <v>0</v>
      </c>
      <c r="H34" s="57"/>
      <c r="I34" s="60">
        <f>SUM(G34:H34)</f>
        <v>0</v>
      </c>
    </row>
    <row r="35" spans="1:9" x14ac:dyDescent="0.25">
      <c r="A35" s="18" t="s">
        <v>63</v>
      </c>
      <c r="B35" s="53">
        <v>4750</v>
      </c>
      <c r="C35" s="57"/>
      <c r="D35" s="60">
        <f t="shared" si="7"/>
        <v>4750</v>
      </c>
      <c r="E35" s="18"/>
      <c r="F35" s="18" t="s">
        <v>64</v>
      </c>
      <c r="G35" s="53">
        <v>0</v>
      </c>
      <c r="H35" s="53"/>
      <c r="I35" s="60">
        <f t="shared" ref="I35:I36" si="8">SUM(G35:H35)</f>
        <v>0</v>
      </c>
    </row>
    <row r="36" spans="1:9" x14ac:dyDescent="0.25">
      <c r="A36" s="18" t="s">
        <v>65</v>
      </c>
      <c r="B36" s="53">
        <v>0</v>
      </c>
      <c r="C36" s="57"/>
      <c r="D36" s="60">
        <f t="shared" si="7"/>
        <v>0</v>
      </c>
      <c r="E36" s="18"/>
      <c r="F36" s="18" t="s">
        <v>66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67</v>
      </c>
      <c r="B37" s="54">
        <v>0</v>
      </c>
      <c r="C37" s="67"/>
      <c r="D37" s="61">
        <f t="shared" si="7"/>
        <v>0</v>
      </c>
      <c r="E37" s="18"/>
      <c r="F37" s="18" t="s">
        <v>68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25">
      <c r="A38" s="18" t="s">
        <v>69</v>
      </c>
      <c r="B38" s="60">
        <f>B29+B30+B32+B33+B34+B35+B36+B37</f>
        <v>7399.2800000000007</v>
      </c>
      <c r="C38" s="60">
        <f>C29+C30+C32+C33+C34+C35+C36+C37</f>
        <v>19735</v>
      </c>
      <c r="D38" s="60">
        <f t="shared" ref="D38" si="10">D29+D30+D32+D33+D34+D35+D36+D37</f>
        <v>27134.28</v>
      </c>
      <c r="E38" s="18"/>
      <c r="F38" s="22" t="s">
        <v>70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71</v>
      </c>
      <c r="G39" s="53">
        <v>0</v>
      </c>
      <c r="H39" s="23"/>
      <c r="I39" s="60">
        <f>SUM(G39:H39)</f>
        <v>0</v>
      </c>
    </row>
    <row r="40" spans="1:9" x14ac:dyDescent="0.25">
      <c r="A40" s="22" t="s">
        <v>72</v>
      </c>
      <c r="B40" s="18"/>
      <c r="C40" s="18"/>
      <c r="D40" s="15"/>
      <c r="E40" s="18"/>
      <c r="F40" s="18" t="s">
        <v>73</v>
      </c>
      <c r="G40" s="53">
        <v>0</v>
      </c>
      <c r="H40" s="23"/>
      <c r="I40" s="60">
        <f t="shared" ref="I40:I45" si="11">SUM(G40:H40)</f>
        <v>0</v>
      </c>
    </row>
    <row r="41" spans="1:9" x14ac:dyDescent="0.25">
      <c r="A41" s="18" t="s">
        <v>74</v>
      </c>
      <c r="B41" s="53">
        <v>2199788.0900000003</v>
      </c>
      <c r="C41" s="53">
        <v>-27954</v>
      </c>
      <c r="D41" s="60">
        <f>SUM(B41:C41)</f>
        <v>2171834.0900000003</v>
      </c>
      <c r="E41" s="18"/>
      <c r="F41" s="18" t="s">
        <v>75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76</v>
      </c>
      <c r="B42" s="53">
        <v>0</v>
      </c>
      <c r="C42" s="53"/>
      <c r="D42" s="60">
        <f t="shared" ref="D42:D45" si="12">SUM(B42:C42)</f>
        <v>0</v>
      </c>
      <c r="E42" s="18"/>
      <c r="F42" s="18" t="s">
        <v>77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78</v>
      </c>
      <c r="B43" s="53">
        <v>2475.36</v>
      </c>
      <c r="C43" s="53"/>
      <c r="D43" s="60">
        <f t="shared" si="12"/>
        <v>2475.36</v>
      </c>
      <c r="E43" s="18"/>
      <c r="F43" s="18" t="s">
        <v>79</v>
      </c>
      <c r="G43" s="53">
        <v>0</v>
      </c>
      <c r="H43" s="23"/>
      <c r="I43" s="60">
        <f t="shared" si="11"/>
        <v>0</v>
      </c>
    </row>
    <row r="44" spans="1:9" x14ac:dyDescent="0.25">
      <c r="A44" s="18" t="s">
        <v>80</v>
      </c>
      <c r="B44" s="53">
        <v>0</v>
      </c>
      <c r="C44" s="53"/>
      <c r="D44" s="60">
        <f t="shared" si="12"/>
        <v>0</v>
      </c>
      <c r="E44" s="18"/>
      <c r="F44" s="18" t="s">
        <v>81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82</v>
      </c>
      <c r="B45" s="54">
        <v>-1224965.8199999998</v>
      </c>
      <c r="C45" s="54">
        <v>8219</v>
      </c>
      <c r="D45" s="61">
        <f t="shared" si="12"/>
        <v>-1216746.8199999998</v>
      </c>
      <c r="E45" s="18"/>
      <c r="F45" s="18" t="s">
        <v>83</v>
      </c>
      <c r="G45" s="54">
        <v>-1738578.9400000002</v>
      </c>
      <c r="H45" s="85">
        <f>-1*(H20+H32+H37)</f>
        <v>0</v>
      </c>
      <c r="I45" s="61">
        <f t="shared" si="11"/>
        <v>-1738578.9400000002</v>
      </c>
    </row>
    <row r="46" spans="1:9" x14ac:dyDescent="0.25">
      <c r="A46" s="18" t="s">
        <v>84</v>
      </c>
      <c r="B46" s="60">
        <f>B41+B42+B43+B44+B45</f>
        <v>977297.63000000035</v>
      </c>
      <c r="C46" s="60">
        <f t="shared" ref="C46:D46" si="13">C41+C42+C43+C44+C45</f>
        <v>-19735</v>
      </c>
      <c r="D46" s="60">
        <f t="shared" si="13"/>
        <v>957562.63000000035</v>
      </c>
      <c r="E46" s="18"/>
      <c r="F46" s="18" t="s">
        <v>85</v>
      </c>
      <c r="G46" s="60">
        <f>SUM(G39:G45)</f>
        <v>-1738578.9400000002</v>
      </c>
      <c r="H46" s="63">
        <f t="shared" ref="H46:I46" si="14">SUM(H39:H45)</f>
        <v>0</v>
      </c>
      <c r="I46" s="60">
        <f t="shared" si="14"/>
        <v>-1738578.9400000002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86</v>
      </c>
      <c r="B48" s="62">
        <f>B25+B38+B46</f>
        <v>1025660.6100000003</v>
      </c>
      <c r="C48" s="62">
        <f t="shared" ref="C48:D48" si="15">C25+C38+C46</f>
        <v>0</v>
      </c>
      <c r="D48" s="62">
        <f t="shared" si="15"/>
        <v>1025660.6100000003</v>
      </c>
      <c r="E48" s="18"/>
      <c r="F48" s="22" t="s">
        <v>87</v>
      </c>
      <c r="G48" s="62">
        <f>G20+G32+G37+G46</f>
        <v>1025660.6099999996</v>
      </c>
      <c r="H48" s="62">
        <f t="shared" ref="H48:I48" si="16">H20+H32+H37+H46</f>
        <v>0</v>
      </c>
      <c r="I48" s="62">
        <f t="shared" si="16"/>
        <v>1025660.6099999996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88</v>
      </c>
      <c r="B50" s="13"/>
      <c r="C50" s="13"/>
      <c r="D50" s="13"/>
      <c r="E50" s="13"/>
      <c r="F50" s="74" t="s">
        <v>88</v>
      </c>
      <c r="G50" s="13"/>
      <c r="H50" s="13"/>
      <c r="I50" s="13"/>
    </row>
    <row r="51" spans="1:9" x14ac:dyDescent="0.25">
      <c r="A51" t="s">
        <v>89</v>
      </c>
      <c r="B51" s="68"/>
      <c r="C51" s="68"/>
      <c r="D51" s="68"/>
      <c r="E51" s="68"/>
      <c r="F51" t="s">
        <v>90</v>
      </c>
      <c r="G51" s="68"/>
      <c r="H51" s="68"/>
      <c r="I51" s="68"/>
    </row>
    <row r="52" spans="1:9" x14ac:dyDescent="0.25">
      <c r="A52" t="s">
        <v>91</v>
      </c>
      <c r="B52" s="68"/>
      <c r="C52" s="68"/>
      <c r="D52" s="68"/>
      <c r="E52" s="68"/>
      <c r="F52" t="s">
        <v>92</v>
      </c>
      <c r="G52" s="68"/>
      <c r="H52" s="68"/>
      <c r="I52" s="68"/>
    </row>
    <row r="53" spans="1:9" x14ac:dyDescent="0.25">
      <c r="A53" t="s">
        <v>93</v>
      </c>
      <c r="B53" s="68"/>
      <c r="C53" s="68"/>
      <c r="D53" s="68"/>
      <c r="E53" s="68"/>
      <c r="F53" t="s">
        <v>94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2fcJ3FYa6CjUsB1CRvMWRZK+WGOszS9gg5RZirCOS/c2/EtSF/1CAdLhKY3EQatYSzaV5lOfqNEuAvY8IF2ig==" saltValue="z6g34efdr9ps7n5NrHYgI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>
      <selection activeCell="A27" sqref="A27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3</v>
      </c>
    </row>
    <row r="3" spans="1:9" x14ac:dyDescent="0.25">
      <c r="A3" s="59" t="s">
        <v>4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5</v>
      </c>
      <c r="C6" s="10" t="s">
        <v>6</v>
      </c>
      <c r="D6" s="7" t="s">
        <v>7</v>
      </c>
      <c r="E6" s="7"/>
      <c r="F6" s="7"/>
      <c r="G6" s="10" t="s">
        <v>5</v>
      </c>
      <c r="H6" s="10" t="s">
        <v>6</v>
      </c>
      <c r="I6" s="4" t="s">
        <v>7</v>
      </c>
    </row>
    <row r="7" spans="1:9" x14ac:dyDescent="0.25">
      <c r="A7" s="8" t="s">
        <v>8</v>
      </c>
      <c r="B7" s="11" t="s">
        <v>9</v>
      </c>
      <c r="C7" s="11" t="s">
        <v>10</v>
      </c>
      <c r="D7" s="11" t="s">
        <v>9</v>
      </c>
      <c r="E7" s="11"/>
      <c r="F7" s="8" t="s">
        <v>11</v>
      </c>
      <c r="G7" s="11" t="s">
        <v>9</v>
      </c>
      <c r="H7" s="11" t="s">
        <v>10</v>
      </c>
      <c r="I7" s="5" t="s">
        <v>9</v>
      </c>
    </row>
    <row r="8" spans="1:9" x14ac:dyDescent="0.25">
      <c r="A8" s="9"/>
      <c r="B8" s="12" t="s">
        <v>95</v>
      </c>
      <c r="C8" s="12" t="s">
        <v>96</v>
      </c>
      <c r="D8" s="12" t="s">
        <v>97</v>
      </c>
      <c r="E8" s="12"/>
      <c r="F8" s="9"/>
      <c r="G8" s="12" t="s">
        <v>95</v>
      </c>
      <c r="H8" s="12" t="s">
        <v>96</v>
      </c>
      <c r="I8" s="6" t="s">
        <v>97</v>
      </c>
    </row>
    <row r="9" spans="1:9" x14ac:dyDescent="0.25">
      <c r="A9" s="21" t="s">
        <v>15</v>
      </c>
      <c r="B9" s="7"/>
      <c r="C9" s="7"/>
      <c r="D9" s="4"/>
      <c r="E9" s="7"/>
      <c r="F9" s="21" t="s">
        <v>16</v>
      </c>
      <c r="G9" s="3"/>
      <c r="H9" s="7"/>
      <c r="I9" s="4"/>
    </row>
    <row r="10" spans="1:9" x14ac:dyDescent="0.25">
      <c r="A10" s="18" t="s">
        <v>17</v>
      </c>
      <c r="B10" s="53">
        <v>3474</v>
      </c>
      <c r="C10" s="57"/>
      <c r="D10" s="60">
        <f>SUM(B10:C10)</f>
        <v>3474</v>
      </c>
      <c r="E10" s="18"/>
      <c r="F10" s="18" t="s">
        <v>18</v>
      </c>
      <c r="G10" s="53">
        <v>506102</v>
      </c>
      <c r="H10" s="57"/>
      <c r="I10" s="60">
        <f>SUM(G10:H10)</f>
        <v>506102</v>
      </c>
    </row>
    <row r="11" spans="1:9" x14ac:dyDescent="0.25">
      <c r="A11" s="18" t="s">
        <v>19</v>
      </c>
      <c r="B11" s="53">
        <v>0</v>
      </c>
      <c r="C11" s="57"/>
      <c r="D11" s="60">
        <f>SUM(B11:C11)</f>
        <v>0</v>
      </c>
      <c r="E11" s="18"/>
      <c r="F11" s="18" t="s">
        <v>20</v>
      </c>
      <c r="G11" s="53">
        <v>79330</v>
      </c>
      <c r="H11" s="57"/>
      <c r="I11" s="60">
        <f t="shared" ref="I11:I19" si="0">SUM(G11:H11)</f>
        <v>79330</v>
      </c>
    </row>
    <row r="12" spans="1:9" x14ac:dyDescent="0.25">
      <c r="A12" s="18" t="s">
        <v>21</v>
      </c>
      <c r="B12" s="23"/>
      <c r="C12" s="23"/>
      <c r="D12" s="17"/>
      <c r="E12" s="19"/>
      <c r="F12" s="18" t="s">
        <v>22</v>
      </c>
      <c r="G12" s="53">
        <v>0</v>
      </c>
      <c r="H12" s="57"/>
      <c r="I12" s="60">
        <f t="shared" si="0"/>
        <v>0</v>
      </c>
    </row>
    <row r="13" spans="1:9" x14ac:dyDescent="0.25">
      <c r="A13" s="18" t="s">
        <v>23</v>
      </c>
      <c r="B13" s="53">
        <v>6309</v>
      </c>
      <c r="C13" s="57"/>
      <c r="D13" s="60">
        <f>SUM(B13:C13)</f>
        <v>6309</v>
      </c>
      <c r="E13" s="18"/>
      <c r="F13" s="18" t="s">
        <v>24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25</v>
      </c>
      <c r="B14" s="53">
        <v>0</v>
      </c>
      <c r="C14" s="57"/>
      <c r="D14" s="60">
        <f t="shared" ref="D14:D15" si="1">SUM(B14:C14)</f>
        <v>0</v>
      </c>
      <c r="E14" s="18"/>
      <c r="F14" s="18" t="s">
        <v>26</v>
      </c>
      <c r="G14" s="53">
        <v>234564</v>
      </c>
      <c r="H14" s="57"/>
      <c r="I14" s="60">
        <f t="shared" si="0"/>
        <v>234564</v>
      </c>
    </row>
    <row r="15" spans="1:9" x14ac:dyDescent="0.25">
      <c r="A15" s="18" t="s">
        <v>27</v>
      </c>
      <c r="B15" s="53">
        <v>0</v>
      </c>
      <c r="C15" s="57"/>
      <c r="D15" s="60">
        <f t="shared" si="1"/>
        <v>0</v>
      </c>
      <c r="E15" s="18"/>
      <c r="F15" s="18" t="s">
        <v>28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29</v>
      </c>
      <c r="B16" s="23"/>
      <c r="C16" s="23"/>
      <c r="D16" s="17"/>
      <c r="E16" s="19"/>
      <c r="F16" s="18" t="s">
        <v>30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23</v>
      </c>
      <c r="B17" s="53">
        <v>49125</v>
      </c>
      <c r="C17" s="57"/>
      <c r="D17" s="60">
        <f>SUM(B17:C17)</f>
        <v>49125</v>
      </c>
      <c r="E17" s="19"/>
      <c r="F17" s="18" t="s">
        <v>31</v>
      </c>
      <c r="G17" s="53">
        <v>0</v>
      </c>
      <c r="H17" s="57"/>
      <c r="I17" s="60">
        <f t="shared" si="0"/>
        <v>0</v>
      </c>
    </row>
    <row r="18" spans="1:9" x14ac:dyDescent="0.25">
      <c r="A18" s="18" t="s">
        <v>25</v>
      </c>
      <c r="B18" s="53">
        <v>0</v>
      </c>
      <c r="C18" s="57"/>
      <c r="D18" s="60">
        <f t="shared" ref="D18:D24" si="2">SUM(B18:C18)</f>
        <v>0</v>
      </c>
      <c r="E18" s="18"/>
      <c r="F18" s="18" t="s">
        <v>32</v>
      </c>
      <c r="G18" s="53">
        <v>6915</v>
      </c>
      <c r="H18" s="57"/>
      <c r="I18" s="60">
        <f t="shared" si="0"/>
        <v>6915</v>
      </c>
    </row>
    <row r="19" spans="1:9" x14ac:dyDescent="0.25">
      <c r="A19" s="18" t="s">
        <v>27</v>
      </c>
      <c r="B19" s="53">
        <v>0</v>
      </c>
      <c r="C19" s="57"/>
      <c r="D19" s="60">
        <f t="shared" si="2"/>
        <v>0</v>
      </c>
      <c r="E19" s="18"/>
      <c r="F19" s="18" t="s">
        <v>33</v>
      </c>
      <c r="G19" s="54">
        <v>557958</v>
      </c>
      <c r="H19" s="67"/>
      <c r="I19" s="61">
        <f t="shared" si="0"/>
        <v>557958</v>
      </c>
    </row>
    <row r="20" spans="1:9" x14ac:dyDescent="0.25">
      <c r="A20" s="18" t="s">
        <v>34</v>
      </c>
      <c r="B20" s="53">
        <v>0</v>
      </c>
      <c r="C20" s="57"/>
      <c r="D20" s="60">
        <f t="shared" si="2"/>
        <v>0</v>
      </c>
      <c r="E20" s="18"/>
      <c r="F20" s="18" t="s">
        <v>35</v>
      </c>
      <c r="G20" s="60">
        <f>SUM(G10:G19)</f>
        <v>1384869</v>
      </c>
      <c r="H20" s="60">
        <f>SUM(H10:H19)</f>
        <v>0</v>
      </c>
      <c r="I20" s="60">
        <f t="shared" ref="I20" si="3">SUM(I10:I19)</f>
        <v>1384869</v>
      </c>
    </row>
    <row r="21" spans="1:9" x14ac:dyDescent="0.25">
      <c r="A21" s="18" t="s">
        <v>36</v>
      </c>
      <c r="B21" s="53">
        <v>0</v>
      </c>
      <c r="C21" s="55"/>
      <c r="D21" s="60">
        <f t="shared" si="2"/>
        <v>0</v>
      </c>
      <c r="E21" s="18"/>
      <c r="F21" s="22" t="s">
        <v>37</v>
      </c>
      <c r="G21" s="14"/>
      <c r="H21" s="18"/>
      <c r="I21" s="15"/>
    </row>
    <row r="22" spans="1:9" x14ac:dyDescent="0.25">
      <c r="A22" s="18" t="s">
        <v>38</v>
      </c>
      <c r="B22" s="53">
        <v>0</v>
      </c>
      <c r="C22" s="57"/>
      <c r="D22" s="60">
        <f t="shared" si="2"/>
        <v>0</v>
      </c>
      <c r="E22" s="18"/>
      <c r="F22" s="18" t="s">
        <v>39</v>
      </c>
      <c r="G22" s="53">
        <v>1153000</v>
      </c>
      <c r="H22" s="57"/>
      <c r="I22" s="60">
        <f>SUM(G22:H22)</f>
        <v>1153000</v>
      </c>
    </row>
    <row r="23" spans="1:9" x14ac:dyDescent="0.25">
      <c r="A23" s="18" t="s">
        <v>40</v>
      </c>
      <c r="B23" s="53">
        <v>3240</v>
      </c>
      <c r="C23" s="57"/>
      <c r="D23" s="60">
        <f t="shared" si="2"/>
        <v>3240</v>
      </c>
      <c r="E23" s="18"/>
      <c r="F23" s="18" t="s">
        <v>41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42</v>
      </c>
      <c r="B24" s="54">
        <v>0</v>
      </c>
      <c r="C24" s="67"/>
      <c r="D24" s="61">
        <f t="shared" si="2"/>
        <v>0</v>
      </c>
      <c r="E24" s="18"/>
      <c r="F24" s="18" t="s">
        <v>43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44</v>
      </c>
      <c r="B25" s="60">
        <f>B10+B11+B13+B14+B15+B17+B18+B19+B20+B21+B22+B23+B24</f>
        <v>62148</v>
      </c>
      <c r="C25" s="60">
        <f>C10+C11+C13+C14+C15+C17+C18+C19+C20+C21+C22+C23+C24</f>
        <v>0</v>
      </c>
      <c r="D25" s="60">
        <f t="shared" ref="D25" si="5">D10+D11+D13+D14+D15+D17+D18+D19+D20+D21+D22+D23+D24</f>
        <v>62148</v>
      </c>
      <c r="E25" s="18"/>
      <c r="F25" s="18" t="s">
        <v>45</v>
      </c>
      <c r="G25" s="53">
        <v>306282</v>
      </c>
      <c r="H25" s="57"/>
      <c r="I25" s="60">
        <f t="shared" si="4"/>
        <v>306282</v>
      </c>
    </row>
    <row r="26" spans="1:9" x14ac:dyDescent="0.25">
      <c r="A26" s="18"/>
      <c r="B26" s="31"/>
      <c r="C26" s="18"/>
      <c r="D26" s="15"/>
      <c r="E26" s="18"/>
      <c r="F26" s="18" t="s">
        <v>46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47</v>
      </c>
      <c r="B27" s="31"/>
      <c r="C27" s="19"/>
      <c r="D27" s="15"/>
      <c r="E27" s="18"/>
      <c r="F27" s="18" t="s">
        <v>48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49</v>
      </c>
      <c r="B28" s="32"/>
      <c r="C28" s="23"/>
      <c r="D28" s="17"/>
      <c r="E28" s="19"/>
      <c r="F28" s="18" t="s">
        <v>50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51</v>
      </c>
      <c r="B29" s="53">
        <v>0</v>
      </c>
      <c r="C29" s="57"/>
      <c r="D29" s="60">
        <f>SUM(B29:C29)</f>
        <v>0</v>
      </c>
      <c r="E29" s="18"/>
      <c r="F29" s="18" t="s">
        <v>52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53</v>
      </c>
      <c r="B30" s="53">
        <v>0</v>
      </c>
      <c r="C30" s="57"/>
      <c r="D30" s="60">
        <f>SUM(B30:C30)</f>
        <v>0</v>
      </c>
      <c r="E30" s="18"/>
      <c r="F30" s="18" t="s">
        <v>54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55</v>
      </c>
      <c r="B31" s="32"/>
      <c r="C31" s="23"/>
      <c r="D31" s="17"/>
      <c r="E31" s="19"/>
      <c r="F31" s="18" t="s">
        <v>56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58</v>
      </c>
      <c r="G32" s="60">
        <f>SUM(G22:G31)</f>
        <v>1459282</v>
      </c>
      <c r="H32" s="60">
        <f>SUM(H22:H31)</f>
        <v>0</v>
      </c>
      <c r="I32" s="60">
        <f t="shared" ref="I32" si="6">SUM(I22:I31)</f>
        <v>1459282</v>
      </c>
    </row>
    <row r="33" spans="1:11" x14ac:dyDescent="0.25">
      <c r="A33" s="18" t="s">
        <v>59</v>
      </c>
      <c r="B33" s="53">
        <v>0</v>
      </c>
      <c r="C33" s="57"/>
      <c r="D33" s="60">
        <f t="shared" ref="D33:D37" si="7">SUM(B33:C33)</f>
        <v>0</v>
      </c>
      <c r="E33" s="18"/>
      <c r="F33" s="22" t="s">
        <v>60</v>
      </c>
      <c r="G33" s="14"/>
      <c r="H33" s="18"/>
      <c r="I33" s="15"/>
    </row>
    <row r="34" spans="1:11" x14ac:dyDescent="0.25">
      <c r="A34" s="18" t="s">
        <v>61</v>
      </c>
      <c r="B34" s="53">
        <v>2280</v>
      </c>
      <c r="C34" s="72">
        <f>-1*(C25+C29+C30+C32+C33+C35+C36+C37+C46)</f>
        <v>18262</v>
      </c>
      <c r="D34" s="60">
        <f t="shared" si="7"/>
        <v>20542</v>
      </c>
      <c r="E34" s="18"/>
      <c r="F34" s="18" t="s">
        <v>62</v>
      </c>
      <c r="G34" s="53">
        <v>0</v>
      </c>
      <c r="H34" s="57"/>
      <c r="I34" s="60">
        <f>SUM(G34:H34)</f>
        <v>0</v>
      </c>
    </row>
    <row r="35" spans="1:11" x14ac:dyDescent="0.25">
      <c r="A35" s="18" t="s">
        <v>63</v>
      </c>
      <c r="B35" s="53">
        <v>4000</v>
      </c>
      <c r="C35" s="57"/>
      <c r="D35" s="60">
        <f t="shared" si="7"/>
        <v>4000</v>
      </c>
      <c r="E35" s="18"/>
      <c r="F35" s="18" t="s">
        <v>64</v>
      </c>
      <c r="G35" s="53">
        <v>0</v>
      </c>
      <c r="H35" s="53"/>
      <c r="I35" s="60">
        <f t="shared" ref="I35:I36" si="8">SUM(G35:H35)</f>
        <v>0</v>
      </c>
    </row>
    <row r="36" spans="1:11" x14ac:dyDescent="0.25">
      <c r="A36" s="18" t="s">
        <v>65</v>
      </c>
      <c r="B36" s="53">
        <v>0</v>
      </c>
      <c r="C36" s="57"/>
      <c r="D36" s="60">
        <f t="shared" si="7"/>
        <v>0</v>
      </c>
      <c r="E36" s="18"/>
      <c r="F36" s="18" t="s">
        <v>66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67</v>
      </c>
      <c r="B37" s="54">
        <v>0</v>
      </c>
      <c r="C37" s="67"/>
      <c r="D37" s="61">
        <f t="shared" si="7"/>
        <v>0</v>
      </c>
      <c r="E37" s="18"/>
      <c r="F37" s="18" t="s">
        <v>68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11" x14ac:dyDescent="0.25">
      <c r="A38" s="18" t="s">
        <v>69</v>
      </c>
      <c r="B38" s="60">
        <f>B29+B30+B32+B33+B34+B35+B36+B37</f>
        <v>6280</v>
      </c>
      <c r="C38" s="60">
        <f>C29+C30+C32+C33+C34+C35+C36+C37</f>
        <v>18262</v>
      </c>
      <c r="D38" s="60">
        <f t="shared" ref="D38" si="10">D29+D30+D32+D33+D34+D35+D36+D37</f>
        <v>24542</v>
      </c>
      <c r="E38" s="18"/>
      <c r="F38" s="22" t="s">
        <v>70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71</v>
      </c>
      <c r="G39" s="53">
        <v>0</v>
      </c>
      <c r="H39" s="23"/>
      <c r="I39" s="60">
        <f>SUM(G39:H39)</f>
        <v>0</v>
      </c>
    </row>
    <row r="40" spans="1:11" x14ac:dyDescent="0.25">
      <c r="A40" s="22" t="s">
        <v>72</v>
      </c>
      <c r="B40" s="18"/>
      <c r="C40" s="18"/>
      <c r="D40" s="15"/>
      <c r="E40" s="18"/>
      <c r="F40" s="18" t="s">
        <v>73</v>
      </c>
      <c r="G40" s="53">
        <v>0</v>
      </c>
      <c r="H40" s="23"/>
      <c r="I40" s="60">
        <f t="shared" ref="I40:I45" si="11">SUM(G40:H40)</f>
        <v>0</v>
      </c>
    </row>
    <row r="41" spans="1:11" x14ac:dyDescent="0.25">
      <c r="A41" s="18" t="s">
        <v>74</v>
      </c>
      <c r="B41" s="53">
        <v>2230226</v>
      </c>
      <c r="C41" s="53">
        <f>2202314-B41</f>
        <v>-27912</v>
      </c>
      <c r="D41" s="60">
        <f>SUM(B41:C41)</f>
        <v>2202314</v>
      </c>
      <c r="E41" s="18"/>
      <c r="F41" s="18" t="s">
        <v>75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76</v>
      </c>
      <c r="B42" s="53">
        <v>0</v>
      </c>
      <c r="C42" s="53"/>
      <c r="D42" s="60">
        <f t="shared" ref="D42:D45" si="12">SUM(B42:C42)</f>
        <v>0</v>
      </c>
      <c r="E42" s="18"/>
      <c r="F42" s="18" t="s">
        <v>77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78</v>
      </c>
      <c r="B43" s="53">
        <v>3386</v>
      </c>
      <c r="C43" s="53"/>
      <c r="D43" s="60">
        <f t="shared" si="12"/>
        <v>3386</v>
      </c>
      <c r="E43" s="18"/>
      <c r="F43" s="18" t="s">
        <v>79</v>
      </c>
      <c r="G43" s="53">
        <v>0</v>
      </c>
      <c r="H43" s="23"/>
      <c r="I43" s="60">
        <f t="shared" si="11"/>
        <v>0</v>
      </c>
      <c r="K43" s="68"/>
    </row>
    <row r="44" spans="1:11" x14ac:dyDescent="0.25">
      <c r="A44" s="18" t="s">
        <v>80</v>
      </c>
      <c r="B44" s="53">
        <v>0</v>
      </c>
      <c r="C44" s="53"/>
      <c r="D44" s="60">
        <f t="shared" si="12"/>
        <v>0</v>
      </c>
      <c r="E44" s="18"/>
      <c r="F44" s="18" t="s">
        <v>81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82</v>
      </c>
      <c r="B45" s="54">
        <v>-1388808</v>
      </c>
      <c r="C45" s="54">
        <v>9650</v>
      </c>
      <c r="D45" s="61">
        <f t="shared" si="12"/>
        <v>-1379158</v>
      </c>
      <c r="E45" s="18"/>
      <c r="F45" s="18" t="s">
        <v>83</v>
      </c>
      <c r="G45" s="54">
        <v>-1930919</v>
      </c>
      <c r="H45" s="85">
        <f>-1*(H20+H32+H37)</f>
        <v>0</v>
      </c>
      <c r="I45" s="61">
        <f t="shared" si="11"/>
        <v>-1930919</v>
      </c>
    </row>
    <row r="46" spans="1:11" x14ac:dyDescent="0.25">
      <c r="A46" s="18" t="s">
        <v>84</v>
      </c>
      <c r="B46" s="60">
        <f>B41+B42+B43+B44+B45</f>
        <v>844804</v>
      </c>
      <c r="C46" s="60">
        <f t="shared" ref="C46:D46" si="13">C41+C42+C43+C44+C45</f>
        <v>-18262</v>
      </c>
      <c r="D46" s="60">
        <f t="shared" si="13"/>
        <v>826542</v>
      </c>
      <c r="E46" s="18"/>
      <c r="F46" s="18" t="s">
        <v>85</v>
      </c>
      <c r="G46" s="60">
        <f>SUM(G39:G45)</f>
        <v>-1930919</v>
      </c>
      <c r="H46" s="63">
        <f t="shared" ref="H46:I46" si="14">SUM(H39:H45)</f>
        <v>0</v>
      </c>
      <c r="I46" s="60">
        <f t="shared" si="14"/>
        <v>-1930919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86</v>
      </c>
      <c r="B48" s="62">
        <f>B25+B38+B46</f>
        <v>913232</v>
      </c>
      <c r="C48" s="62">
        <f t="shared" ref="C48:D48" si="15">C25+C38+C46</f>
        <v>0</v>
      </c>
      <c r="D48" s="62">
        <f t="shared" si="15"/>
        <v>913232</v>
      </c>
      <c r="E48" s="18"/>
      <c r="F48" s="22" t="s">
        <v>87</v>
      </c>
      <c r="G48" s="62">
        <f>G20+G32+G37+G46</f>
        <v>913232</v>
      </c>
      <c r="H48" s="62">
        <f t="shared" ref="H48:I48" si="16">H20+H32+H37+H46</f>
        <v>0</v>
      </c>
      <c r="I48" s="62">
        <f t="shared" si="16"/>
        <v>913232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88</v>
      </c>
      <c r="B50" s="13"/>
      <c r="C50" s="13"/>
      <c r="D50" s="13"/>
      <c r="E50" s="13"/>
      <c r="F50" s="74" t="s">
        <v>88</v>
      </c>
      <c r="G50" s="13"/>
      <c r="H50" s="13"/>
      <c r="I50" s="13"/>
    </row>
    <row r="51" spans="1:9" x14ac:dyDescent="0.25">
      <c r="A51" t="s">
        <v>89</v>
      </c>
      <c r="B51" s="68"/>
      <c r="C51" s="68"/>
      <c r="D51" s="68"/>
      <c r="E51" s="68"/>
      <c r="F51" t="s">
        <v>90</v>
      </c>
      <c r="G51" s="68"/>
      <c r="H51" s="68"/>
      <c r="I51" s="68"/>
    </row>
    <row r="52" spans="1:9" x14ac:dyDescent="0.25">
      <c r="A52" t="s">
        <v>91</v>
      </c>
      <c r="B52" s="68"/>
      <c r="C52" s="68"/>
      <c r="D52" s="68"/>
      <c r="E52" s="68"/>
      <c r="F52" t="s">
        <v>92</v>
      </c>
      <c r="G52" s="68"/>
      <c r="H52" s="68"/>
      <c r="I52" s="68"/>
    </row>
    <row r="53" spans="1:9" x14ac:dyDescent="0.25">
      <c r="A53" t="s">
        <v>93</v>
      </c>
      <c r="B53" s="68"/>
      <c r="C53" s="68"/>
      <c r="D53" s="68"/>
      <c r="E53" s="68"/>
      <c r="F53" t="s">
        <v>94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oXxhCh5g3oYmtC6+mYKKCjrG20I928UY57GtX4MsWHaSmYYcTikqnHhufPL1v8txehUtjE4GNYYaU/HRYVNjBA==" saltValue="iWqJdA2284EjShdwBn8XI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3</v>
      </c>
    </row>
    <row r="3" spans="1:7" x14ac:dyDescent="0.25">
      <c r="A3" s="59" t="s">
        <v>4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98</v>
      </c>
      <c r="C6" s="10" t="s">
        <v>98</v>
      </c>
      <c r="D6" s="10"/>
      <c r="E6" s="7"/>
      <c r="F6" s="10" t="s">
        <v>98</v>
      </c>
      <c r="G6" s="24" t="s">
        <v>98</v>
      </c>
    </row>
    <row r="7" spans="1:7" x14ac:dyDescent="0.25">
      <c r="A7" s="8" t="s">
        <v>8</v>
      </c>
      <c r="B7" s="11" t="s">
        <v>99</v>
      </c>
      <c r="C7" s="11" t="s">
        <v>100</v>
      </c>
      <c r="D7" s="11"/>
      <c r="E7" s="8" t="s">
        <v>11</v>
      </c>
      <c r="F7" s="11" t="s">
        <v>99</v>
      </c>
      <c r="G7" s="5" t="s">
        <v>100</v>
      </c>
    </row>
    <row r="8" spans="1:7" x14ac:dyDescent="0.25">
      <c r="A8" s="9"/>
      <c r="B8" s="12" t="s">
        <v>101</v>
      </c>
      <c r="C8" s="12" t="s">
        <v>102</v>
      </c>
      <c r="D8" s="12"/>
      <c r="E8" s="9"/>
      <c r="F8" s="12" t="s">
        <v>101</v>
      </c>
      <c r="G8" s="6" t="s">
        <v>102</v>
      </c>
    </row>
    <row r="9" spans="1:7" x14ac:dyDescent="0.25">
      <c r="A9" s="21" t="s">
        <v>15</v>
      </c>
      <c r="B9" s="7"/>
      <c r="C9" s="7"/>
      <c r="D9" s="7"/>
      <c r="E9" s="21" t="s">
        <v>16</v>
      </c>
      <c r="F9" s="7"/>
      <c r="G9" s="15"/>
    </row>
    <row r="10" spans="1:7" x14ac:dyDescent="0.25">
      <c r="A10" s="18" t="s">
        <v>17</v>
      </c>
      <c r="B10" s="33">
        <f>PriorYearBalanceSheet!D10</f>
        <v>1621.52</v>
      </c>
      <c r="C10" s="33">
        <f>'CurrentYearBalanceSheet '!D10</f>
        <v>3474</v>
      </c>
      <c r="D10" s="18"/>
      <c r="E10" s="18" t="s">
        <v>18</v>
      </c>
      <c r="F10" s="33">
        <f>PriorYearBalanceSheet!I10</f>
        <v>528033.98</v>
      </c>
      <c r="G10" s="33">
        <f>'CurrentYearBalanceSheet '!I10</f>
        <v>506102</v>
      </c>
    </row>
    <row r="11" spans="1:7" x14ac:dyDescent="0.25">
      <c r="A11" s="18" t="s">
        <v>19</v>
      </c>
      <c r="B11" s="33">
        <f>PriorYearBalanceSheet!D11</f>
        <v>0</v>
      </c>
      <c r="C11" s="33">
        <f>'CurrentYearBalanceSheet '!D11</f>
        <v>0</v>
      </c>
      <c r="D11" s="18"/>
      <c r="E11" s="18" t="s">
        <v>20</v>
      </c>
      <c r="F11" s="33">
        <f>PriorYearBalanceSheet!I11</f>
        <v>80375.5</v>
      </c>
      <c r="G11" s="33">
        <f>'CurrentYearBalanceSheet '!I11</f>
        <v>79330</v>
      </c>
    </row>
    <row r="12" spans="1:7" x14ac:dyDescent="0.25">
      <c r="A12" s="18" t="s">
        <v>21</v>
      </c>
      <c r="B12" s="23"/>
      <c r="C12" s="23"/>
      <c r="D12" s="19"/>
      <c r="E12" s="18" t="s">
        <v>22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23</v>
      </c>
      <c r="B13" s="33">
        <f>PriorYearBalanceSheet!D13</f>
        <v>5379.28</v>
      </c>
      <c r="C13" s="33">
        <f>'CurrentYearBalanceSheet '!D13</f>
        <v>6309</v>
      </c>
      <c r="D13" s="18"/>
      <c r="E13" s="18" t="s">
        <v>24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25</v>
      </c>
      <c r="B14" s="33">
        <f>PriorYearBalanceSheet!D14</f>
        <v>0</v>
      </c>
      <c r="C14" s="33">
        <f>'CurrentYearBalanceSheet '!D14</f>
        <v>0</v>
      </c>
      <c r="D14" s="18"/>
      <c r="E14" s="18" t="s">
        <v>26</v>
      </c>
      <c r="F14" s="33">
        <f>PriorYearBalanceSheet!I14</f>
        <v>583700</v>
      </c>
      <c r="G14" s="33">
        <f>'CurrentYearBalanceSheet '!I14</f>
        <v>234564</v>
      </c>
    </row>
    <row r="15" spans="1:7" x14ac:dyDescent="0.25">
      <c r="A15" s="18" t="s">
        <v>27</v>
      </c>
      <c r="B15" s="33">
        <f>PriorYearBalanceSheet!D15</f>
        <v>0</v>
      </c>
      <c r="C15" s="33">
        <f>'CurrentYearBalanceSheet '!D15</f>
        <v>0</v>
      </c>
      <c r="D15" s="18"/>
      <c r="E15" s="18" t="s">
        <v>28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29</v>
      </c>
      <c r="B16" s="23"/>
      <c r="C16" s="23"/>
      <c r="D16" s="19"/>
      <c r="E16" s="18" t="s">
        <v>30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23</v>
      </c>
      <c r="B17" s="33">
        <f>PriorYearBalanceSheet!D17</f>
        <v>33962.9</v>
      </c>
      <c r="C17" s="33">
        <f>'CurrentYearBalanceSheet '!D17</f>
        <v>49125</v>
      </c>
      <c r="D17" s="18"/>
      <c r="E17" s="18" t="s">
        <v>31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25</v>
      </c>
      <c r="B18" s="33">
        <f>PriorYearBalanceSheet!D18</f>
        <v>0</v>
      </c>
      <c r="C18" s="33">
        <f>'CurrentYearBalanceSheet '!D18</f>
        <v>0</v>
      </c>
      <c r="D18" s="18"/>
      <c r="E18" s="18" t="s">
        <v>32</v>
      </c>
      <c r="F18" s="33">
        <f>PriorYearBalanceSheet!I18</f>
        <v>11921.23</v>
      </c>
      <c r="G18" s="33">
        <f>'CurrentYearBalanceSheet '!I18</f>
        <v>6915</v>
      </c>
    </row>
    <row r="19" spans="1:7" x14ac:dyDescent="0.25">
      <c r="A19" s="18" t="s">
        <v>27</v>
      </c>
      <c r="B19" s="33">
        <f>PriorYearBalanceSheet!D19</f>
        <v>0</v>
      </c>
      <c r="C19" s="33">
        <f>'CurrentYearBalanceSheet '!D19</f>
        <v>0</v>
      </c>
      <c r="D19" s="18"/>
      <c r="E19" s="18" t="s">
        <v>33</v>
      </c>
      <c r="F19" s="34">
        <f>PriorYearBalanceSheet!I19</f>
        <v>419681.84</v>
      </c>
      <c r="G19" s="33">
        <f>'CurrentYearBalanceSheet '!I19</f>
        <v>557958</v>
      </c>
    </row>
    <row r="20" spans="1:7" x14ac:dyDescent="0.25">
      <c r="A20" s="18" t="s">
        <v>34</v>
      </c>
      <c r="B20" s="33">
        <f>PriorYearBalanceSheet!D20</f>
        <v>0</v>
      </c>
      <c r="C20" s="33">
        <f>'CurrentYearBalanceSheet '!D20</f>
        <v>0</v>
      </c>
      <c r="D20" s="18"/>
      <c r="E20" s="18" t="s">
        <v>103</v>
      </c>
      <c r="F20" s="37">
        <f>SUM(F10:F19)</f>
        <v>1623712.55</v>
      </c>
      <c r="G20" s="36">
        <f>SUM(G10:G19)</f>
        <v>1384869</v>
      </c>
    </row>
    <row r="21" spans="1:7" x14ac:dyDescent="0.25">
      <c r="A21" s="18" t="s">
        <v>36</v>
      </c>
      <c r="B21" s="33">
        <f>PriorYearBalanceSheet!D21</f>
        <v>0</v>
      </c>
      <c r="C21" s="33">
        <f>'CurrentYearBalanceSheet '!D21</f>
        <v>0</v>
      </c>
      <c r="D21" s="18"/>
      <c r="E21" s="22" t="s">
        <v>37</v>
      </c>
      <c r="F21" s="18"/>
      <c r="G21" s="15"/>
    </row>
    <row r="22" spans="1:7" x14ac:dyDescent="0.25">
      <c r="A22" s="18" t="s">
        <v>38</v>
      </c>
      <c r="B22" s="33">
        <f>PriorYearBalanceSheet!D22</f>
        <v>0</v>
      </c>
      <c r="C22" s="33">
        <f>'CurrentYearBalanceSheet '!D22</f>
        <v>0</v>
      </c>
      <c r="D22" s="18"/>
      <c r="E22" s="18" t="s">
        <v>39</v>
      </c>
      <c r="F22" s="33">
        <f>PriorYearBalanceSheet!I22</f>
        <v>806932</v>
      </c>
      <c r="G22" s="33">
        <f>'CurrentYearBalanceSheet '!I22</f>
        <v>1153000</v>
      </c>
    </row>
    <row r="23" spans="1:7" x14ac:dyDescent="0.25">
      <c r="A23" s="18" t="s">
        <v>40</v>
      </c>
      <c r="B23" s="33">
        <f>PriorYearBalanceSheet!D23</f>
        <v>0</v>
      </c>
      <c r="C23" s="33">
        <f>'CurrentYearBalanceSheet '!D23</f>
        <v>3240</v>
      </c>
      <c r="D23" s="18"/>
      <c r="E23" s="18" t="s">
        <v>41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42</v>
      </c>
      <c r="B24" s="34">
        <f>PriorYearBalanceSheet!D24</f>
        <v>0</v>
      </c>
      <c r="C24" s="34">
        <f>'CurrentYearBalanceSheet '!D24</f>
        <v>0</v>
      </c>
      <c r="D24" s="18"/>
      <c r="E24" s="18" t="s">
        <v>43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44</v>
      </c>
      <c r="B25" s="33">
        <f>B10+B11+B13+B14+B15+B17+B18+B19+B20+B21+B22+B23+B24</f>
        <v>40963.699999999997</v>
      </c>
      <c r="C25" s="33">
        <f>C10+C11+C13+C14+C15+C17+C18+C19+C20+C21+C22+C23+C24</f>
        <v>62148</v>
      </c>
      <c r="D25" s="18"/>
      <c r="E25" s="18" t="s">
        <v>45</v>
      </c>
      <c r="F25" s="33">
        <f>PriorYearBalanceSheet!I25</f>
        <v>333595</v>
      </c>
      <c r="G25" s="33">
        <f>'CurrentYearBalanceSheet '!I25</f>
        <v>306282</v>
      </c>
    </row>
    <row r="26" spans="1:7" x14ac:dyDescent="0.25">
      <c r="A26" s="18"/>
      <c r="B26" s="18"/>
      <c r="C26" s="18"/>
      <c r="D26" s="18"/>
      <c r="E26" s="18" t="s">
        <v>46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47</v>
      </c>
      <c r="B27" s="18"/>
      <c r="C27" s="18"/>
      <c r="D27" s="18"/>
      <c r="E27" s="18" t="s">
        <v>48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49</v>
      </c>
      <c r="B28" s="23"/>
      <c r="C28" s="23"/>
      <c r="D28" s="19"/>
      <c r="E28" s="18" t="s">
        <v>50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51</v>
      </c>
      <c r="B29" s="33">
        <f>PriorYearBalanceSheet!D29</f>
        <v>0</v>
      </c>
      <c r="C29" s="33">
        <f>'CurrentYearBalanceSheet '!D29</f>
        <v>0</v>
      </c>
      <c r="D29" s="18"/>
      <c r="E29" s="18" t="s">
        <v>52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53</v>
      </c>
      <c r="B30" s="33">
        <f>PriorYearBalanceSheet!D30</f>
        <v>0</v>
      </c>
      <c r="C30" s="33">
        <f>'CurrentYearBalanceSheet '!D30</f>
        <v>0</v>
      </c>
      <c r="D30" s="18"/>
      <c r="E30" s="18" t="s">
        <v>54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55</v>
      </c>
      <c r="B31" s="23"/>
      <c r="C31" s="23"/>
      <c r="D31" s="19"/>
      <c r="E31" s="18" t="s">
        <v>56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104</v>
      </c>
      <c r="F32" s="33">
        <f>SUM(F22:F31)</f>
        <v>1140527</v>
      </c>
      <c r="G32" s="33">
        <f>SUM(G22:G31)</f>
        <v>1459282</v>
      </c>
    </row>
    <row r="33" spans="1:7" x14ac:dyDescent="0.25">
      <c r="A33" s="18" t="s">
        <v>59</v>
      </c>
      <c r="B33" s="33">
        <f>PriorYearBalanceSheet!D33</f>
        <v>0</v>
      </c>
      <c r="C33" s="33">
        <f>'CurrentYearBalanceSheet '!D33</f>
        <v>0</v>
      </c>
      <c r="D33" s="18"/>
      <c r="E33" s="22" t="s">
        <v>60</v>
      </c>
      <c r="F33" s="18"/>
      <c r="G33" s="15"/>
    </row>
    <row r="34" spans="1:7" x14ac:dyDescent="0.25">
      <c r="A34" s="18" t="s">
        <v>105</v>
      </c>
      <c r="B34" s="33">
        <f>PriorYearBalanceSheet!D34</f>
        <v>22384.28</v>
      </c>
      <c r="C34" s="33">
        <f>'CurrentYearBalanceSheet '!D34</f>
        <v>20542</v>
      </c>
      <c r="D34" s="18"/>
      <c r="E34" s="18" t="s">
        <v>62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63</v>
      </c>
      <c r="B35" s="33">
        <f>PriorYearBalanceSheet!D35</f>
        <v>4750</v>
      </c>
      <c r="C35" s="33">
        <f>'CurrentYearBalanceSheet '!D35</f>
        <v>4000</v>
      </c>
      <c r="D35" s="18"/>
      <c r="E35" s="18" t="s">
        <v>106</v>
      </c>
      <c r="F35" s="33">
        <f>PriorYearBalanceSheet!I35</f>
        <v>0</v>
      </c>
      <c r="G35" s="33">
        <f>'CurrentYearBalanceSheet '!I35</f>
        <v>0</v>
      </c>
    </row>
    <row r="36" spans="1:7" x14ac:dyDescent="0.25">
      <c r="A36" s="18" t="s">
        <v>65</v>
      </c>
      <c r="B36" s="33">
        <f>PriorYearBalanceSheet!D36</f>
        <v>0</v>
      </c>
      <c r="C36" s="33">
        <f>'CurrentYearBalanceSheet '!D36</f>
        <v>0</v>
      </c>
      <c r="D36" s="18"/>
      <c r="E36" s="18" t="s">
        <v>66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67</v>
      </c>
      <c r="B37" s="34">
        <f>PriorYearBalanceSheet!D37</f>
        <v>0</v>
      </c>
      <c r="C37" s="34">
        <f>'CurrentYearBalanceSheet '!D37</f>
        <v>0</v>
      </c>
      <c r="D37" s="18"/>
      <c r="E37" s="18" t="s">
        <v>68</v>
      </c>
      <c r="F37" s="33">
        <f>SUM(F34:F36)</f>
        <v>0</v>
      </c>
      <c r="G37" s="33">
        <f>SUM(G34:G36)</f>
        <v>0</v>
      </c>
    </row>
    <row r="38" spans="1:7" x14ac:dyDescent="0.25">
      <c r="A38" s="18" t="s">
        <v>69</v>
      </c>
      <c r="B38" s="33">
        <f>B29+B30+B32+B33+B34+B35+B36+B37</f>
        <v>27134.28</v>
      </c>
      <c r="C38" s="33">
        <f>C29+C30+C32+C33+C34+C35+C36+C37</f>
        <v>24542</v>
      </c>
      <c r="D38" s="18"/>
      <c r="E38" s="22" t="s">
        <v>70</v>
      </c>
      <c r="F38" s="18"/>
      <c r="G38" s="15"/>
    </row>
    <row r="39" spans="1:7" x14ac:dyDescent="0.25">
      <c r="A39" s="18"/>
      <c r="B39" s="18"/>
      <c r="C39" s="18"/>
      <c r="D39" s="18"/>
      <c r="E39" s="18" t="s">
        <v>71</v>
      </c>
      <c r="F39" s="33">
        <f>PriorYearBalanceSheet!I39</f>
        <v>0</v>
      </c>
      <c r="G39" s="33">
        <f>'CurrentYearBalanceSheet '!I39</f>
        <v>0</v>
      </c>
    </row>
    <row r="40" spans="1:7" x14ac:dyDescent="0.25">
      <c r="A40" s="22" t="s">
        <v>72</v>
      </c>
      <c r="B40" s="18"/>
      <c r="C40" s="18"/>
      <c r="D40" s="18"/>
      <c r="E40" s="18" t="s">
        <v>73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107</v>
      </c>
      <c r="B41" s="33">
        <f>PriorYearBalanceSheet!D41</f>
        <v>2171834.0900000003</v>
      </c>
      <c r="C41" s="33">
        <f>'CurrentYearBalanceSheet '!D41</f>
        <v>2202314</v>
      </c>
      <c r="D41" s="18"/>
      <c r="E41" s="18" t="s">
        <v>75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76</v>
      </c>
      <c r="B42" s="33">
        <f>PriorYearBalanceSheet!D42</f>
        <v>0</v>
      </c>
      <c r="C42" s="33">
        <f>'CurrentYearBalanceSheet '!D42</f>
        <v>0</v>
      </c>
      <c r="D42" s="18"/>
      <c r="E42" s="18" t="s">
        <v>77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78</v>
      </c>
      <c r="B43" s="33">
        <f>PriorYearBalanceSheet!D43</f>
        <v>2475.36</v>
      </c>
      <c r="C43" s="33">
        <f>'CurrentYearBalanceSheet '!D43</f>
        <v>3386</v>
      </c>
      <c r="D43" s="18"/>
      <c r="E43" s="18" t="s">
        <v>79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80</v>
      </c>
      <c r="B44" s="33">
        <f>PriorYearBalanceSheet!D44</f>
        <v>0</v>
      </c>
      <c r="C44" s="33">
        <f>'CurrentYearBalanceSheet '!D44</f>
        <v>0</v>
      </c>
      <c r="D44" s="18"/>
      <c r="E44" s="18" t="s">
        <v>81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108</v>
      </c>
      <c r="B45" s="34">
        <f>PriorYearBalanceSheet!D45</f>
        <v>-1216746.8199999998</v>
      </c>
      <c r="C45" s="34">
        <f>'CurrentYearBalanceSheet '!D45</f>
        <v>-1379158</v>
      </c>
      <c r="D45" s="18"/>
      <c r="E45" s="18" t="s">
        <v>109</v>
      </c>
      <c r="F45" s="34">
        <f>PriorYearBalanceSheet!I45</f>
        <v>-1738578.9400000002</v>
      </c>
      <c r="G45" s="34">
        <f>'CurrentYearBalanceSheet '!I45</f>
        <v>-1930919</v>
      </c>
    </row>
    <row r="46" spans="1:7" x14ac:dyDescent="0.25">
      <c r="A46" s="18" t="s">
        <v>84</v>
      </c>
      <c r="B46" s="33">
        <f>SUM(B41:B45)</f>
        <v>957562.63000000035</v>
      </c>
      <c r="C46" s="33">
        <f>SUM(C41:C45)</f>
        <v>826542</v>
      </c>
      <c r="D46" s="18"/>
      <c r="E46" s="18" t="s">
        <v>85</v>
      </c>
      <c r="F46" s="33">
        <f>SUM(F39:F45)</f>
        <v>-1738578.9400000002</v>
      </c>
      <c r="G46" s="33">
        <f>SUM(G39:G45)</f>
        <v>-1930919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86</v>
      </c>
      <c r="B48" s="35">
        <f>B25+B38+B46</f>
        <v>1025660.6100000003</v>
      </c>
      <c r="C48" s="35">
        <f>C25+C38+C46</f>
        <v>913232</v>
      </c>
      <c r="D48" s="18"/>
      <c r="E48" s="22" t="s">
        <v>87</v>
      </c>
      <c r="F48" s="35">
        <f>F20+F32+F37+F46</f>
        <v>1025660.6099999996</v>
      </c>
      <c r="G48" s="35">
        <f>G20+G32+G37+G46</f>
        <v>913232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110</v>
      </c>
    </row>
    <row r="51" spans="1:7" x14ac:dyDescent="0.25">
      <c r="A51" t="s">
        <v>111</v>
      </c>
      <c r="B51" s="68"/>
      <c r="C51" s="68"/>
      <c r="D51" s="68"/>
      <c r="E51" s="68"/>
      <c r="F51" s="68"/>
      <c r="G51" s="68"/>
    </row>
    <row r="52" spans="1:7" x14ac:dyDescent="0.25">
      <c r="A52" t="s">
        <v>112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+vzKEIchU2brmTgCCgR0y4DIMwLhppNqipybhNhEA77sQ8QmL4jwIDAXJq4dYrtdlY1gtaYmLbQ/zIvipt2mRA==" saltValue="hJ1dxTxCSlW8+x4wzyH23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3</v>
      </c>
    </row>
    <row r="3" spans="1:6" x14ac:dyDescent="0.25">
      <c r="B3" s="59" t="s">
        <v>4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113</v>
      </c>
      <c r="D6" s="10" t="s">
        <v>7</v>
      </c>
      <c r="E6" s="10" t="s">
        <v>7</v>
      </c>
      <c r="F6" s="24" t="s">
        <v>114</v>
      </c>
    </row>
    <row r="7" spans="1:6" x14ac:dyDescent="0.25">
      <c r="A7" s="18" t="s">
        <v>115</v>
      </c>
      <c r="B7" s="11" t="s">
        <v>116</v>
      </c>
      <c r="C7" s="11" t="s">
        <v>117</v>
      </c>
      <c r="D7" s="11" t="s">
        <v>9</v>
      </c>
      <c r="E7" s="11" t="s">
        <v>9</v>
      </c>
      <c r="F7" s="5" t="s">
        <v>118</v>
      </c>
    </row>
    <row r="8" spans="1:6" x14ac:dyDescent="0.25">
      <c r="A8" s="12"/>
      <c r="B8" s="20"/>
      <c r="C8" s="12" t="s">
        <v>119</v>
      </c>
      <c r="D8" s="12">
        <v>2013</v>
      </c>
      <c r="E8" s="12">
        <v>2014</v>
      </c>
      <c r="F8" s="6" t="s">
        <v>5</v>
      </c>
    </row>
    <row r="9" spans="1:6" x14ac:dyDescent="0.25">
      <c r="A9" s="10"/>
      <c r="B9" s="21" t="s">
        <v>120</v>
      </c>
      <c r="C9" s="7"/>
      <c r="D9" s="7"/>
      <c r="E9" s="7"/>
      <c r="F9" s="15"/>
    </row>
    <row r="10" spans="1:6" x14ac:dyDescent="0.25">
      <c r="A10" s="11">
        <v>1</v>
      </c>
      <c r="B10" s="18" t="s">
        <v>121</v>
      </c>
      <c r="C10" s="11">
        <v>18</v>
      </c>
      <c r="D10" s="60">
        <f>'BalanceSheet(Summary)'!B41</f>
        <v>2171834.0900000003</v>
      </c>
      <c r="E10" s="60">
        <f>'BalanceSheet(Summary)'!C41</f>
        <v>2202314</v>
      </c>
      <c r="F10" s="60">
        <f>(D10+E10)/2</f>
        <v>2187074.0449999999</v>
      </c>
    </row>
    <row r="11" spans="1:6" x14ac:dyDescent="0.25">
      <c r="A11" s="11">
        <v>2</v>
      </c>
      <c r="B11" s="18" t="s">
        <v>122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123</v>
      </c>
      <c r="C12" s="11">
        <v>22</v>
      </c>
      <c r="D12" s="60">
        <f>'BalanceSheet(Summary)'!B45</f>
        <v>-1216746.8199999998</v>
      </c>
      <c r="E12" s="60">
        <f>'BalanceSheet(Summary)'!C45</f>
        <v>-1379158</v>
      </c>
      <c r="F12" s="60">
        <f t="shared" ref="F12:F15" si="0">(D12+E12)/2</f>
        <v>-1297952.4099999999</v>
      </c>
    </row>
    <row r="13" spans="1:6" x14ac:dyDescent="0.25">
      <c r="A13" s="11">
        <v>4</v>
      </c>
      <c r="B13" s="18" t="s">
        <v>124</v>
      </c>
      <c r="C13" s="11">
        <v>6</v>
      </c>
      <c r="D13" s="60">
        <f>'BalanceSheet(Summary)'!B21</f>
        <v>0</v>
      </c>
      <c r="E13" s="60">
        <f>'BalanceSheet(Summary)'!C21</f>
        <v>0</v>
      </c>
      <c r="F13" s="60">
        <f t="shared" si="0"/>
        <v>0</v>
      </c>
    </row>
    <row r="14" spans="1:6" x14ac:dyDescent="0.25">
      <c r="A14" s="11">
        <v>5</v>
      </c>
      <c r="B14" s="18" t="s">
        <v>125</v>
      </c>
      <c r="C14" s="20"/>
      <c r="D14" s="53"/>
      <c r="E14" s="53"/>
      <c r="F14" s="60">
        <f t="shared" si="0"/>
        <v>0</v>
      </c>
    </row>
    <row r="15" spans="1:6" ht="15.75" thickBot="1" x14ac:dyDescent="0.3">
      <c r="A15" s="12">
        <v>6</v>
      </c>
      <c r="B15" s="78" t="s">
        <v>126</v>
      </c>
      <c r="C15" s="80"/>
      <c r="D15" s="81">
        <f>SUM(D10:D14)</f>
        <v>955087.27000000048</v>
      </c>
      <c r="E15" s="64">
        <f>SUM(E10:E14)</f>
        <v>823156</v>
      </c>
      <c r="F15" s="65">
        <f t="shared" si="0"/>
        <v>889121.63500000024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88</v>
      </c>
      <c r="C17" s="68"/>
      <c r="D17" s="68"/>
      <c r="E17" s="68"/>
      <c r="F17" s="68"/>
    </row>
    <row r="18" spans="1:6" x14ac:dyDescent="0.25">
      <c r="B18" t="s">
        <v>127</v>
      </c>
      <c r="C18" s="68"/>
      <c r="D18" s="68"/>
      <c r="E18" s="68"/>
      <c r="F18" s="68"/>
    </row>
    <row r="19" spans="1:6" x14ac:dyDescent="0.25">
      <c r="B19" t="s">
        <v>128</v>
      </c>
      <c r="C19" s="68"/>
      <c r="D19" s="68"/>
      <c r="E19" s="68"/>
      <c r="F19" s="68"/>
    </row>
    <row r="20" spans="1:6" x14ac:dyDescent="0.25">
      <c r="B20" t="s">
        <v>129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4RT6s6sUi3rPtW2S5/WOrfqzTC+PlIT7TPBpq7i7hrBVpkJgDS/sl2sN/jm1GuPDdUyVti/wGmi6Dd9uJ3KoOw==" saltValue="spGvC70Hq7/vvgHpqgB1R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3</v>
      </c>
    </row>
    <row r="3" spans="1:6" x14ac:dyDescent="0.25">
      <c r="B3" s="59" t="s">
        <v>4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B6" s="68"/>
      <c r="C6" s="68"/>
      <c r="D6" s="68"/>
      <c r="E6" s="68"/>
      <c r="F6" s="68"/>
    </row>
    <row r="7" spans="1:6" x14ac:dyDescent="0.25">
      <c r="A7" s="7"/>
      <c r="B7" s="7"/>
      <c r="C7" s="10" t="s">
        <v>99</v>
      </c>
      <c r="D7" s="10" t="s">
        <v>100</v>
      </c>
      <c r="E7" s="7"/>
      <c r="F7" s="4"/>
    </row>
    <row r="8" spans="1:6" x14ac:dyDescent="0.25">
      <c r="A8" s="11" t="s">
        <v>115</v>
      </c>
      <c r="B8" s="11" t="s">
        <v>116</v>
      </c>
      <c r="C8" s="11" t="s">
        <v>130</v>
      </c>
      <c r="D8" s="11" t="s">
        <v>131</v>
      </c>
      <c r="E8" s="25" t="s">
        <v>132</v>
      </c>
      <c r="F8" s="5" t="s">
        <v>133</v>
      </c>
    </row>
    <row r="9" spans="1:6" x14ac:dyDescent="0.25">
      <c r="A9" s="20"/>
      <c r="B9" s="20"/>
      <c r="C9" s="12" t="s">
        <v>134</v>
      </c>
      <c r="D9" s="12" t="s">
        <v>135</v>
      </c>
      <c r="E9" s="12"/>
      <c r="F9" s="6" t="s">
        <v>136</v>
      </c>
    </row>
    <row r="10" spans="1:6" x14ac:dyDescent="0.25">
      <c r="A10" s="7"/>
      <c r="B10" s="21" t="s">
        <v>137</v>
      </c>
      <c r="C10" s="7"/>
      <c r="D10" s="33"/>
      <c r="E10" s="7"/>
      <c r="F10" s="15"/>
    </row>
    <row r="11" spans="1:6" x14ac:dyDescent="0.25">
      <c r="A11" s="11">
        <v>1</v>
      </c>
      <c r="B11" s="18" t="s">
        <v>138</v>
      </c>
      <c r="C11" s="53">
        <v>15</v>
      </c>
      <c r="D11" s="53">
        <v>29</v>
      </c>
      <c r="E11" s="33">
        <f>D11-C11</f>
        <v>14</v>
      </c>
      <c r="F11" s="39">
        <f>E11/C11</f>
        <v>0.93333333333333335</v>
      </c>
    </row>
    <row r="12" spans="1:6" x14ac:dyDescent="0.25">
      <c r="A12" s="11">
        <v>2</v>
      </c>
      <c r="B12" s="18" t="s">
        <v>139</v>
      </c>
      <c r="C12" s="53">
        <v>35</v>
      </c>
      <c r="D12" s="53">
        <v>33</v>
      </c>
      <c r="E12" s="33">
        <f>D12-C12</f>
        <v>-2</v>
      </c>
      <c r="F12" s="39">
        <f t="shared" ref="F12:F13" si="0">E12/C12</f>
        <v>-5.7142857142857141E-2</v>
      </c>
    </row>
    <row r="13" spans="1:6" ht="15.75" thickBot="1" x14ac:dyDescent="0.3">
      <c r="A13" s="12">
        <v>3</v>
      </c>
      <c r="B13" s="20" t="s">
        <v>140</v>
      </c>
      <c r="C13" s="35">
        <f>SUM(C11:C12)</f>
        <v>50</v>
      </c>
      <c r="D13" s="35">
        <f t="shared" ref="D13:E13" si="1">SUM(D11:D12)</f>
        <v>62</v>
      </c>
      <c r="E13" s="35">
        <f t="shared" si="1"/>
        <v>12</v>
      </c>
      <c r="F13" s="40">
        <f t="shared" si="0"/>
        <v>0.24</v>
      </c>
    </row>
    <row r="14" spans="1:6" ht="15.75" thickTop="1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B24" s="68"/>
      <c r="C24" s="68"/>
      <c r="D24" s="68"/>
      <c r="E24" s="68"/>
      <c r="F24" s="68"/>
    </row>
    <row r="25" spans="1:6" x14ac:dyDescent="0.25">
      <c r="B25" s="68"/>
      <c r="C25" s="68"/>
      <c r="D25" s="68"/>
      <c r="E25" s="68"/>
      <c r="F25" s="68"/>
    </row>
    <row r="26" spans="1:6" x14ac:dyDescent="0.25">
      <c r="B26" s="68"/>
      <c r="C26" s="68"/>
      <c r="D26" s="68"/>
      <c r="E26" s="68"/>
      <c r="F26" s="68"/>
    </row>
    <row r="27" spans="1:6" x14ac:dyDescent="0.25">
      <c r="B27" s="68"/>
      <c r="C27" s="68"/>
      <c r="D27" s="68"/>
      <c r="E27" s="68"/>
      <c r="F27" s="68"/>
    </row>
    <row r="28" spans="1:6" x14ac:dyDescent="0.25">
      <c r="B28" s="68"/>
      <c r="C28" s="68"/>
      <c r="D28" s="68"/>
      <c r="E28" s="68"/>
      <c r="F28" s="68"/>
    </row>
    <row r="29" spans="1:6" x14ac:dyDescent="0.25">
      <c r="B29" s="68"/>
      <c r="C29" s="68"/>
      <c r="D29" s="68"/>
      <c r="E29" s="68"/>
      <c r="F29" s="68"/>
    </row>
    <row r="30" spans="1:6" x14ac:dyDescent="0.25">
      <c r="B30" s="68"/>
      <c r="C30" s="68"/>
      <c r="D30" s="68"/>
      <c r="E30" s="68"/>
      <c r="F30" s="68"/>
    </row>
  </sheetData>
  <sheetProtection algorithmName="SHA-512" hashValue="Usl8uCID7hWiD472F1RfDIaRQo1f1rDpIkQT7IuRMGyq63mzxxMJdgbsPZTOtbZRG8ciNQijMjAkolI8fD2lxQ==" saltValue="U1IktsNd6GdKrVKX4Rnak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3</v>
      </c>
    </row>
    <row r="3" spans="1:6" x14ac:dyDescent="0.25">
      <c r="B3" s="59" t="s">
        <v>4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99</v>
      </c>
      <c r="D6" s="28" t="s">
        <v>6</v>
      </c>
      <c r="E6" s="27" t="s">
        <v>99</v>
      </c>
    </row>
    <row r="7" spans="1:6" x14ac:dyDescent="0.25">
      <c r="A7" s="18" t="s">
        <v>115</v>
      </c>
      <c r="B7" s="11" t="s">
        <v>116</v>
      </c>
      <c r="C7" s="11">
        <v>2013</v>
      </c>
      <c r="D7" s="11" t="s">
        <v>141</v>
      </c>
      <c r="E7" s="5" t="s">
        <v>98</v>
      </c>
    </row>
    <row r="8" spans="1:6" x14ac:dyDescent="0.25">
      <c r="A8" s="12"/>
      <c r="B8" s="12"/>
      <c r="C8" s="12" t="s">
        <v>142</v>
      </c>
      <c r="D8" s="12" t="s">
        <v>143</v>
      </c>
      <c r="E8" s="6" t="s">
        <v>14</v>
      </c>
    </row>
    <row r="9" spans="1:6" x14ac:dyDescent="0.25">
      <c r="A9" s="10">
        <v>1</v>
      </c>
      <c r="B9" s="4" t="s">
        <v>144</v>
      </c>
      <c r="C9" s="56">
        <v>13661</v>
      </c>
      <c r="D9" s="53">
        <v>0</v>
      </c>
      <c r="E9" s="60">
        <f>SUM(C9:D9)</f>
        <v>13661</v>
      </c>
    </row>
    <row r="10" spans="1:6" x14ac:dyDescent="0.25">
      <c r="A10" s="11">
        <v>2</v>
      </c>
      <c r="B10" s="15" t="s">
        <v>145</v>
      </c>
      <c r="C10" s="53">
        <v>492355</v>
      </c>
      <c r="D10" s="53">
        <v>-1933</v>
      </c>
      <c r="E10" s="60">
        <f t="shared" ref="E10:E14" si="0">SUM(C10:D10)</f>
        <v>490422</v>
      </c>
    </row>
    <row r="11" spans="1:6" x14ac:dyDescent="0.25">
      <c r="A11" s="11">
        <v>3</v>
      </c>
      <c r="B11" s="15" t="s">
        <v>146</v>
      </c>
      <c r="C11" s="53">
        <v>0</v>
      </c>
      <c r="D11" s="53">
        <v>1909.4</v>
      </c>
      <c r="E11" s="60">
        <f t="shared" si="0"/>
        <v>1909.4</v>
      </c>
    </row>
    <row r="12" spans="1:6" x14ac:dyDescent="0.25">
      <c r="A12" s="11">
        <v>4</v>
      </c>
      <c r="B12" s="15" t="s">
        <v>147</v>
      </c>
      <c r="C12" s="53">
        <v>0</v>
      </c>
      <c r="D12" s="53">
        <v>0</v>
      </c>
      <c r="E12" s="60">
        <f t="shared" si="0"/>
        <v>0</v>
      </c>
    </row>
    <row r="13" spans="1:6" x14ac:dyDescent="0.25">
      <c r="A13" s="11">
        <v>5</v>
      </c>
      <c r="B13" s="15" t="s">
        <v>148</v>
      </c>
      <c r="C13" s="53">
        <v>18877</v>
      </c>
      <c r="D13" s="53">
        <v>23.4</v>
      </c>
      <c r="E13" s="60">
        <f t="shared" si="0"/>
        <v>18900.400000000001</v>
      </c>
    </row>
    <row r="14" spans="1:6" x14ac:dyDescent="0.25">
      <c r="A14" s="11">
        <v>6</v>
      </c>
      <c r="B14" s="15" t="s">
        <v>149</v>
      </c>
      <c r="C14" s="53">
        <v>-34</v>
      </c>
      <c r="D14" s="53">
        <v>0</v>
      </c>
      <c r="E14" s="60">
        <f t="shared" si="0"/>
        <v>-34</v>
      </c>
    </row>
    <row r="15" spans="1:6" x14ac:dyDescent="0.25">
      <c r="A15" s="11">
        <v>7</v>
      </c>
      <c r="B15" s="82" t="s">
        <v>150</v>
      </c>
      <c r="C15" s="87">
        <f>SUM(C9:C14)</f>
        <v>524859</v>
      </c>
      <c r="D15" s="87">
        <f t="shared" ref="D15:E15" si="1">SUM(D9:D14)</f>
        <v>-0.19999999999991047</v>
      </c>
      <c r="E15" s="87">
        <f t="shared" si="1"/>
        <v>524858.80000000005</v>
      </c>
      <c r="F15" s="1"/>
    </row>
    <row r="16" spans="1:6" x14ac:dyDescent="0.25">
      <c r="A16" s="11">
        <v>8</v>
      </c>
      <c r="B16" s="15" t="s">
        <v>151</v>
      </c>
      <c r="C16" s="53">
        <v>193857</v>
      </c>
      <c r="D16" s="53">
        <v>-2251</v>
      </c>
      <c r="E16" s="42">
        <f>SUM(C16:D16)</f>
        <v>191606</v>
      </c>
    </row>
    <row r="17" spans="1:6" x14ac:dyDescent="0.25">
      <c r="A17" s="11">
        <v>9</v>
      </c>
      <c r="B17" s="15" t="s">
        <v>152</v>
      </c>
      <c r="C17" s="53">
        <v>34201</v>
      </c>
      <c r="D17" s="53">
        <v>-456</v>
      </c>
      <c r="E17" s="42">
        <f t="shared" ref="E17:E21" si="2">SUM(C17:D17)</f>
        <v>33745</v>
      </c>
    </row>
    <row r="18" spans="1:6" x14ac:dyDescent="0.25">
      <c r="A18" s="11">
        <v>10</v>
      </c>
      <c r="B18" s="15" t="s">
        <v>153</v>
      </c>
      <c r="C18" s="53">
        <v>174619</v>
      </c>
      <c r="D18" s="53">
        <v>-791</v>
      </c>
      <c r="E18" s="42">
        <f t="shared" si="2"/>
        <v>173828</v>
      </c>
    </row>
    <row r="19" spans="1:6" x14ac:dyDescent="0.25">
      <c r="A19" s="11">
        <v>11</v>
      </c>
      <c r="B19" s="15" t="s">
        <v>154</v>
      </c>
      <c r="C19" s="53">
        <v>750</v>
      </c>
      <c r="D19" s="53">
        <v>0</v>
      </c>
      <c r="E19" s="42">
        <f t="shared" si="2"/>
        <v>750</v>
      </c>
    </row>
    <row r="20" spans="1:6" x14ac:dyDescent="0.25">
      <c r="A20" s="11">
        <v>12</v>
      </c>
      <c r="B20" s="15" t="s">
        <v>155</v>
      </c>
      <c r="C20" s="53">
        <v>21992</v>
      </c>
      <c r="D20" s="53">
        <v>-25</v>
      </c>
      <c r="E20" s="42">
        <f t="shared" si="2"/>
        <v>21967</v>
      </c>
    </row>
    <row r="21" spans="1:6" x14ac:dyDescent="0.25">
      <c r="A21" s="11">
        <v>13</v>
      </c>
      <c r="B21" s="15" t="s">
        <v>156</v>
      </c>
      <c r="C21" s="53">
        <v>118304</v>
      </c>
      <c r="D21" s="53">
        <v>-1650</v>
      </c>
      <c r="E21" s="42">
        <f t="shared" si="2"/>
        <v>116654</v>
      </c>
    </row>
    <row r="22" spans="1:6" x14ac:dyDescent="0.25">
      <c r="A22" s="11" t="s">
        <v>157</v>
      </c>
      <c r="B22" s="15" t="s">
        <v>158</v>
      </c>
      <c r="C22" s="88"/>
      <c r="D22" s="88"/>
      <c r="E22" s="77"/>
      <c r="F22" s="48" t="s">
        <v>159</v>
      </c>
    </row>
    <row r="23" spans="1:6" x14ac:dyDescent="0.25">
      <c r="A23" s="11" t="s">
        <v>160</v>
      </c>
      <c r="B23" s="13" t="s">
        <v>161</v>
      </c>
      <c r="C23" s="75">
        <f>SUM(C21:C22)</f>
        <v>118304</v>
      </c>
      <c r="D23" s="60">
        <f t="shared" ref="D23:E23" si="3">SUM(D21:D22)</f>
        <v>-1650</v>
      </c>
      <c r="E23" s="76">
        <f t="shared" si="3"/>
        <v>116654</v>
      </c>
    </row>
    <row r="24" spans="1:6" x14ac:dyDescent="0.25">
      <c r="A24" s="11">
        <v>14</v>
      </c>
      <c r="B24" s="79" t="s">
        <v>162</v>
      </c>
      <c r="C24" s="87">
        <f>C16+C17+C18+C19+C20+C23</f>
        <v>543723</v>
      </c>
      <c r="D24" s="87">
        <f t="shared" ref="D24:E24" si="4">D16+D17+D18+D19+D20+D23</f>
        <v>-5173</v>
      </c>
      <c r="E24" s="89">
        <f t="shared" si="4"/>
        <v>538550</v>
      </c>
      <c r="F24" s="1"/>
    </row>
    <row r="25" spans="1:6" x14ac:dyDescent="0.25">
      <c r="A25" s="11">
        <v>15</v>
      </c>
      <c r="B25" s="15" t="s">
        <v>163</v>
      </c>
      <c r="C25" s="60">
        <f>C15-C24</f>
        <v>-18864</v>
      </c>
      <c r="D25" s="60">
        <f t="shared" ref="D25:E25" si="5">D15-D24</f>
        <v>5172.8</v>
      </c>
      <c r="E25" s="60">
        <f t="shared" si="5"/>
        <v>-13691.199999999953</v>
      </c>
    </row>
    <row r="26" spans="1:6" x14ac:dyDescent="0.25">
      <c r="A26" s="11">
        <v>16</v>
      </c>
      <c r="B26" s="15" t="s">
        <v>164</v>
      </c>
      <c r="C26" s="53">
        <v>0</v>
      </c>
      <c r="D26" s="57">
        <v>0</v>
      </c>
      <c r="E26" s="60">
        <f>SUM(C26:D26)</f>
        <v>0</v>
      </c>
    </row>
    <row r="27" spans="1:6" x14ac:dyDescent="0.25">
      <c r="A27" s="11">
        <v>17</v>
      </c>
      <c r="B27" s="15" t="s">
        <v>165</v>
      </c>
      <c r="C27" s="53">
        <v>0</v>
      </c>
      <c r="D27" s="53">
        <v>0</v>
      </c>
      <c r="E27" s="60">
        <f t="shared" ref="E27:E29" si="6">SUM(C27:D27)</f>
        <v>0</v>
      </c>
    </row>
    <row r="28" spans="1:6" x14ac:dyDescent="0.25">
      <c r="A28" s="11">
        <v>18</v>
      </c>
      <c r="B28" s="15" t="s">
        <v>166</v>
      </c>
      <c r="C28" s="53">
        <v>0</v>
      </c>
      <c r="D28" s="119">
        <f>0</f>
        <v>0</v>
      </c>
      <c r="E28" s="60">
        <f t="shared" si="6"/>
        <v>0</v>
      </c>
    </row>
    <row r="29" spans="1:6" x14ac:dyDescent="0.25">
      <c r="A29" s="11">
        <v>19</v>
      </c>
      <c r="B29" s="15" t="s">
        <v>167</v>
      </c>
      <c r="C29" s="53">
        <v>2090</v>
      </c>
      <c r="D29" s="53">
        <v>-27</v>
      </c>
      <c r="E29" s="60">
        <f t="shared" si="6"/>
        <v>2063</v>
      </c>
    </row>
    <row r="30" spans="1:6" x14ac:dyDescent="0.25">
      <c r="A30" s="11">
        <v>20</v>
      </c>
      <c r="B30" s="82" t="s">
        <v>168</v>
      </c>
      <c r="C30" s="75">
        <f>SUM(C27:C29)</f>
        <v>2090</v>
      </c>
      <c r="D30" s="75">
        <f t="shared" ref="D30:E30" si="7">SUM(D27:D29)</f>
        <v>-27</v>
      </c>
      <c r="E30" s="90">
        <f t="shared" si="7"/>
        <v>2063</v>
      </c>
    </row>
    <row r="31" spans="1:6" x14ac:dyDescent="0.25">
      <c r="A31" s="11">
        <v>21</v>
      </c>
      <c r="B31" s="82" t="s">
        <v>169</v>
      </c>
      <c r="C31" s="75">
        <f>C25+C26-C30</f>
        <v>-20954</v>
      </c>
      <c r="D31" s="75">
        <f>D25+D26-D30</f>
        <v>5199.8</v>
      </c>
      <c r="E31" s="90">
        <f>E25+E26-E30</f>
        <v>-15754.199999999953</v>
      </c>
    </row>
    <row r="32" spans="1:6" x14ac:dyDescent="0.25">
      <c r="A32" s="11">
        <v>22</v>
      </c>
      <c r="B32" s="15" t="s">
        <v>170</v>
      </c>
      <c r="C32" s="53">
        <v>67821</v>
      </c>
      <c r="D32" s="57">
        <v>0</v>
      </c>
      <c r="E32" s="60">
        <f>SUM(C32:D32)</f>
        <v>67821</v>
      </c>
    </row>
    <row r="33" spans="1:10" x14ac:dyDescent="0.25">
      <c r="A33" s="11">
        <v>23</v>
      </c>
      <c r="B33" s="15" t="s">
        <v>171</v>
      </c>
      <c r="C33" s="53">
        <v>0</v>
      </c>
      <c r="D33" s="57">
        <v>0</v>
      </c>
      <c r="E33" s="60">
        <f t="shared" ref="E33:E35" si="8">SUM(C33:D33)</f>
        <v>0</v>
      </c>
    </row>
    <row r="34" spans="1:10" x14ac:dyDescent="0.25">
      <c r="A34" s="11">
        <v>24</v>
      </c>
      <c r="B34" s="15" t="s">
        <v>172</v>
      </c>
      <c r="C34" s="53">
        <v>7844</v>
      </c>
      <c r="D34" s="57">
        <v>0</v>
      </c>
      <c r="E34" s="60">
        <f t="shared" si="8"/>
        <v>7844</v>
      </c>
    </row>
    <row r="35" spans="1:10" x14ac:dyDescent="0.25">
      <c r="A35" s="11">
        <v>25</v>
      </c>
      <c r="B35" s="15" t="s">
        <v>173</v>
      </c>
      <c r="C35" s="53">
        <v>0</v>
      </c>
      <c r="D35" s="57">
        <v>0</v>
      </c>
      <c r="E35" s="61">
        <f t="shared" si="8"/>
        <v>0</v>
      </c>
    </row>
    <row r="36" spans="1:10" x14ac:dyDescent="0.25">
      <c r="A36" s="11">
        <v>26</v>
      </c>
      <c r="B36" s="82" t="s">
        <v>174</v>
      </c>
      <c r="C36" s="75">
        <f>SUM(C32:C35)</f>
        <v>75665</v>
      </c>
      <c r="D36" s="91">
        <f t="shared" ref="D36" si="9">SUM(D32:D35)</f>
        <v>0</v>
      </c>
      <c r="E36" s="75">
        <f>SUM(E32:E35)</f>
        <v>75665</v>
      </c>
    </row>
    <row r="37" spans="1:10" x14ac:dyDescent="0.25">
      <c r="A37" s="11">
        <v>27</v>
      </c>
      <c r="B37" s="15" t="s">
        <v>175</v>
      </c>
      <c r="C37" s="53">
        <v>-1944</v>
      </c>
      <c r="D37" s="57">
        <v>0</v>
      </c>
      <c r="E37" s="33">
        <f>SUM(C37:D37)</f>
        <v>-1944</v>
      </c>
    </row>
    <row r="38" spans="1:10" x14ac:dyDescent="0.25">
      <c r="A38" s="11">
        <v>28</v>
      </c>
      <c r="B38" s="15" t="s">
        <v>176</v>
      </c>
      <c r="C38" s="53">
        <v>0</v>
      </c>
      <c r="D38" s="57">
        <v>0</v>
      </c>
      <c r="E38" s="33">
        <f t="shared" ref="E38:E40" si="10">SUM(C38:D38)</f>
        <v>0</v>
      </c>
    </row>
    <row r="39" spans="1:10" x14ac:dyDescent="0.25">
      <c r="A39" s="11">
        <v>29</v>
      </c>
      <c r="B39" s="15" t="s">
        <v>177</v>
      </c>
      <c r="C39" s="53">
        <v>0</v>
      </c>
      <c r="D39" s="57">
        <v>0</v>
      </c>
      <c r="E39" s="33">
        <f t="shared" si="10"/>
        <v>0</v>
      </c>
    </row>
    <row r="40" spans="1:10" x14ac:dyDescent="0.25">
      <c r="A40" s="11">
        <v>30</v>
      </c>
      <c r="B40" s="15" t="s">
        <v>178</v>
      </c>
      <c r="C40" s="53">
        <v>6939</v>
      </c>
      <c r="D40" s="72">
        <f>-1*(D31-D36)</f>
        <v>-5199.8</v>
      </c>
      <c r="E40" s="33">
        <f t="shared" si="10"/>
        <v>1739.1999999999998</v>
      </c>
    </row>
    <row r="41" spans="1:10" x14ac:dyDescent="0.25">
      <c r="A41" s="11">
        <v>31</v>
      </c>
      <c r="B41" s="82" t="s">
        <v>179</v>
      </c>
      <c r="C41" s="75">
        <f>C31-C36+C37+C38+C39+C40</f>
        <v>-91624</v>
      </c>
      <c r="D41" s="75">
        <f t="shared" ref="D41:E41" si="11">D31-D36+D37+D38+D39+D40</f>
        <v>0</v>
      </c>
      <c r="E41" s="75">
        <f t="shared" si="11"/>
        <v>-91623.999999999956</v>
      </c>
    </row>
    <row r="42" spans="1:10" x14ac:dyDescent="0.25">
      <c r="A42" s="11">
        <v>32</v>
      </c>
      <c r="B42" s="15" t="s">
        <v>180</v>
      </c>
      <c r="C42" s="92"/>
      <c r="D42" s="92"/>
      <c r="E42" s="92"/>
    </row>
    <row r="43" spans="1:10" x14ac:dyDescent="0.25">
      <c r="A43" s="11">
        <v>33</v>
      </c>
      <c r="B43" s="15" t="s">
        <v>181</v>
      </c>
      <c r="C43" s="53">
        <v>-1738579</v>
      </c>
      <c r="D43" s="57">
        <v>0</v>
      </c>
      <c r="E43" s="60">
        <f t="shared" ref="E43:E48" si="12">SUM(C43:D43)</f>
        <v>-1738579</v>
      </c>
    </row>
    <row r="44" spans="1:10" x14ac:dyDescent="0.25">
      <c r="A44" s="11">
        <v>34</v>
      </c>
      <c r="B44" s="15" t="s">
        <v>182</v>
      </c>
      <c r="C44" s="53">
        <v>0</v>
      </c>
      <c r="D44" s="57">
        <v>0</v>
      </c>
      <c r="E44" s="60">
        <f t="shared" si="12"/>
        <v>0</v>
      </c>
    </row>
    <row r="45" spans="1:10" x14ac:dyDescent="0.25">
      <c r="A45" s="11">
        <v>35</v>
      </c>
      <c r="B45" s="15" t="s">
        <v>183</v>
      </c>
      <c r="C45" s="53">
        <v>0</v>
      </c>
      <c r="D45" s="57">
        <v>0</v>
      </c>
      <c r="E45" s="60">
        <f t="shared" si="12"/>
        <v>0</v>
      </c>
    </row>
    <row r="46" spans="1:10" x14ac:dyDescent="0.25">
      <c r="A46" s="11">
        <v>36</v>
      </c>
      <c r="B46" s="15" t="s">
        <v>184</v>
      </c>
      <c r="C46" s="53">
        <v>0</v>
      </c>
      <c r="D46" s="57">
        <v>0</v>
      </c>
      <c r="E46" s="60">
        <f t="shared" si="12"/>
        <v>0</v>
      </c>
    </row>
    <row r="47" spans="1:10" x14ac:dyDescent="0.25">
      <c r="A47" s="11">
        <v>37</v>
      </c>
      <c r="B47" s="15" t="s">
        <v>185</v>
      </c>
      <c r="C47" s="53">
        <v>0</v>
      </c>
      <c r="D47" s="57">
        <v>0</v>
      </c>
      <c r="E47" s="60">
        <f t="shared" si="12"/>
        <v>0</v>
      </c>
    </row>
    <row r="48" spans="1:10" x14ac:dyDescent="0.25">
      <c r="A48" s="11">
        <v>38</v>
      </c>
      <c r="B48" s="15" t="s">
        <v>186</v>
      </c>
      <c r="C48" s="53">
        <v>0</v>
      </c>
      <c r="D48" s="57">
        <v>0</v>
      </c>
      <c r="E48" s="60">
        <f t="shared" si="12"/>
        <v>0</v>
      </c>
      <c r="J48" s="68"/>
    </row>
    <row r="49" spans="1:7" x14ac:dyDescent="0.25">
      <c r="A49" s="11">
        <v>39</v>
      </c>
      <c r="B49" s="82" t="s">
        <v>187</v>
      </c>
      <c r="C49" s="75">
        <f>(C41+C43+C44)-(C45+C46+C47+C48)</f>
        <v>-1830203</v>
      </c>
      <c r="D49" s="91">
        <f t="shared" ref="D49:E49" si="13">(D41+D43+D44)-(D45+D46+D47+D48)</f>
        <v>0</v>
      </c>
      <c r="E49" s="90">
        <f t="shared" si="13"/>
        <v>-1830203</v>
      </c>
    </row>
    <row r="50" spans="1:7" x14ac:dyDescent="0.25">
      <c r="A50" s="11">
        <v>40</v>
      </c>
      <c r="B50" s="15" t="s">
        <v>188</v>
      </c>
      <c r="C50" s="53">
        <v>0</v>
      </c>
      <c r="D50" s="57">
        <v>0</v>
      </c>
      <c r="E50" s="60">
        <f>SUM(C50:D50)</f>
        <v>0</v>
      </c>
    </row>
    <row r="51" spans="1:7" x14ac:dyDescent="0.25">
      <c r="A51" s="11">
        <v>41</v>
      </c>
      <c r="B51" s="15" t="s">
        <v>186</v>
      </c>
      <c r="C51" s="53">
        <v>0</v>
      </c>
      <c r="D51" s="57">
        <v>0</v>
      </c>
      <c r="E51" s="60">
        <f t="shared" ref="E51:E52" si="14">SUM(C51:D51)</f>
        <v>0</v>
      </c>
    </row>
    <row r="52" spans="1:7" x14ac:dyDescent="0.25">
      <c r="A52" s="11">
        <v>42</v>
      </c>
      <c r="B52" s="15" t="s">
        <v>189</v>
      </c>
      <c r="C52" s="53">
        <v>0</v>
      </c>
      <c r="D52" s="57">
        <v>0</v>
      </c>
      <c r="E52" s="60">
        <f t="shared" si="14"/>
        <v>0</v>
      </c>
    </row>
    <row r="53" spans="1:7" x14ac:dyDescent="0.25">
      <c r="A53" s="11">
        <v>43</v>
      </c>
      <c r="B53" s="82" t="s">
        <v>190</v>
      </c>
      <c r="C53" s="75">
        <f>C50+C51-C52</f>
        <v>0</v>
      </c>
      <c r="D53" s="91">
        <f t="shared" ref="D53:E53" si="15">D50+D51-D52</f>
        <v>0</v>
      </c>
      <c r="E53" s="90">
        <f t="shared" si="15"/>
        <v>0</v>
      </c>
    </row>
    <row r="54" spans="1:7" x14ac:dyDescent="0.25">
      <c r="A54" s="11">
        <v>44</v>
      </c>
      <c r="B54" s="15" t="s">
        <v>191</v>
      </c>
      <c r="C54" s="56">
        <v>143462</v>
      </c>
      <c r="D54" s="93"/>
      <c r="E54" s="33">
        <f>C54</f>
        <v>143462</v>
      </c>
    </row>
    <row r="55" spans="1:7" x14ac:dyDescent="0.25">
      <c r="A55" s="11">
        <v>45</v>
      </c>
      <c r="B55" s="15" t="s">
        <v>192</v>
      </c>
      <c r="C55" s="94">
        <f>((C24+C30-C18-C19)/C15)</f>
        <v>0.70579717600345993</v>
      </c>
      <c r="D55" s="94">
        <f>((D24+D30-D18-D19)/D15)</f>
        <v>22045.00000000987</v>
      </c>
      <c r="E55" s="94">
        <f>((E24+E30-E18-E19)/E15)</f>
        <v>0.69739709041746079</v>
      </c>
    </row>
    <row r="56" spans="1:7" x14ac:dyDescent="0.25">
      <c r="A56" s="11">
        <v>46</v>
      </c>
      <c r="B56" s="15" t="s">
        <v>193</v>
      </c>
      <c r="C56" s="94">
        <f>((C24+C30+C36)/C15)</f>
        <v>1.1840856306169847</v>
      </c>
      <c r="D56" s="94">
        <f>((D24+D30+D36)/D15)</f>
        <v>26000.000000011638</v>
      </c>
      <c r="E56" s="94">
        <f>((E24+E30+E36)/E15)</f>
        <v>1.1741786552878601</v>
      </c>
    </row>
    <row r="57" spans="1:7" x14ac:dyDescent="0.25">
      <c r="A57" s="11">
        <v>47</v>
      </c>
      <c r="B57" s="15" t="s">
        <v>194</v>
      </c>
      <c r="C57" s="94">
        <f>((C41+C36)/C36)</f>
        <v>-0.21091654001189453</v>
      </c>
      <c r="D57" s="94" t="e">
        <f t="shared" ref="D57:E57" si="16">((D41+D36)/D36)</f>
        <v>#DIV/0!</v>
      </c>
      <c r="E57" s="94">
        <f t="shared" si="16"/>
        <v>-0.21091654001189397</v>
      </c>
    </row>
    <row r="58" spans="1:7" x14ac:dyDescent="0.25">
      <c r="A58" s="11">
        <v>48</v>
      </c>
      <c r="B58" s="15" t="s">
        <v>195</v>
      </c>
      <c r="C58" s="94">
        <f>(C41+C36+C18+C19)/C54</f>
        <v>1.111165326009675</v>
      </c>
      <c r="D58" s="94" t="e">
        <f t="shared" ref="D58:E58" si="17">(D41+D36+D18+D19)/D54</f>
        <v>#DIV/0!</v>
      </c>
      <c r="E58" s="94">
        <f t="shared" si="17"/>
        <v>1.1056516708257242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88</v>
      </c>
      <c r="C60" s="69"/>
      <c r="D60" s="68"/>
      <c r="E60" s="68"/>
      <c r="F60" s="68"/>
      <c r="G60" s="68"/>
    </row>
    <row r="61" spans="1:7" x14ac:dyDescent="0.25">
      <c r="A61" s="48" t="s">
        <v>142</v>
      </c>
      <c r="B61" t="s">
        <v>196</v>
      </c>
      <c r="C61" s="68"/>
      <c r="D61" s="68"/>
      <c r="E61" s="68"/>
      <c r="F61" s="68"/>
      <c r="G61" s="68"/>
    </row>
    <row r="62" spans="1:7" x14ac:dyDescent="0.25">
      <c r="A62" s="48" t="s">
        <v>197</v>
      </c>
      <c r="B62" t="s">
        <v>198</v>
      </c>
      <c r="C62" s="68"/>
      <c r="D62" s="68"/>
      <c r="E62" s="68"/>
      <c r="F62" s="68"/>
      <c r="G62" s="68"/>
    </row>
    <row r="63" spans="1:7" x14ac:dyDescent="0.25">
      <c r="A63" s="48"/>
      <c r="B63" t="s">
        <v>199</v>
      </c>
      <c r="C63" s="68"/>
      <c r="D63" s="68"/>
      <c r="E63" s="68"/>
      <c r="F63" s="68"/>
      <c r="G63" s="68"/>
    </row>
    <row r="64" spans="1:7" x14ac:dyDescent="0.25">
      <c r="A64" s="48" t="s">
        <v>200</v>
      </c>
      <c r="B64" s="71" t="s">
        <v>201</v>
      </c>
      <c r="C64" s="68"/>
      <c r="D64" s="68"/>
      <c r="E64" s="68"/>
      <c r="F64" s="68"/>
      <c r="G64" s="68"/>
    </row>
    <row r="65" spans="1:7" x14ac:dyDescent="0.25">
      <c r="A65" s="48" t="s">
        <v>143</v>
      </c>
      <c r="B65" t="s">
        <v>202</v>
      </c>
      <c r="C65" s="68"/>
      <c r="D65" s="68"/>
      <c r="E65" s="68"/>
      <c r="F65" s="68"/>
      <c r="G65" s="68"/>
    </row>
    <row r="66" spans="1:7" x14ac:dyDescent="0.25">
      <c r="A66" s="48" t="s">
        <v>203</v>
      </c>
      <c r="B66" t="s">
        <v>204</v>
      </c>
      <c r="C66" s="68"/>
      <c r="D66" s="68"/>
      <c r="E66" s="68"/>
      <c r="F66" s="68"/>
      <c r="G66" s="68"/>
    </row>
    <row r="67" spans="1:7" x14ac:dyDescent="0.25">
      <c r="A67" s="84" t="s">
        <v>159</v>
      </c>
      <c r="B67" s="68" t="s">
        <v>205</v>
      </c>
      <c r="C67" s="68"/>
      <c r="D67" s="68"/>
      <c r="E67" s="68"/>
      <c r="F67" s="68"/>
      <c r="G67" s="68"/>
    </row>
    <row r="68" spans="1:7" x14ac:dyDescent="0.25">
      <c r="A68" s="68"/>
      <c r="B68" t="s">
        <v>206</v>
      </c>
      <c r="C68" s="68"/>
      <c r="D68" s="68"/>
      <c r="E68" s="68"/>
      <c r="F68" s="68"/>
      <c r="G68" s="68"/>
    </row>
    <row r="69" spans="1:7" x14ac:dyDescent="0.25">
      <c r="A69" s="68"/>
      <c r="B69" s="68" t="s">
        <v>207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  <c r="F74" s="68"/>
      <c r="G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3</v>
      </c>
    </row>
    <row r="3" spans="1:6" x14ac:dyDescent="0.25">
      <c r="B3" s="59" t="s">
        <v>4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100</v>
      </c>
      <c r="D6" s="28" t="s">
        <v>6</v>
      </c>
      <c r="E6" s="27" t="s">
        <v>100</v>
      </c>
    </row>
    <row r="7" spans="1:6" x14ac:dyDescent="0.25">
      <c r="A7" s="18" t="s">
        <v>115</v>
      </c>
      <c r="B7" s="11" t="s">
        <v>116</v>
      </c>
      <c r="C7" s="11">
        <v>2014</v>
      </c>
      <c r="D7" s="11" t="s">
        <v>141</v>
      </c>
      <c r="E7" s="5" t="s">
        <v>98</v>
      </c>
    </row>
    <row r="8" spans="1:6" x14ac:dyDescent="0.25">
      <c r="A8" s="12"/>
      <c r="B8" s="12"/>
      <c r="C8" s="12" t="s">
        <v>142</v>
      </c>
      <c r="D8" s="12" t="s">
        <v>143</v>
      </c>
      <c r="E8" s="6" t="s">
        <v>97</v>
      </c>
    </row>
    <row r="9" spans="1:6" x14ac:dyDescent="0.25">
      <c r="A9" s="10">
        <v>1</v>
      </c>
      <c r="B9" s="7" t="s">
        <v>144</v>
      </c>
      <c r="C9" s="56">
        <v>20997</v>
      </c>
      <c r="D9" s="53">
        <v>0</v>
      </c>
      <c r="E9" s="33">
        <f>SUM(C9:D9)</f>
        <v>20997</v>
      </c>
    </row>
    <row r="10" spans="1:6" x14ac:dyDescent="0.25">
      <c r="A10" s="11">
        <v>2</v>
      </c>
      <c r="B10" s="18" t="s">
        <v>145</v>
      </c>
      <c r="C10" s="53">
        <v>410971</v>
      </c>
      <c r="D10" s="53">
        <v>0</v>
      </c>
      <c r="E10" s="33">
        <f t="shared" ref="E10:E14" si="0">SUM(C10:D10)</f>
        <v>410971</v>
      </c>
    </row>
    <row r="11" spans="1:6" x14ac:dyDescent="0.25">
      <c r="A11" s="11">
        <v>3</v>
      </c>
      <c r="B11" s="18" t="s">
        <v>146</v>
      </c>
      <c r="C11" s="53">
        <v>2994</v>
      </c>
      <c r="D11" s="53">
        <v>0</v>
      </c>
      <c r="E11" s="33">
        <f t="shared" si="0"/>
        <v>2994</v>
      </c>
    </row>
    <row r="12" spans="1:6" x14ac:dyDescent="0.25">
      <c r="A12" s="11">
        <v>4</v>
      </c>
      <c r="B12" s="18" t="s">
        <v>147</v>
      </c>
      <c r="C12" s="53">
        <v>0</v>
      </c>
      <c r="D12" s="53">
        <v>0</v>
      </c>
      <c r="E12" s="33">
        <f t="shared" si="0"/>
        <v>0</v>
      </c>
    </row>
    <row r="13" spans="1:6" x14ac:dyDescent="0.25">
      <c r="A13" s="11">
        <v>5</v>
      </c>
      <c r="B13" s="18" t="s">
        <v>148</v>
      </c>
      <c r="C13" s="53">
        <v>21379</v>
      </c>
      <c r="D13" s="53">
        <v>-10510</v>
      </c>
      <c r="E13" s="33">
        <f t="shared" si="0"/>
        <v>10869</v>
      </c>
    </row>
    <row r="14" spans="1:6" x14ac:dyDescent="0.25">
      <c r="A14" s="11">
        <v>6</v>
      </c>
      <c r="B14" s="18" t="s">
        <v>149</v>
      </c>
      <c r="C14" s="53">
        <v>-274</v>
      </c>
      <c r="D14" s="53">
        <v>0</v>
      </c>
      <c r="E14" s="33">
        <f t="shared" si="0"/>
        <v>-274</v>
      </c>
    </row>
    <row r="15" spans="1:6" x14ac:dyDescent="0.25">
      <c r="A15" s="11">
        <v>7</v>
      </c>
      <c r="B15" s="79" t="s">
        <v>150</v>
      </c>
      <c r="C15" s="41">
        <f>SUM(C9:C14)</f>
        <v>456067</v>
      </c>
      <c r="D15" s="41">
        <f t="shared" ref="D15:E15" si="1">SUM(D9:D14)</f>
        <v>-10510</v>
      </c>
      <c r="E15" s="41">
        <f t="shared" si="1"/>
        <v>445557</v>
      </c>
      <c r="F15" s="1"/>
    </row>
    <row r="16" spans="1:6" x14ac:dyDescent="0.25">
      <c r="A16" s="11">
        <v>8</v>
      </c>
      <c r="B16" s="18" t="s">
        <v>151</v>
      </c>
      <c r="C16" s="53">
        <v>218373</v>
      </c>
      <c r="D16" s="53">
        <f>-3348-232</f>
        <v>-3580</v>
      </c>
      <c r="E16" s="42">
        <f>SUM(C16:D16)</f>
        <v>214793</v>
      </c>
    </row>
    <row r="17" spans="1:6" x14ac:dyDescent="0.25">
      <c r="A17" s="11">
        <v>9</v>
      </c>
      <c r="B17" s="18" t="s">
        <v>152</v>
      </c>
      <c r="C17" s="53">
        <v>13390</v>
      </c>
      <c r="D17" s="53">
        <f>-4659</f>
        <v>-4659</v>
      </c>
      <c r="E17" s="42">
        <f t="shared" ref="E17:E21" si="2">SUM(C17:D17)</f>
        <v>8731</v>
      </c>
    </row>
    <row r="18" spans="1:6" x14ac:dyDescent="0.25">
      <c r="A18" s="11">
        <v>10</v>
      </c>
      <c r="B18" s="18" t="s">
        <v>153</v>
      </c>
      <c r="C18" s="53">
        <v>165878</v>
      </c>
      <c r="D18" s="53">
        <f>-994+109</f>
        <v>-885</v>
      </c>
      <c r="E18" s="42">
        <f t="shared" si="2"/>
        <v>164993</v>
      </c>
    </row>
    <row r="19" spans="1:6" x14ac:dyDescent="0.25">
      <c r="A19" s="11">
        <v>11</v>
      </c>
      <c r="B19" s="18" t="s">
        <v>154</v>
      </c>
      <c r="C19" s="53">
        <v>750</v>
      </c>
      <c r="D19" s="53">
        <f>-C19</f>
        <v>-750</v>
      </c>
      <c r="E19" s="42">
        <f t="shared" si="2"/>
        <v>0</v>
      </c>
    </row>
    <row r="20" spans="1:6" x14ac:dyDescent="0.25">
      <c r="A20" s="11">
        <v>12</v>
      </c>
      <c r="B20" s="18" t="s">
        <v>155</v>
      </c>
      <c r="C20" s="53">
        <v>30794</v>
      </c>
      <c r="D20" s="53">
        <f>-466+237</f>
        <v>-229</v>
      </c>
      <c r="E20" s="42">
        <f t="shared" si="2"/>
        <v>30565</v>
      </c>
    </row>
    <row r="21" spans="1:6" x14ac:dyDescent="0.25">
      <c r="A21" s="11">
        <v>13</v>
      </c>
      <c r="B21" s="18" t="s">
        <v>156</v>
      </c>
      <c r="C21" s="53">
        <v>116362</v>
      </c>
      <c r="D21" s="53">
        <f>113691-C21</f>
        <v>-2671</v>
      </c>
      <c r="E21" s="42">
        <f t="shared" si="2"/>
        <v>113691</v>
      </c>
    </row>
    <row r="22" spans="1:6" x14ac:dyDescent="0.25">
      <c r="A22" s="11" t="s">
        <v>157</v>
      </c>
      <c r="B22" s="18" t="s">
        <v>158</v>
      </c>
      <c r="C22" s="83"/>
      <c r="D22" s="83"/>
      <c r="E22" s="77"/>
      <c r="F22" s="48" t="s">
        <v>159</v>
      </c>
    </row>
    <row r="23" spans="1:6" x14ac:dyDescent="0.25">
      <c r="A23" s="11" t="s">
        <v>160</v>
      </c>
      <c r="B23" s="18" t="s">
        <v>161</v>
      </c>
      <c r="C23" s="33">
        <f>SUM(C21:C22)</f>
        <v>116362</v>
      </c>
      <c r="D23" s="33">
        <f t="shared" ref="D23:E23" si="3">SUM(D21:D22)</f>
        <v>-2671</v>
      </c>
      <c r="E23" s="42">
        <f t="shared" si="3"/>
        <v>113691</v>
      </c>
    </row>
    <row r="24" spans="1:6" x14ac:dyDescent="0.25">
      <c r="A24" s="11">
        <v>14</v>
      </c>
      <c r="B24" s="79" t="s">
        <v>162</v>
      </c>
      <c r="C24" s="41">
        <f>C16+C17+C18+C19+C20+C23</f>
        <v>545547</v>
      </c>
      <c r="D24" s="41">
        <f t="shared" ref="D24:E24" si="4">D16+D17+D18+D19+D20+D23</f>
        <v>-12774</v>
      </c>
      <c r="E24" s="43">
        <f t="shared" si="4"/>
        <v>532773</v>
      </c>
      <c r="F24" s="1"/>
    </row>
    <row r="25" spans="1:6" x14ac:dyDescent="0.25">
      <c r="A25" s="11">
        <v>15</v>
      </c>
      <c r="B25" s="18" t="s">
        <v>163</v>
      </c>
      <c r="C25" s="33">
        <f>C15-C24</f>
        <v>-89480</v>
      </c>
      <c r="D25" s="33">
        <f t="shared" ref="D25:E25" si="5">D15-D24</f>
        <v>2264</v>
      </c>
      <c r="E25" s="33">
        <f t="shared" si="5"/>
        <v>-87216</v>
      </c>
    </row>
    <row r="26" spans="1:6" x14ac:dyDescent="0.25">
      <c r="A26" s="11">
        <v>16</v>
      </c>
      <c r="B26" s="18" t="s">
        <v>164</v>
      </c>
      <c r="C26" s="53">
        <v>0</v>
      </c>
      <c r="D26" s="57">
        <v>0</v>
      </c>
      <c r="E26" s="33">
        <f>SUM(C26:D26)</f>
        <v>0</v>
      </c>
    </row>
    <row r="27" spans="1:6" x14ac:dyDescent="0.25">
      <c r="A27" s="11">
        <v>17</v>
      </c>
      <c r="B27" s="18" t="s">
        <v>165</v>
      </c>
      <c r="C27" s="53">
        <v>0</v>
      </c>
      <c r="D27" s="53">
        <v>0</v>
      </c>
      <c r="E27" s="33">
        <f t="shared" ref="E27:E29" si="6">SUM(C27:D27)</f>
        <v>0</v>
      </c>
    </row>
    <row r="28" spans="1:6" x14ac:dyDescent="0.25">
      <c r="A28" s="11">
        <v>18</v>
      </c>
      <c r="B28" s="18" t="s">
        <v>166</v>
      </c>
      <c r="C28" s="53">
        <v>0</v>
      </c>
      <c r="D28" s="72">
        <f>0</f>
        <v>0</v>
      </c>
      <c r="E28" s="33">
        <f t="shared" si="6"/>
        <v>0</v>
      </c>
    </row>
    <row r="29" spans="1:6" x14ac:dyDescent="0.25">
      <c r="A29" s="11">
        <v>19</v>
      </c>
      <c r="B29" s="18" t="s">
        <v>167</v>
      </c>
      <c r="C29" s="53">
        <v>2938</v>
      </c>
      <c r="D29" s="53">
        <f>-45+1019-362</f>
        <v>612</v>
      </c>
      <c r="E29" s="33">
        <f t="shared" si="6"/>
        <v>3550</v>
      </c>
    </row>
    <row r="30" spans="1:6" x14ac:dyDescent="0.25">
      <c r="A30" s="11">
        <v>20</v>
      </c>
      <c r="B30" s="79" t="s">
        <v>168</v>
      </c>
      <c r="C30" s="38">
        <f>SUM(C27:C29)</f>
        <v>2938</v>
      </c>
      <c r="D30" s="38">
        <f t="shared" ref="D30:E30" si="7">SUM(D27:D29)</f>
        <v>612</v>
      </c>
      <c r="E30" s="44">
        <f t="shared" si="7"/>
        <v>3550</v>
      </c>
    </row>
    <row r="31" spans="1:6" x14ac:dyDescent="0.25">
      <c r="A31" s="11">
        <v>21</v>
      </c>
      <c r="B31" s="79" t="s">
        <v>169</v>
      </c>
      <c r="C31" s="38">
        <f>C25+C26-C30</f>
        <v>-92418</v>
      </c>
      <c r="D31" s="38">
        <f>D25+D26-D30</f>
        <v>1652</v>
      </c>
      <c r="E31" s="44">
        <f>E25+E26-E30</f>
        <v>-90766</v>
      </c>
    </row>
    <row r="32" spans="1:6" x14ac:dyDescent="0.25">
      <c r="A32" s="11">
        <v>22</v>
      </c>
      <c r="B32" s="18" t="s">
        <v>170</v>
      </c>
      <c r="C32" s="53">
        <v>141176</v>
      </c>
      <c r="D32" s="133">
        <f>59889-C32</f>
        <v>-81287</v>
      </c>
      <c r="E32" s="33">
        <f>SUM(C32:D32)</f>
        <v>59889</v>
      </c>
    </row>
    <row r="33" spans="1:5" x14ac:dyDescent="0.25">
      <c r="A33" s="11">
        <v>23</v>
      </c>
      <c r="B33" s="18" t="s">
        <v>171</v>
      </c>
      <c r="C33" s="53">
        <v>0</v>
      </c>
      <c r="D33" s="57">
        <v>0</v>
      </c>
      <c r="E33" s="33">
        <f t="shared" ref="E33:E35" si="8">SUM(C33:D33)</f>
        <v>0</v>
      </c>
    </row>
    <row r="34" spans="1:5" x14ac:dyDescent="0.25">
      <c r="A34" s="11">
        <v>24</v>
      </c>
      <c r="B34" s="18" t="s">
        <v>172</v>
      </c>
      <c r="C34" s="53">
        <v>3484</v>
      </c>
      <c r="D34" s="133">
        <f>-C34</f>
        <v>-3484</v>
      </c>
      <c r="E34" s="33">
        <f t="shared" si="8"/>
        <v>0</v>
      </c>
    </row>
    <row r="35" spans="1:5" x14ac:dyDescent="0.25">
      <c r="A35" s="11">
        <v>25</v>
      </c>
      <c r="B35" s="18" t="s">
        <v>173</v>
      </c>
      <c r="C35" s="53">
        <v>0</v>
      </c>
      <c r="D35" s="57">
        <v>0</v>
      </c>
      <c r="E35" s="34">
        <f t="shared" si="8"/>
        <v>0</v>
      </c>
    </row>
    <row r="36" spans="1:5" x14ac:dyDescent="0.25">
      <c r="A36" s="11">
        <v>26</v>
      </c>
      <c r="B36" s="79" t="s">
        <v>174</v>
      </c>
      <c r="C36" s="38">
        <f>SUM(C32:C35)</f>
        <v>144660</v>
      </c>
      <c r="D36" s="66">
        <f t="shared" ref="D36" si="9">SUM(D32:D35)</f>
        <v>-84771</v>
      </c>
      <c r="E36" s="38">
        <f>SUM(E32:E35)</f>
        <v>59889</v>
      </c>
    </row>
    <row r="37" spans="1:5" x14ac:dyDescent="0.25">
      <c r="A37" s="11">
        <v>27</v>
      </c>
      <c r="B37" s="18" t="s">
        <v>175</v>
      </c>
      <c r="C37" s="53">
        <v>36748</v>
      </c>
      <c r="D37" s="133">
        <v>0</v>
      </c>
      <c r="E37" s="33">
        <f>SUM(C37:D37)</f>
        <v>36748</v>
      </c>
    </row>
    <row r="38" spans="1:5" x14ac:dyDescent="0.25">
      <c r="A38" s="11">
        <v>28</v>
      </c>
      <c r="B38" s="18" t="s">
        <v>176</v>
      </c>
      <c r="C38" s="53">
        <v>0</v>
      </c>
      <c r="D38" s="57">
        <v>0</v>
      </c>
      <c r="E38" s="33">
        <f t="shared" ref="E38:E40" si="10">SUM(C38:D38)</f>
        <v>0</v>
      </c>
    </row>
    <row r="39" spans="1:5" x14ac:dyDescent="0.25">
      <c r="A39" s="11">
        <v>29</v>
      </c>
      <c r="B39" s="18" t="s">
        <v>177</v>
      </c>
      <c r="C39" s="53">
        <v>0</v>
      </c>
      <c r="D39" s="57">
        <v>0</v>
      </c>
      <c r="E39" s="33">
        <f t="shared" si="10"/>
        <v>0</v>
      </c>
    </row>
    <row r="40" spans="1:5" x14ac:dyDescent="0.25">
      <c r="A40" s="11">
        <v>30</v>
      </c>
      <c r="B40" s="18" t="s">
        <v>178</v>
      </c>
      <c r="C40" s="53">
        <v>7990</v>
      </c>
      <c r="D40" s="72">
        <f>-1*(D31-D36)</f>
        <v>-86423</v>
      </c>
      <c r="E40" s="33">
        <f t="shared" si="10"/>
        <v>-78433</v>
      </c>
    </row>
    <row r="41" spans="1:5" x14ac:dyDescent="0.25">
      <c r="A41" s="11">
        <v>31</v>
      </c>
      <c r="B41" s="79" t="s">
        <v>179</v>
      </c>
      <c r="C41" s="38">
        <f>C31-C36+C37+C38+C39+C40</f>
        <v>-192340</v>
      </c>
      <c r="D41" s="38">
        <f t="shared" ref="D41:E41" si="11">D31-D36+D37+D38+D39+D40</f>
        <v>0</v>
      </c>
      <c r="E41" s="38">
        <f t="shared" si="11"/>
        <v>-192340</v>
      </c>
    </row>
    <row r="42" spans="1:5" x14ac:dyDescent="0.25">
      <c r="A42" s="11">
        <v>32</v>
      </c>
      <c r="B42" s="18" t="s">
        <v>180</v>
      </c>
      <c r="C42" s="70"/>
      <c r="D42" s="70"/>
      <c r="E42" s="45"/>
    </row>
    <row r="43" spans="1:5" x14ac:dyDescent="0.25">
      <c r="A43" s="11">
        <v>33</v>
      </c>
      <c r="B43" s="18" t="s">
        <v>181</v>
      </c>
      <c r="C43" s="53">
        <v>-1830203</v>
      </c>
      <c r="D43" s="57">
        <v>0</v>
      </c>
      <c r="E43" s="33">
        <f t="shared" ref="E43:E48" si="12">SUM(C43:D43)</f>
        <v>-1830203</v>
      </c>
    </row>
    <row r="44" spans="1:5" x14ac:dyDescent="0.25">
      <c r="A44" s="11">
        <v>34</v>
      </c>
      <c r="B44" s="18" t="s">
        <v>182</v>
      </c>
      <c r="C44" s="53">
        <v>91624</v>
      </c>
      <c r="D44" s="57">
        <v>0</v>
      </c>
      <c r="E44" s="33">
        <f t="shared" si="12"/>
        <v>91624</v>
      </c>
    </row>
    <row r="45" spans="1:5" x14ac:dyDescent="0.25">
      <c r="A45" s="11">
        <v>35</v>
      </c>
      <c r="B45" s="18" t="s">
        <v>183</v>
      </c>
      <c r="C45" s="53">
        <v>0</v>
      </c>
      <c r="D45" s="57">
        <v>0</v>
      </c>
      <c r="E45" s="33">
        <f t="shared" si="12"/>
        <v>0</v>
      </c>
    </row>
    <row r="46" spans="1:5" x14ac:dyDescent="0.25">
      <c r="A46" s="11">
        <v>36</v>
      </c>
      <c r="B46" s="18" t="s">
        <v>184</v>
      </c>
      <c r="C46" s="53">
        <v>0</v>
      </c>
      <c r="D46" s="57">
        <v>0</v>
      </c>
      <c r="E46" s="33">
        <f t="shared" si="12"/>
        <v>0</v>
      </c>
    </row>
    <row r="47" spans="1:5" x14ac:dyDescent="0.25">
      <c r="A47" s="11">
        <v>37</v>
      </c>
      <c r="B47" s="18" t="s">
        <v>185</v>
      </c>
      <c r="C47" s="53">
        <v>0</v>
      </c>
      <c r="D47" s="57">
        <v>0</v>
      </c>
      <c r="E47" s="33">
        <f t="shared" si="12"/>
        <v>0</v>
      </c>
    </row>
    <row r="48" spans="1:5" x14ac:dyDescent="0.25">
      <c r="A48" s="11">
        <v>38</v>
      </c>
      <c r="B48" s="18" t="s">
        <v>186</v>
      </c>
      <c r="C48" s="53">
        <v>0</v>
      </c>
      <c r="D48" s="57">
        <v>0</v>
      </c>
      <c r="E48" s="33">
        <f t="shared" si="12"/>
        <v>0</v>
      </c>
    </row>
    <row r="49" spans="1:7" x14ac:dyDescent="0.25">
      <c r="A49" s="11">
        <v>39</v>
      </c>
      <c r="B49" s="79" t="s">
        <v>187</v>
      </c>
      <c r="C49" s="38">
        <f>(C41+C43+C44)-(C45+C46+C47+C48)</f>
        <v>-1930919</v>
      </c>
      <c r="D49" s="66">
        <f t="shared" ref="D49:E49" si="13">(D41+D43+D44)-(D45+D46+D47+D48)</f>
        <v>0</v>
      </c>
      <c r="E49" s="44">
        <f t="shared" si="13"/>
        <v>-1930919</v>
      </c>
    </row>
    <row r="50" spans="1:7" x14ac:dyDescent="0.25">
      <c r="A50" s="11">
        <v>40</v>
      </c>
      <c r="B50" s="18" t="s">
        <v>188</v>
      </c>
      <c r="C50" s="53">
        <v>0</v>
      </c>
      <c r="D50" s="57">
        <v>0</v>
      </c>
      <c r="E50" s="33">
        <f>SUM(C50:D50)</f>
        <v>0</v>
      </c>
    </row>
    <row r="51" spans="1:7" x14ac:dyDescent="0.25">
      <c r="A51" s="11">
        <v>41</v>
      </c>
      <c r="B51" s="18" t="s">
        <v>186</v>
      </c>
      <c r="C51" s="53">
        <v>0</v>
      </c>
      <c r="D51" s="57">
        <v>0</v>
      </c>
      <c r="E51" s="33">
        <f t="shared" ref="E51:E52" si="14">SUM(C51:D51)</f>
        <v>0</v>
      </c>
    </row>
    <row r="52" spans="1:7" x14ac:dyDescent="0.25">
      <c r="A52" s="11">
        <v>42</v>
      </c>
      <c r="B52" s="18" t="s">
        <v>189</v>
      </c>
      <c r="C52" s="53">
        <v>0</v>
      </c>
      <c r="D52" s="57">
        <v>0</v>
      </c>
      <c r="E52" s="33">
        <f t="shared" si="14"/>
        <v>0</v>
      </c>
    </row>
    <row r="53" spans="1:7" x14ac:dyDescent="0.25">
      <c r="A53" s="11">
        <v>43</v>
      </c>
      <c r="B53" s="79" t="s">
        <v>190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191</v>
      </c>
      <c r="C54" s="56">
        <v>30381</v>
      </c>
      <c r="D54" s="86"/>
      <c r="E54" s="33">
        <f>C54</f>
        <v>30381</v>
      </c>
    </row>
    <row r="55" spans="1:7" x14ac:dyDescent="0.25">
      <c r="A55" s="11">
        <v>45</v>
      </c>
      <c r="B55" s="18" t="s">
        <v>192</v>
      </c>
      <c r="C55" s="47">
        <f>((C24+C30-C18-C19)/C15)</f>
        <v>0.83728267995711159</v>
      </c>
      <c r="D55" s="47">
        <f>((D24+D30-D18-D19)/D15)</f>
        <v>1.0016175071360609</v>
      </c>
      <c r="E55" s="47">
        <f>((E24+E30-E18-E19)/E15)</f>
        <v>0.83340627574025317</v>
      </c>
    </row>
    <row r="56" spans="1:7" x14ac:dyDescent="0.25">
      <c r="A56" s="11">
        <v>46</v>
      </c>
      <c r="B56" s="18" t="s">
        <v>193</v>
      </c>
      <c r="C56" s="47">
        <f>((C24+C30+C36)/C15)</f>
        <v>1.5198315159833973</v>
      </c>
      <c r="D56" s="47">
        <f>((D24+D30+D36)/D15)</f>
        <v>9.2229305423406274</v>
      </c>
      <c r="E56" s="47">
        <f>((E24+E30+E36)/E15)</f>
        <v>1.3381273327542829</v>
      </c>
    </row>
    <row r="57" spans="1:7" x14ac:dyDescent="0.25">
      <c r="A57" s="11">
        <v>47</v>
      </c>
      <c r="B57" s="18" t="s">
        <v>194</v>
      </c>
      <c r="C57" s="47">
        <f>((C41+C36)/C36)</f>
        <v>-0.32960044241670122</v>
      </c>
      <c r="D57" s="47">
        <f t="shared" ref="D57:E57" si="16">((D41+D36)/D36)</f>
        <v>1</v>
      </c>
      <c r="E57" s="47">
        <f t="shared" si="16"/>
        <v>-2.2116081417288651</v>
      </c>
    </row>
    <row r="58" spans="1:7" x14ac:dyDescent="0.25">
      <c r="A58" s="11">
        <v>48</v>
      </c>
      <c r="B58" s="18" t="s">
        <v>195</v>
      </c>
      <c r="C58" s="47">
        <f>(C41+C36+C18+C19)/C54</f>
        <v>3.9152101642473913</v>
      </c>
      <c r="D58" s="47" t="e">
        <f t="shared" ref="D58:E58" si="17">(D41+D36+D18+D19)/D54</f>
        <v>#DIV/0!</v>
      </c>
      <c r="E58" s="47">
        <f t="shared" si="17"/>
        <v>1.0711299825548863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88</v>
      </c>
      <c r="C60" s="69"/>
      <c r="D60" s="68"/>
      <c r="E60" s="68"/>
      <c r="F60" s="68"/>
      <c r="G60" s="68"/>
    </row>
    <row r="61" spans="1:7" x14ac:dyDescent="0.25">
      <c r="A61" s="48" t="s">
        <v>142</v>
      </c>
      <c r="B61" t="s">
        <v>196</v>
      </c>
      <c r="C61" s="68"/>
      <c r="D61" s="68"/>
      <c r="E61" s="68"/>
      <c r="F61" s="68"/>
      <c r="G61" s="68"/>
    </row>
    <row r="62" spans="1:7" x14ac:dyDescent="0.25">
      <c r="A62" s="48" t="s">
        <v>197</v>
      </c>
      <c r="B62" t="s">
        <v>208</v>
      </c>
      <c r="C62" s="68"/>
      <c r="D62" s="68"/>
      <c r="E62" s="68"/>
      <c r="F62" s="68"/>
      <c r="G62" s="68"/>
    </row>
    <row r="63" spans="1:7" x14ac:dyDescent="0.25">
      <c r="A63" s="48"/>
      <c r="B63" t="s">
        <v>209</v>
      </c>
      <c r="C63" s="68"/>
      <c r="D63" s="68"/>
      <c r="E63" s="68"/>
      <c r="F63" s="68"/>
      <c r="G63" s="68"/>
    </row>
    <row r="64" spans="1:7" x14ac:dyDescent="0.25">
      <c r="A64" s="48" t="s">
        <v>200</v>
      </c>
      <c r="B64" s="71" t="s">
        <v>210</v>
      </c>
      <c r="C64" s="68"/>
      <c r="D64" s="68"/>
      <c r="E64" s="68"/>
      <c r="F64" s="68"/>
      <c r="G64" s="68"/>
    </row>
    <row r="65" spans="1:7" x14ac:dyDescent="0.25">
      <c r="A65" s="48" t="s">
        <v>143</v>
      </c>
      <c r="B65" t="s">
        <v>202</v>
      </c>
      <c r="C65" s="68"/>
      <c r="D65" s="68"/>
      <c r="E65" s="68"/>
      <c r="F65" s="68"/>
      <c r="G65" s="68"/>
    </row>
    <row r="66" spans="1:7" x14ac:dyDescent="0.25">
      <c r="A66" s="48" t="s">
        <v>203</v>
      </c>
      <c r="B66" t="s">
        <v>204</v>
      </c>
      <c r="C66" s="68"/>
      <c r="D66" s="68"/>
      <c r="E66" s="68"/>
      <c r="F66" s="68"/>
      <c r="G66" s="68"/>
    </row>
    <row r="67" spans="1:7" x14ac:dyDescent="0.25">
      <c r="A67" s="84" t="s">
        <v>159</v>
      </c>
      <c r="B67" s="68" t="s">
        <v>211</v>
      </c>
      <c r="C67" s="68"/>
      <c r="D67" s="68"/>
      <c r="E67" s="68"/>
      <c r="F67" s="68"/>
      <c r="G67" s="68"/>
    </row>
    <row r="68" spans="1:7" x14ac:dyDescent="0.25">
      <c r="A68" s="68"/>
      <c r="B68" t="s">
        <v>212</v>
      </c>
      <c r="C68" s="68"/>
      <c r="D68" s="68"/>
      <c r="E68" s="68"/>
      <c r="F68" s="68"/>
      <c r="G68" s="68"/>
    </row>
    <row r="69" spans="1:7" x14ac:dyDescent="0.25">
      <c r="A69" s="68"/>
      <c r="B69" s="68" t="s">
        <v>207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</sheetData>
  <sheetProtection algorithmName="SHA-512" hashValue="jAqD0ynCq7ZTOTgifemcbbFWwXjZ6/kd71QhbF/0+6Knj4VLise/id/6mC5Yf2ojx/uvB8wcZ3smt4fDrV5YVw==" saltValue="ZVAM2366/M0Yh/B6KrBEu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1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213</v>
      </c>
    </row>
    <row r="3" spans="1:5" x14ac:dyDescent="0.25">
      <c r="B3" s="59" t="s">
        <v>4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98</v>
      </c>
      <c r="D6" s="27" t="s">
        <v>98</v>
      </c>
    </row>
    <row r="7" spans="1:5" x14ac:dyDescent="0.25">
      <c r="A7" s="18" t="s">
        <v>115</v>
      </c>
      <c r="B7" s="11" t="s">
        <v>116</v>
      </c>
      <c r="C7" s="29" t="s">
        <v>99</v>
      </c>
      <c r="D7" s="5" t="s">
        <v>100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144</v>
      </c>
      <c r="C9" s="37">
        <f>PriorYearIncomeStmt!E9</f>
        <v>13661</v>
      </c>
      <c r="D9" s="42">
        <f>'CurrentYearIncomeStmt '!E9</f>
        <v>20997</v>
      </c>
    </row>
    <row r="10" spans="1:5" x14ac:dyDescent="0.25">
      <c r="A10" s="11">
        <v>2</v>
      </c>
      <c r="B10" s="18" t="s">
        <v>145</v>
      </c>
      <c r="C10" s="33">
        <f>PriorYearIncomeStmt!E10</f>
        <v>490422</v>
      </c>
      <c r="D10" s="42">
        <f>'CurrentYearIncomeStmt '!E10</f>
        <v>410971</v>
      </c>
    </row>
    <row r="11" spans="1:5" x14ac:dyDescent="0.25">
      <c r="A11" s="11">
        <v>3</v>
      </c>
      <c r="B11" s="18" t="s">
        <v>146</v>
      </c>
      <c r="C11" s="33">
        <f>PriorYearIncomeStmt!E11</f>
        <v>1909.4</v>
      </c>
      <c r="D11" s="42">
        <f>'CurrentYearIncomeStmt '!E11</f>
        <v>2994</v>
      </c>
    </row>
    <row r="12" spans="1:5" x14ac:dyDescent="0.25">
      <c r="A12" s="11">
        <v>4</v>
      </c>
      <c r="B12" s="18" t="s">
        <v>147</v>
      </c>
      <c r="C12" s="33">
        <f>PriorYearIncomeStmt!E12</f>
        <v>0</v>
      </c>
      <c r="D12" s="42">
        <f>'CurrentYearIncomeStmt '!E12</f>
        <v>0</v>
      </c>
    </row>
    <row r="13" spans="1:5" x14ac:dyDescent="0.25">
      <c r="A13" s="11">
        <v>5</v>
      </c>
      <c r="B13" s="18" t="s">
        <v>148</v>
      </c>
      <c r="C13" s="33">
        <f>PriorYearIncomeStmt!E13</f>
        <v>18900.400000000001</v>
      </c>
      <c r="D13" s="42">
        <f>'CurrentYearIncomeStmt '!E13</f>
        <v>10869</v>
      </c>
    </row>
    <row r="14" spans="1:5" x14ac:dyDescent="0.25">
      <c r="A14" s="11">
        <v>6</v>
      </c>
      <c r="B14" s="18" t="s">
        <v>149</v>
      </c>
      <c r="C14" s="33">
        <f>PriorYearIncomeStmt!E14</f>
        <v>-34</v>
      </c>
      <c r="D14" s="42">
        <f>'CurrentYearIncomeStmt '!E14</f>
        <v>-274</v>
      </c>
    </row>
    <row r="15" spans="1:5" x14ac:dyDescent="0.25">
      <c r="A15" s="11">
        <v>7</v>
      </c>
      <c r="B15" s="79" t="s">
        <v>150</v>
      </c>
      <c r="C15" s="41">
        <f>SUM(C9:C14)</f>
        <v>524858.80000000005</v>
      </c>
      <c r="D15" s="43">
        <f t="shared" ref="D15" si="0">SUM(D9:D14)</f>
        <v>445557</v>
      </c>
      <c r="E15" s="1"/>
    </row>
    <row r="16" spans="1:5" x14ac:dyDescent="0.25">
      <c r="A16" s="11">
        <v>8</v>
      </c>
      <c r="B16" s="18" t="s">
        <v>151</v>
      </c>
      <c r="C16" s="33">
        <f>PriorYearIncomeStmt!E16</f>
        <v>191606</v>
      </c>
      <c r="D16" s="42">
        <f>'CurrentYearIncomeStmt '!E16</f>
        <v>214793</v>
      </c>
    </row>
    <row r="17" spans="1:5" x14ac:dyDescent="0.25">
      <c r="A17" s="11">
        <v>9</v>
      </c>
      <c r="B17" s="18" t="s">
        <v>152</v>
      </c>
      <c r="C17" s="33">
        <f>PriorYearIncomeStmt!E17</f>
        <v>33745</v>
      </c>
      <c r="D17" s="42">
        <f>'CurrentYearIncomeStmt '!E17</f>
        <v>8731</v>
      </c>
    </row>
    <row r="18" spans="1:5" x14ac:dyDescent="0.25">
      <c r="A18" s="11">
        <v>10</v>
      </c>
      <c r="B18" s="18" t="s">
        <v>153</v>
      </c>
      <c r="C18" s="33">
        <f>PriorYearIncomeStmt!E18</f>
        <v>173828</v>
      </c>
      <c r="D18" s="42">
        <f>'CurrentYearIncomeStmt '!E18</f>
        <v>164993</v>
      </c>
    </row>
    <row r="19" spans="1:5" x14ac:dyDescent="0.25">
      <c r="A19" s="11">
        <v>11</v>
      </c>
      <c r="B19" s="18" t="s">
        <v>154</v>
      </c>
      <c r="C19" s="33">
        <f>PriorYearIncomeStmt!E19</f>
        <v>750</v>
      </c>
      <c r="D19" s="42">
        <f>'CurrentYearIncomeStmt '!E19</f>
        <v>0</v>
      </c>
    </row>
    <row r="20" spans="1:5" x14ac:dyDescent="0.25">
      <c r="A20" s="11">
        <v>12</v>
      </c>
      <c r="B20" s="18" t="s">
        <v>155</v>
      </c>
      <c r="C20" s="33">
        <f>PriorYearIncomeStmt!E20</f>
        <v>21967</v>
      </c>
      <c r="D20" s="42">
        <f>'CurrentYearIncomeStmt '!E20</f>
        <v>30565</v>
      </c>
    </row>
    <row r="21" spans="1:5" x14ac:dyDescent="0.25">
      <c r="A21" s="11">
        <v>13</v>
      </c>
      <c r="B21" s="18" t="s">
        <v>156</v>
      </c>
      <c r="C21" s="33">
        <f>PriorYearIncomeStmt!E21</f>
        <v>116654</v>
      </c>
      <c r="D21" s="42">
        <f>'CurrentYearIncomeStmt '!E21</f>
        <v>113691</v>
      </c>
    </row>
    <row r="22" spans="1:5" x14ac:dyDescent="0.25">
      <c r="A22" s="11" t="s">
        <v>157</v>
      </c>
      <c r="B22" s="18" t="s">
        <v>158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160</v>
      </c>
      <c r="B23" s="18" t="s">
        <v>161</v>
      </c>
      <c r="C23" s="33">
        <f>SUM(C21:C22)</f>
        <v>116654</v>
      </c>
      <c r="D23" s="42">
        <f t="shared" ref="D23" si="1">SUM(D21:D22)</f>
        <v>113691</v>
      </c>
    </row>
    <row r="24" spans="1:5" x14ac:dyDescent="0.25">
      <c r="A24" s="11">
        <v>14</v>
      </c>
      <c r="B24" s="79" t="s">
        <v>162</v>
      </c>
      <c r="C24" s="41">
        <f>C16+C17+C18+C19+C20+C23</f>
        <v>538550</v>
      </c>
      <c r="D24" s="43">
        <f t="shared" ref="D24" si="2">D16+D17+D18+D19+D20+D23</f>
        <v>532773</v>
      </c>
      <c r="E24" s="1"/>
    </row>
    <row r="25" spans="1:5" x14ac:dyDescent="0.25">
      <c r="A25" s="11">
        <v>15</v>
      </c>
      <c r="B25" s="18" t="s">
        <v>163</v>
      </c>
      <c r="C25" s="33">
        <f>C15-C24</f>
        <v>-13691.199999999953</v>
      </c>
      <c r="D25" s="42">
        <f t="shared" ref="D25" si="3">D15-D24</f>
        <v>-87216</v>
      </c>
    </row>
    <row r="26" spans="1:5" x14ac:dyDescent="0.25">
      <c r="A26" s="11">
        <v>16</v>
      </c>
      <c r="B26" s="18" t="s">
        <v>164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165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214</v>
      </c>
      <c r="C28" s="33">
        <f>PriorYearIncomeStmt!E28</f>
        <v>0</v>
      </c>
      <c r="D28" s="42">
        <f>'CurrentYearIncomeStmt '!E28</f>
        <v>0</v>
      </c>
    </row>
    <row r="29" spans="1:5" x14ac:dyDescent="0.25">
      <c r="A29" s="11">
        <v>19</v>
      </c>
      <c r="B29" s="18" t="s">
        <v>167</v>
      </c>
      <c r="C29" s="33">
        <f>PriorYearIncomeStmt!E29</f>
        <v>2063</v>
      </c>
      <c r="D29" s="42">
        <f>'CurrentYearIncomeStmt '!E29</f>
        <v>3550</v>
      </c>
    </row>
    <row r="30" spans="1:5" x14ac:dyDescent="0.25">
      <c r="A30" s="11">
        <v>20</v>
      </c>
      <c r="B30" s="79" t="s">
        <v>168</v>
      </c>
      <c r="C30" s="38">
        <f>SUM(C27:C29)</f>
        <v>2063</v>
      </c>
      <c r="D30" s="44">
        <f t="shared" ref="D30" si="4">SUM(D27:D29)</f>
        <v>3550</v>
      </c>
    </row>
    <row r="31" spans="1:5" x14ac:dyDescent="0.25">
      <c r="A31" s="11">
        <v>21</v>
      </c>
      <c r="B31" s="79" t="s">
        <v>169</v>
      </c>
      <c r="C31" s="38">
        <f>C25+C26-C30</f>
        <v>-15754.199999999953</v>
      </c>
      <c r="D31" s="44">
        <f>D25+D26-D30</f>
        <v>-90766</v>
      </c>
    </row>
    <row r="32" spans="1:5" x14ac:dyDescent="0.25">
      <c r="A32" s="11">
        <v>22</v>
      </c>
      <c r="B32" s="18" t="s">
        <v>170</v>
      </c>
      <c r="C32" s="33">
        <f>PriorYearIncomeStmt!E32</f>
        <v>67821</v>
      </c>
      <c r="D32" s="42">
        <f>'CurrentYearIncomeStmt '!E32</f>
        <v>59889</v>
      </c>
    </row>
    <row r="33" spans="1:4" x14ac:dyDescent="0.25">
      <c r="A33" s="11">
        <v>23</v>
      </c>
      <c r="B33" s="18" t="s">
        <v>171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172</v>
      </c>
      <c r="C34" s="33">
        <f>PriorYearIncomeStmt!E34</f>
        <v>7844</v>
      </c>
      <c r="D34" s="42">
        <f>'CurrentYearIncomeStmt '!E34</f>
        <v>0</v>
      </c>
    </row>
    <row r="35" spans="1:4" x14ac:dyDescent="0.25">
      <c r="A35" s="11">
        <v>25</v>
      </c>
      <c r="B35" s="18" t="s">
        <v>215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79" t="s">
        <v>174</v>
      </c>
      <c r="C36" s="38">
        <f>SUM(C32:C35)</f>
        <v>75665</v>
      </c>
      <c r="D36" s="44">
        <f t="shared" ref="D36" si="5">SUM(D32:D35)</f>
        <v>59889</v>
      </c>
    </row>
    <row r="37" spans="1:4" x14ac:dyDescent="0.25">
      <c r="A37" s="11">
        <v>27</v>
      </c>
      <c r="B37" s="18" t="s">
        <v>175</v>
      </c>
      <c r="C37" s="33">
        <f>PriorYearIncomeStmt!E37</f>
        <v>-1944</v>
      </c>
      <c r="D37" s="42">
        <f>'CurrentYearIncomeStmt '!E37</f>
        <v>36748</v>
      </c>
    </row>
    <row r="38" spans="1:4" x14ac:dyDescent="0.25">
      <c r="A38" s="11">
        <v>28</v>
      </c>
      <c r="B38" s="18" t="s">
        <v>176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177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216</v>
      </c>
      <c r="C40" s="33">
        <f>PriorYearIncomeStmt!E40</f>
        <v>1739.1999999999998</v>
      </c>
      <c r="D40" s="42">
        <f>'CurrentYearIncomeStmt '!E40</f>
        <v>-78433</v>
      </c>
    </row>
    <row r="41" spans="1:4" x14ac:dyDescent="0.25">
      <c r="A41" s="11">
        <v>31</v>
      </c>
      <c r="B41" s="79" t="s">
        <v>179</v>
      </c>
      <c r="C41" s="38">
        <f>C31-C36+C37+C38+C39+C40</f>
        <v>-91623.999999999956</v>
      </c>
      <c r="D41" s="44">
        <f t="shared" ref="D41" si="6">D31-D36+D37+D38+D39+D40</f>
        <v>-192340</v>
      </c>
    </row>
    <row r="42" spans="1:4" x14ac:dyDescent="0.25">
      <c r="A42" s="11">
        <v>32</v>
      </c>
      <c r="B42" s="18" t="s">
        <v>180</v>
      </c>
      <c r="C42" s="45"/>
      <c r="D42" s="73"/>
    </row>
    <row r="43" spans="1:4" x14ac:dyDescent="0.25">
      <c r="A43" s="11">
        <v>33</v>
      </c>
      <c r="B43" s="18" t="s">
        <v>181</v>
      </c>
      <c r="C43" s="33">
        <f>PriorYearIncomeStmt!E43</f>
        <v>-1738579</v>
      </c>
      <c r="D43" s="42">
        <f>'CurrentYearIncomeStmt '!E43</f>
        <v>-1830203</v>
      </c>
    </row>
    <row r="44" spans="1:4" x14ac:dyDescent="0.25">
      <c r="A44" s="11">
        <v>34</v>
      </c>
      <c r="B44" s="18" t="s">
        <v>182</v>
      </c>
      <c r="C44" s="33">
        <f>PriorYearIncomeStmt!E44</f>
        <v>0</v>
      </c>
      <c r="D44" s="42">
        <f>'CurrentYearIncomeStmt '!E44</f>
        <v>91624</v>
      </c>
    </row>
    <row r="45" spans="1:4" x14ac:dyDescent="0.25">
      <c r="A45" s="11">
        <v>35</v>
      </c>
      <c r="B45" s="18" t="s">
        <v>183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184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185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186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39</v>
      </c>
      <c r="B49" s="79" t="s">
        <v>217</v>
      </c>
      <c r="C49" s="38">
        <f>(C41+C43+C44)-(C45+C46+C47+C48)</f>
        <v>-1830203</v>
      </c>
      <c r="D49" s="44">
        <f t="shared" ref="D49" si="7">(D41+D43+D44)-(D45+D46+D47+D48)</f>
        <v>-1930919</v>
      </c>
    </row>
    <row r="50" spans="1:4" x14ac:dyDescent="0.25">
      <c r="A50" s="11">
        <v>40</v>
      </c>
      <c r="B50" s="18" t="s">
        <v>188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41</v>
      </c>
      <c r="B51" s="18" t="s">
        <v>186</v>
      </c>
      <c r="C51" s="33">
        <f>PriorYearIncomeStmt!E51</f>
        <v>0</v>
      </c>
      <c r="D51" s="42">
        <f>'CurrentYearIncomeStmt '!E51</f>
        <v>0</v>
      </c>
    </row>
    <row r="52" spans="1:4" x14ac:dyDescent="0.25">
      <c r="A52" s="11">
        <v>42</v>
      </c>
      <c r="B52" s="18" t="s">
        <v>189</v>
      </c>
      <c r="C52" s="33">
        <f>PriorYearIncomeStmt!E52</f>
        <v>0</v>
      </c>
      <c r="D52" s="42">
        <f>'CurrentYearIncomeStmt '!E52</f>
        <v>0</v>
      </c>
    </row>
    <row r="53" spans="1:4" x14ac:dyDescent="0.25">
      <c r="A53" s="11">
        <v>43</v>
      </c>
      <c r="B53" s="79" t="s">
        <v>190</v>
      </c>
      <c r="C53" s="38">
        <f>C50+C51-C52</f>
        <v>0</v>
      </c>
      <c r="D53" s="44">
        <f t="shared" ref="D53" si="8">D50+D51-D52</f>
        <v>0</v>
      </c>
    </row>
    <row r="54" spans="1:4" x14ac:dyDescent="0.25">
      <c r="A54" s="11">
        <v>44</v>
      </c>
      <c r="B54" s="18" t="s">
        <v>191</v>
      </c>
      <c r="C54" s="33">
        <f>PriorYearIncomeStmt!E54</f>
        <v>143462</v>
      </c>
      <c r="D54" s="42">
        <f>'CurrentYearIncomeStmt '!E54</f>
        <v>30381</v>
      </c>
    </row>
    <row r="55" spans="1:4" x14ac:dyDescent="0.25">
      <c r="A55" s="11">
        <v>45</v>
      </c>
      <c r="B55" s="18" t="s">
        <v>192</v>
      </c>
      <c r="C55" s="50">
        <f>((C24+C30-C18-C19)/C15)</f>
        <v>0.69739709041746079</v>
      </c>
      <c r="D55" s="50">
        <f>((D24+D30-D18-D19)/D15)</f>
        <v>0.83340627574025317</v>
      </c>
    </row>
    <row r="56" spans="1:4" x14ac:dyDescent="0.25">
      <c r="A56" s="11">
        <v>46</v>
      </c>
      <c r="B56" s="18" t="s">
        <v>193</v>
      </c>
      <c r="C56" s="50">
        <f>((C24+C30+C36)/C15)</f>
        <v>1.1741786552878601</v>
      </c>
      <c r="D56" s="50">
        <f>((D24+D30+D36)/D15)</f>
        <v>1.3381273327542829</v>
      </c>
    </row>
    <row r="57" spans="1:4" x14ac:dyDescent="0.25">
      <c r="A57" s="11">
        <v>47</v>
      </c>
      <c r="B57" s="18" t="s">
        <v>194</v>
      </c>
      <c r="C57" s="50">
        <f>((C41+C36)/C36)</f>
        <v>-0.21091654001189397</v>
      </c>
      <c r="D57" s="50">
        <f t="shared" ref="D57" si="9">((D41+D36)/D36)</f>
        <v>-2.2116081417288651</v>
      </c>
    </row>
    <row r="58" spans="1:4" x14ac:dyDescent="0.25">
      <c r="A58" s="11">
        <v>48</v>
      </c>
      <c r="B58" s="18" t="s">
        <v>195</v>
      </c>
      <c r="C58" s="46">
        <f>(C41+C36+C18+C19)/C54</f>
        <v>1.1056516708257242</v>
      </c>
      <c r="D58" s="50">
        <f t="shared" ref="D58" si="10">(D41+D36+D18+D19)/D54</f>
        <v>1.0711299825548863</v>
      </c>
    </row>
    <row r="59" spans="1:4" x14ac:dyDescent="0.25">
      <c r="A59" s="20"/>
      <c r="B59" s="20"/>
      <c r="C59" s="20"/>
      <c r="D59" s="16"/>
    </row>
    <row r="61" spans="1:4" x14ac:dyDescent="0.25">
      <c r="B61" t="s">
        <v>218</v>
      </c>
      <c r="C61" s="49" t="s">
        <v>219</v>
      </c>
      <c r="D61" s="49" t="s">
        <v>220</v>
      </c>
    </row>
    <row r="62" spans="1:4" x14ac:dyDescent="0.25">
      <c r="A62" s="48" t="s">
        <v>197</v>
      </c>
      <c r="B62" t="s">
        <v>221</v>
      </c>
      <c r="C62" s="58">
        <v>0.12709999999999999</v>
      </c>
      <c r="D62" s="58">
        <v>0.1303</v>
      </c>
    </row>
    <row r="63" spans="1:4" x14ac:dyDescent="0.25">
      <c r="A63" s="48"/>
      <c r="C63" s="58"/>
      <c r="D63" s="58"/>
    </row>
    <row r="64" spans="1:4" x14ac:dyDescent="0.25">
      <c r="A64" s="68"/>
      <c r="B64" s="68" t="s">
        <v>222</v>
      </c>
      <c r="C64" s="68"/>
      <c r="D64" s="68"/>
    </row>
    <row r="65" spans="1:4" x14ac:dyDescent="0.25">
      <c r="A65" s="68"/>
      <c r="B65" s="68" t="s">
        <v>223</v>
      </c>
      <c r="C65" s="68"/>
      <c r="D65" s="68"/>
    </row>
    <row r="66" spans="1:4" x14ac:dyDescent="0.25">
      <c r="A66" s="68"/>
      <c r="B66" s="68" t="s">
        <v>224</v>
      </c>
      <c r="C66" s="68"/>
      <c r="D66" s="68"/>
    </row>
    <row r="67" spans="1:4" x14ac:dyDescent="0.25">
      <c r="A67" s="68"/>
      <c r="B67" s="68"/>
      <c r="C67" s="68"/>
      <c r="D67" s="68"/>
    </row>
    <row r="68" spans="1:4" x14ac:dyDescent="0.25">
      <c r="A68" s="68"/>
      <c r="B68" s="68"/>
      <c r="C68" s="68"/>
      <c r="D68" s="68"/>
    </row>
    <row r="69" spans="1:4" x14ac:dyDescent="0.25">
      <c r="A69" s="68"/>
      <c r="B69" s="68"/>
      <c r="C69" s="68"/>
      <c r="D69" s="68"/>
    </row>
    <row r="70" spans="1:4" x14ac:dyDescent="0.25">
      <c r="A70" s="68"/>
      <c r="B70" s="68"/>
      <c r="C70" s="68"/>
      <c r="D70" s="68"/>
    </row>
    <row r="71" spans="1:4" x14ac:dyDescent="0.25">
      <c r="A71" s="68"/>
      <c r="B71" s="68"/>
      <c r="C71" s="68"/>
      <c r="D71" s="68"/>
    </row>
  </sheetData>
  <sheetProtection algorithmName="SHA-512" hashValue="AjQ5m3HPBiRK0gXL8ILlM5km3GwnMhxitkulIbqkRjRDrXG4moCVPey/676tSh7de/yiKYfWdwLIMskcj9fGoQ==" saltValue="GMsQ3mi3JTUt4cHOe0Aqe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Westgate Communications LLC</CaseCompanyNames>
    <DocketNumber xmlns="dc463f71-b30c-4ab2-9473-d307f9d35888">151613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F2AD8173567542A93F1AA1D288569D" ma:contentTypeVersion="119" ma:contentTypeDescription="" ma:contentTypeScope="" ma:versionID="27e631f2cc41247d3aa8ebb7ae3d20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832998-5DBD-4CB9-BD96-78B6339BAA79}"/>
</file>

<file path=customXml/itemProps2.xml><?xml version="1.0" encoding="utf-8"?>
<ds:datastoreItem xmlns:ds="http://schemas.openxmlformats.org/officeDocument/2006/customXml" ds:itemID="{90B8888F-3264-42C2-85C1-3828478D2865}"/>
</file>

<file path=customXml/itemProps3.xml><?xml version="1.0" encoding="utf-8"?>
<ds:datastoreItem xmlns:ds="http://schemas.openxmlformats.org/officeDocument/2006/customXml" ds:itemID="{AD2AF408-1066-45EB-8781-DBBAFE37EC1C}"/>
</file>

<file path=customXml/itemProps4.xml><?xml version="1.0" encoding="utf-8"?>
<ds:datastoreItem xmlns:ds="http://schemas.openxmlformats.org/officeDocument/2006/customXml" ds:itemID="{290869AB-40F2-4123-B4AF-6C710A8BE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revision/>
  <dcterms:created xsi:type="dcterms:W3CDTF">2014-05-21T17:51:51Z</dcterms:created>
  <dcterms:modified xsi:type="dcterms:W3CDTF">2015-08-05T15:34:34Z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30</vt:i4>
  </property>
  <property fmtid="{D5CDD505-2E9C-101B-9397-08002B2CF9AE}" pid="3" name="Refresh">
    <vt:bool>true</vt:bool>
  </property>
  <property fmtid="{D5CDD505-2E9C-101B-9397-08002B2CF9AE}" pid="4" name="Refresh97">
    <vt:bool>false</vt:bool>
  </property>
  <property fmtid="{D5CDD505-2E9C-101B-9397-08002B2CF9AE}" pid="5" name="ContentTypeId">
    <vt:lpwstr>0x0101006E56B4D1795A2E4DB2F0B01679ED314A004BF2AD8173567542A93F1AA1D288569D</vt:lpwstr>
  </property>
  <property fmtid="{D5CDD505-2E9C-101B-9397-08002B2CF9AE}" pid="6" name="_docset_NoMedatataSyncRequired">
    <vt:lpwstr>False</vt:lpwstr>
  </property>
</Properties>
</file>