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 yWindow="2712" windowWidth="16332" windowHeight="8532" tabRatio="896" firstSheet="1" activeTab="1"/>
  </bookViews>
  <sheets>
    <sheet name="Comparison" sheetId="1" state="hidden" r:id="rId1"/>
    <sheet name="Pg 1 CofCap" sheetId="2" r:id="rId2"/>
    <sheet name="Pg 2 CapStructure" sheetId="3" r:id="rId3"/>
    <sheet name="Pg 3 STD Cost Rate" sheetId="4" r:id="rId4"/>
    <sheet name="Pg 4 STD OS &amp; Comm Fees" sheetId="5" r:id="rId5"/>
    <sheet name="Pg 5 STD Amort" sheetId="6" r:id="rId6"/>
    <sheet name="Pg 6 LTD Cost " sheetId="7" r:id="rId7"/>
    <sheet name="Pg 7 Reacquired Debt" sheetId="8" r:id="rId8"/>
    <sheet name="BS-Unamortized" sheetId="9" state="hidden" r:id="rId9"/>
    <sheet name="FERC Rpt" sheetId="10" state="hidden" r:id="rId10"/>
    <sheet name="Appendix --&gt;" sheetId="11" state="hidden" r:id="rId11"/>
    <sheet name="Sheet1" sheetId="12" state="hidden" r:id="rId12"/>
    <sheet name="A1  CofCap-PreMerger Costs" sheetId="13" state="hidden" r:id="rId13"/>
    <sheet name="A2  STD Cost Rate-Prior Fac" sheetId="14" state="hidden" r:id="rId14"/>
    <sheet name="A3  STD Int &amp; Fees-Prior Fac" sheetId="15" state="hidden" r:id="rId15"/>
    <sheet name="A4  STD Amort-Prior Fac" sheetId="16" state="hidden" r:id="rId16"/>
  </sheets>
  <externalReferences>
    <externalReference r:id="rId19"/>
    <externalReference r:id="rId20"/>
    <externalReference r:id="rId21"/>
    <externalReference r:id="rId22"/>
  </externalReferences>
  <definedNames>
    <definedName name="\A" localSheetId="9">'FERC Rpt'!#REF!</definedName>
    <definedName name="_C_._DOWN_TERM_">'[2]CST STD!'!#REF!</definedName>
    <definedName name="_CALC_" localSheetId="9">'FERC Rpt'!#REF!</definedName>
    <definedName name="_DOWN___COUPON_">'[2]CST STD!'!#REF!</definedName>
    <definedName name="_END__DOWN__DOW">'[2]CST STD!'!#REF!</definedName>
    <definedName name="_Fill" localSheetId="9" hidden="1">'FERC Rpt'!$B$1:$M$1</definedName>
    <definedName name="_GOTO_TABLE__PR">'[2]CST STD!'!#REF!</definedName>
    <definedName name="_HOME__GOTO_YIE">'[2]CST STD!'!#REF!</definedName>
    <definedName name="_LET_YIELD__IRR">'[2]CST STD!'!#REF!</definedName>
    <definedName name="_PPRA1.H33_AGP" localSheetId="9">'FERC Rpt'!#REF!</definedName>
    <definedName name="_RECASHFLOWS_">'[2]CST STD!'!#REF!</definedName>
    <definedName name="_RNCCASHFLOWS__">'[2]CST STD!'!#REF!</definedName>
    <definedName name="_WINDOWSOFF__PA">'[2]CST STD!'!#REF!</definedName>
    <definedName name="a">'[1]STD Cost'!#REF!</definedName>
    <definedName name="CASHFLOWS">'[2]CST STD!'!#REF!</definedName>
    <definedName name="CRRA38.H65_GQ" localSheetId="9">'FERC Rpt'!$AC$2</definedName>
    <definedName name="P">#REF!</definedName>
    <definedName name="pagea">#REF!</definedName>
    <definedName name="pageb">#REF!</definedName>
    <definedName name="_xlnm.Print_Area" localSheetId="12">'A1  CofCap-PreMerger Costs'!$A$1:$F$24</definedName>
    <definedName name="_xlnm.Print_Area" localSheetId="13">'A2  STD Cost Rate-Prior Fac'!$A$2:$G$36</definedName>
    <definedName name="_xlnm.Print_Area" localSheetId="14">'A3  STD Int &amp; Fees-Prior Fac'!$A$1:$L$40</definedName>
    <definedName name="_xlnm.Print_Area" localSheetId="15">'A4  STD Amort-Prior Fac'!$A$1:$G$30</definedName>
    <definedName name="_xlnm.Print_Area" localSheetId="0">'Comparison'!$A$33:$K$79</definedName>
    <definedName name="_xlnm.Print_Area" localSheetId="9">'FERC Rpt'!$A$1:$G$36</definedName>
    <definedName name="_xlnm.Print_Area" localSheetId="1">'Pg 1 CofCap'!$A$1:$F$23</definedName>
    <definedName name="_xlnm.Print_Area" localSheetId="2">'Pg 2 CapStructure'!$A$1:$Q$44</definedName>
    <definedName name="_xlnm.Print_Area" localSheetId="3">'Pg 3 STD Cost Rate'!$A$1:$G$35</definedName>
    <definedName name="_xlnm.Print_Area" localSheetId="4">'Pg 4 STD OS &amp; Comm Fees'!$B$1:$L$32</definedName>
    <definedName name="_xlnm.Print_Area" localSheetId="5">'Pg 5 STD Amort'!$A$1:$G$35</definedName>
    <definedName name="_xlnm.Print_Area" localSheetId="6">'Pg 6 LTD Cost '!$A$1:$V$33</definedName>
    <definedName name="_xlnm.Print_Area" localSheetId="7">'Pg 7 Reacquired Debt'!$A$1:$J$34</definedName>
    <definedName name="_xlnm.Print_Titles" localSheetId="10">'Appendix --&gt;'!$B:$E,'Appendix --&gt;'!$1:$2</definedName>
    <definedName name="_xlnm.Print_Titles" localSheetId="7">'Pg 7 Reacquired Debt'!$1:$7</definedName>
    <definedName name="TABLE">'[2]CST STD!'!#REF!</definedName>
    <definedName name="Total_Annual_Charge">'[1]BONDRATE'!#REF!</definedName>
    <definedName name="Total_OS_Amount">'[1]BONDRATE'!#REF!</definedName>
  </definedNames>
  <calcPr fullCalcOnLoad="1"/>
</workbook>
</file>

<file path=xl/comments10.xml><?xml version="1.0" encoding="utf-8"?>
<comments xmlns="http://schemas.openxmlformats.org/spreadsheetml/2006/main">
  <authors>
    <author>jsant</author>
  </authors>
  <commentList>
    <comment ref="B17" authorId="0">
      <text>
        <r>
          <rPr>
            <sz val="8"/>
            <rFont val="Tahoma"/>
            <family val="2"/>
          </rPr>
          <t>Includes Manditorily Redeemable Preferred Stock.</t>
        </r>
        <r>
          <rPr>
            <sz val="8"/>
            <rFont val="Tahoma"/>
            <family val="2"/>
          </rPr>
          <t xml:space="preserve">
</t>
        </r>
      </text>
    </comment>
    <comment ref="B16" authorId="0">
      <text>
        <r>
          <rPr>
            <sz val="8"/>
            <rFont val="Tahoma"/>
            <family val="2"/>
          </rPr>
          <t>Previously included Trust Pref'd since it involved a separate trust with an association to PSE.</t>
        </r>
        <r>
          <rPr>
            <sz val="8"/>
            <rFont val="Tahoma"/>
            <family val="2"/>
          </rPr>
          <t xml:space="preserve">
</t>
        </r>
      </text>
    </comment>
    <comment ref="B14" authorId="0">
      <text>
        <r>
          <rPr>
            <sz val="8"/>
            <rFont val="Tahoma"/>
            <family val="2"/>
          </rPr>
          <t>This includes the hybrid security.  An argument could be made to include it in FERC 224 but it doesn't matter to the total LT Debt Cost rate which is what is sought after in this calculation.</t>
        </r>
        <r>
          <rPr>
            <sz val="8"/>
            <rFont val="Tahoma"/>
            <family val="2"/>
          </rPr>
          <t xml:space="preserve">
LTD is presented as "end of period".</t>
        </r>
      </text>
    </comment>
    <comment ref="C17" authorId="0">
      <text>
        <r>
          <rPr>
            <sz val="8"/>
            <rFont val="Tahoma"/>
            <family val="2"/>
          </rPr>
          <t>This should be the year-end balance.  The amounts are linked to an avg balance calc but that is the same as year end balance in this case; check to be sure this works going forward.</t>
        </r>
        <r>
          <rPr>
            <sz val="8"/>
            <rFont val="Tahoma"/>
            <family val="2"/>
          </rPr>
          <t xml:space="preserve">
</t>
        </r>
      </text>
    </comment>
    <comment ref="B19" authorId="0">
      <text>
        <r>
          <rPr>
            <sz val="8"/>
            <rFont val="Tahoma"/>
            <family val="2"/>
          </rPr>
          <t xml:space="preserve">Check the detail behind the total long term debt to ensure it is properly pulling from other work.
</t>
        </r>
      </text>
    </comment>
    <comment ref="F14" authorId="0">
      <text>
        <r>
          <rPr>
            <sz val="8"/>
            <rFont val="Tahoma"/>
            <family val="2"/>
          </rPr>
          <t xml:space="preserve">This represents the weighted avg cost rate (all-in including issuance costs) for the LT debt outstanding at the end of the period. 
It is </t>
        </r>
        <r>
          <rPr>
            <u val="single"/>
            <sz val="8"/>
            <rFont val="Tahoma"/>
            <family val="2"/>
          </rPr>
          <t>not</t>
        </r>
        <r>
          <rPr>
            <sz val="8"/>
            <rFont val="Tahoma"/>
            <family val="2"/>
          </rPr>
          <t xml:space="preserve"> calculated using the avg debt outstanding throughout the period, even though the rate could be the same under both methods.</t>
        </r>
        <r>
          <rPr>
            <sz val="8"/>
            <rFont val="Tahoma"/>
            <family val="2"/>
          </rPr>
          <t xml:space="preserve">
</t>
        </r>
      </text>
    </comment>
    <comment ref="B25" authorId="0">
      <text>
        <r>
          <rPr>
            <sz val="8"/>
            <rFont val="Tahoma"/>
            <family val="2"/>
          </rPr>
          <t>Plant acctg advises this is to be period ending (not average) book equity for PSE, adjusting out the PSE subsidiaries.</t>
        </r>
        <r>
          <rPr>
            <sz val="8"/>
            <rFont val="Tahoma"/>
            <family val="2"/>
          </rPr>
          <t xml:space="preserve">
</t>
        </r>
      </text>
    </comment>
  </commentList>
</comments>
</file>

<file path=xl/comments13.xml><?xml version="1.0" encoding="utf-8"?>
<comments xmlns="http://schemas.openxmlformats.org/spreadsheetml/2006/main">
  <authors>
    <author>jsant</author>
  </authors>
  <commentList>
    <comment ref="E17" authorId="0">
      <text>
        <r>
          <rPr>
            <sz val="8"/>
            <rFont val="Tahoma"/>
            <family val="2"/>
          </rPr>
          <t xml:space="preserve">Cost of long-term debt deemed same under Pre-Merger and Post-Merger; tho a strong case could be made that long-term debt costs are lower as a result of the credit rating upgrade from the merger.  </t>
        </r>
        <r>
          <rPr>
            <sz val="8"/>
            <rFont val="Tahoma"/>
            <family val="2"/>
          </rPr>
          <t xml:space="preserve">
</t>
        </r>
      </text>
    </comment>
    <comment ref="E15" authorId="0">
      <text>
        <r>
          <rPr>
            <sz val="8"/>
            <rFont val="Tahoma"/>
            <family val="2"/>
          </rPr>
          <t>Short-term cost priced as if under Pre-Merger facilities.</t>
        </r>
        <r>
          <rPr>
            <sz val="8"/>
            <rFont val="Tahoma"/>
            <family val="2"/>
          </rPr>
          <t xml:space="preserve">
</t>
        </r>
      </text>
    </comment>
  </commentList>
</comments>
</file>

<file path=xl/comments15.xml><?xml version="1.0" encoding="utf-8"?>
<comments xmlns="http://schemas.openxmlformats.org/spreadsheetml/2006/main">
  <authors>
    <author>jsant</author>
    <author>Jim Sant</author>
  </authors>
  <commentList>
    <comment ref="H10" authorId="0">
      <text>
        <r>
          <rPr>
            <sz val="8"/>
            <rFont val="Tahoma"/>
            <family val="2"/>
          </rPr>
          <t>Includes Credit Facility and Letter of Credit Fees.</t>
        </r>
        <r>
          <rPr>
            <sz val="8"/>
            <rFont val="Tahoma"/>
            <family val="2"/>
          </rPr>
          <t xml:space="preserve">
</t>
        </r>
      </text>
    </comment>
    <comment ref="C10" authorId="0">
      <text>
        <r>
          <rPr>
            <sz val="8"/>
            <rFont val="Tahoma"/>
            <family val="2"/>
          </rPr>
          <t xml:space="preserve">Based on daily balances outstanding
</t>
        </r>
      </text>
    </comment>
    <comment ref="F11" authorId="0">
      <text>
        <r>
          <rPr>
            <sz val="8"/>
            <rFont val="Tahoma"/>
            <family val="2"/>
          </rPr>
          <t>CP cost would be what the market would bear under pre or post-merger scenario. No adjustment need be made.</t>
        </r>
      </text>
    </comment>
    <comment ref="G24" authorId="0">
      <text>
        <r>
          <rPr>
            <sz val="8"/>
            <rFont val="Tahoma"/>
            <family val="2"/>
          </rPr>
          <t>AR Sec Fac Comm Fee based on entire $200 million regardless of drawn amount.</t>
        </r>
        <r>
          <rPr>
            <sz val="8"/>
            <rFont val="Tahoma"/>
            <family val="2"/>
          </rPr>
          <t xml:space="preserve">
</t>
        </r>
      </text>
    </comment>
    <comment ref="G23" authorId="0">
      <text>
        <r>
          <rPr>
            <sz val="8"/>
            <rFont val="Tahoma"/>
            <family val="2"/>
          </rPr>
          <t>Treated as if faciilty borrowings would have been half under the $500 million Facility and half under AR Securitization, similar to usage prior to merger in 2008.</t>
        </r>
        <r>
          <rPr>
            <sz val="8"/>
            <rFont val="Tahoma"/>
            <family val="2"/>
          </rPr>
          <t xml:space="preserve">
</t>
        </r>
      </text>
    </comment>
    <comment ref="J24" authorId="0">
      <text>
        <r>
          <rPr>
            <sz val="8"/>
            <rFont val="Tahoma"/>
            <family val="2"/>
          </rPr>
          <t>AR Sec Fac Comm Fee based on entire $200 million regardless of drawn amount.</t>
        </r>
        <r>
          <rPr>
            <sz val="8"/>
            <rFont val="Tahoma"/>
            <family val="2"/>
          </rPr>
          <t xml:space="preserve">
</t>
        </r>
      </text>
    </comment>
    <comment ref="G12" authorId="1">
      <text>
        <r>
          <rPr>
            <sz val="8"/>
            <rFont val="Tahoma"/>
            <family val="2"/>
          </rPr>
          <t>Different Formula: 
Assumes takes on weighted average of the other borrowings on which its rate is based.</t>
        </r>
      </text>
    </comment>
  </commentList>
</comments>
</file>

<file path=xl/comments3.xml><?xml version="1.0" encoding="utf-8"?>
<comments xmlns="http://schemas.openxmlformats.org/spreadsheetml/2006/main">
  <authors>
    <author>jsant</author>
  </authors>
  <commentList>
    <comment ref="B34" authorId="0">
      <text>
        <r>
          <rPr>
            <sz val="8"/>
            <rFont val="Tahoma"/>
            <family val="2"/>
          </rPr>
          <t>Positive numbers are credits to equity, negative numbers are debits.</t>
        </r>
        <r>
          <rPr>
            <sz val="8"/>
            <rFont val="Tahoma"/>
            <family val="2"/>
          </rPr>
          <t xml:space="preserve">
</t>
        </r>
      </text>
    </comment>
    <comment ref="B44" authorId="0">
      <text>
        <r>
          <rPr>
            <sz val="8"/>
            <rFont val="Tahoma"/>
            <family val="2"/>
          </rPr>
          <t>Back non-regulated items out of consolidated book common equity to get to regulated equity.</t>
        </r>
        <r>
          <rPr>
            <sz val="8"/>
            <rFont val="Tahoma"/>
            <family val="2"/>
          </rPr>
          <t xml:space="preserve">
</t>
        </r>
      </text>
    </comment>
  </commentList>
</comments>
</file>

<file path=xl/comments5.xml><?xml version="1.0" encoding="utf-8"?>
<comments xmlns="http://schemas.openxmlformats.org/spreadsheetml/2006/main">
  <authors>
    <author>jsant</author>
  </authors>
  <commentList>
    <comment ref="F9" authorId="0">
      <text>
        <r>
          <rPr>
            <sz val="8"/>
            <rFont val="Tahoma"/>
            <family val="2"/>
          </rPr>
          <t>Includes Credit Facility and Letter of Credit Fees.</t>
        </r>
        <r>
          <rPr>
            <sz val="8"/>
            <rFont val="Tahoma"/>
            <family val="2"/>
          </rPr>
          <t xml:space="preserve">
</t>
        </r>
      </text>
    </comment>
    <comment ref="C9" authorId="0">
      <text>
        <r>
          <rPr>
            <sz val="8"/>
            <rFont val="Tahoma"/>
            <family val="2"/>
          </rPr>
          <t xml:space="preserve">Based on daily balances outstanding
</t>
        </r>
      </text>
    </comment>
  </commentList>
</comments>
</file>

<file path=xl/comments8.xml><?xml version="1.0" encoding="utf-8"?>
<comments xmlns="http://schemas.openxmlformats.org/spreadsheetml/2006/main">
  <authors>
    <author>jsant</author>
  </authors>
  <commentList>
    <comment ref="I28" authorId="0">
      <text>
        <r>
          <rPr>
            <sz val="8"/>
            <rFont val="Tahoma"/>
            <family val="2"/>
          </rPr>
          <t>Flows to Cost of Debt Tab</t>
        </r>
        <r>
          <rPr>
            <sz val="8"/>
            <rFont val="Tahoma"/>
            <family val="2"/>
          </rPr>
          <t xml:space="preserve">
</t>
        </r>
      </text>
    </comment>
  </commentList>
</comments>
</file>

<file path=xl/sharedStrings.xml><?xml version="1.0" encoding="utf-8"?>
<sst xmlns="http://schemas.openxmlformats.org/spreadsheetml/2006/main" count="770" uniqueCount="304">
  <si>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</si>
  <si>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</si>
  <si>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</si>
  <si>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</si>
  <si>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</si>
  <si>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</si>
  <si>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</si>
  <si>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</si>
  <si>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</si>
  <si>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</si>
  <si>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</si>
  <si>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</si>
  <si>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</si>
  <si>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</si>
  <si>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</si>
  <si>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</si>
  <si>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</si>
  <si>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</si>
  <si>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</si>
  <si>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</si>
  <si>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</si>
  <si>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</si>
  <si>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</si>
  <si>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</si>
  <si>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</si>
  <si>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</si>
  <si>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</si>
  <si>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</si>
  <si>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</si>
  <si>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</si>
  <si>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</si>
  <si>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</si>
  <si>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</si>
  <si>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</si>
  <si>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</si>
  <si>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</si>
  <si>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</si>
  <si>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</si>
  <si>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</si>
  <si>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</si>
  <si>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</si>
  <si>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</si>
  <si>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</si>
  <si>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</si>
  <si>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</si>
  <si>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</si>
  <si>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</si>
  <si>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</si>
  <si>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</si>
  <si>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</si>
  <si>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</si>
  <si>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</si>
  <si>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</si>
  <si>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</si>
  <si>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</si>
  <si>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</si>
  <si>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</si>
  <si>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</si>
  <si>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</si>
  <si>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</si>
  <si>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</si>
  <si>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</si>
  <si>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</si>
  <si>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</si>
  <si>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</si>
  <si>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</si>
  <si>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</si>
  <si>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</si>
  <si>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</si>
  <si>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</si>
  <si>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</si>
  <si>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</si>
  <si>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</si>
  <si>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</si>
  <si>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</si>
  <si>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</si>
  <si>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</si>
  <si>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</si>
  <si>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</si>
  <si>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</si>
  <si>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</si>
  <si>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</si>
  <si>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</si>
  <si>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</si>
  <si>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</si>
  <si>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</si>
  <si>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</si>
  <si>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</si>
  <si>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</si>
  <si>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</si>
  <si>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</si>
  <si>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</si>
  <si>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</si>
  <si>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</si>
  <si>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</si>
  <si>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</si>
  <si>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</si>
  <si>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</si>
  <si>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</si>
  <si>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</si>
  <si>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</si>
  <si>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</si>
  <si>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</si>
  <si>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</si>
  <si>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</si>
  <si>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</si>
  <si>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</si>
  <si>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</si>
  <si>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</si>
  <si>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</si>
  <si>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</si>
  <si>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</si>
  <si>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</si>
  <si>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</si>
  <si>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</si>
  <si>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</si>
  <si>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</si>
  <si>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</si>
  <si>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</si>
  <si>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</si>
  <si>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</si>
  <si>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</si>
  <si>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</si>
  <si>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</si>
  <si>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</si>
  <si>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</si>
  <si>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</si>
  <si>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</si>
  <si>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</si>
  <si>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</si>
  <si>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</si>
  <si>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</si>
  <si>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</si>
  <si>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</si>
  <si>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</si>
  <si>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</si>
  <si>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</si>
  <si>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</si>
  <si>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</si>
  <si>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</si>
  <si>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</si>
  <si>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</si>
  <si>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</si>
  <si>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</si>
  <si>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</si>
  <si>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</si>
  <si>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</si>
  <si>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</si>
  <si>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</si>
  <si>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</si>
  <si>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</si>
  <si>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</si>
  <si>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</si>
  <si>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</si>
  <si>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</si>
  <si>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</si>
  <si>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</si>
  <si>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</si>
  <si>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</si>
  <si>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</si>
  <si>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</si>
  <si>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</si>
  <si>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</si>
  <si>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</si>
  <si>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</si>
  <si>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</si>
  <si>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$400 million</t>
  </si>
  <si>
    <t>Working Cap Fac</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</si>
  <si>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</si>
  <si>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</si>
  <si>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</si>
  <si>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</si>
  <si>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</si>
  <si>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</si>
  <si>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</si>
  <si>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</si>
  <si>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val="single"/>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</si>
  <si>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</si>
  <si>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</si>
  <si>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</si>
  <si>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</si>
  <si>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</si>
  <si>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</si>
  <si>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</si>
  <si>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</si>
  <si>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</si>
  <si>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</si>
  <si>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</si>
  <si>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</si>
  <si>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</si>
  <si>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</si>
  <si>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</si>
  <si>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</si>
  <si>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</si>
  <si>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</si>
  <si>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</si>
  <si>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</si>
  <si>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</si>
  <si>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</si>
  <si>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</si>
  <si>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</si>
  <si>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</si>
  <si>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</si>
  <si>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</si>
  <si>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</si>
  <si>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</si>
  <si>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</si>
  <si>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</si>
  <si>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</si>
  <si>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</si>
  <si>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</si>
  <si>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</si>
  <si>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</si>
  <si>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</si>
  <si>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</si>
  <si>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</si>
  <si>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</si>
  <si>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</si>
  <si>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</si>
  <si>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</si>
  <si>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</si>
  <si>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</si>
  <si>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</si>
  <si>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</si>
  <si>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</si>
  <si>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</si>
  <si>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</si>
  <si>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</si>
  <si>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</si>
  <si>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</si>
  <si>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</si>
  <si>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</si>
  <si>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</si>
  <si>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</si>
  <si>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</si>
  <si>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</si>
  <si>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</si>
  <si>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</si>
  <si>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</si>
  <si>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</si>
  <si>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</si>
  <si>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</si>
  <si>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</si>
  <si>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</si>
  <si>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</si>
  <si>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</si>
  <si>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</si>
  <si>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</si>
  <si>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</si>
  <si>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</si>
  <si>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</si>
  <si>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val="single"/>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</si>
  <si>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</si>
  <si>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</si>
  <si>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</si>
  <si>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</si>
  <si>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</si>
  <si>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</si>
  <si>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</si>
  <si>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</si>
  <si>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</si>
  <si>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</si>
  <si>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</si>
  <si>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</si>
  <si>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Liquidity Facility (Wells Fargo)</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</si>
  <si>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</si>
  <si>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</si>
  <si>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</si>
  <si>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</si>
  <si>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</si>
  <si>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</si>
  <si>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</si>
  <si>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</si>
  <si>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</si>
  <si>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</si>
  <si>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</si>
  <si>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</si>
  <si>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</si>
  <si>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</si>
  <si>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</si>
  <si>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</si>
  <si>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</si>
  <si>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</si>
  <si>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</si>
  <si>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</si>
  <si>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</si>
  <si>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</si>
  <si>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</si>
  <si>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</si>
  <si>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</si>
  <si>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</si>
  <si>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</si>
  <si>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</si>
  <si>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</si>
  <si>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</si>
  <si>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</si>
  <si>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</si>
  <si>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Capex Fac</t>
  </si>
  <si>
    <t>18101083/18900403</t>
  </si>
  <si>
    <t>Liquidity Refinance</t>
  </si>
  <si>
    <t>December 31, 2013 Through December 31, 2014</t>
  </si>
  <si>
    <r>
      <t xml:space="preserve">As of:  </t>
    </r>
    <r>
      <rPr>
        <sz val="9"/>
        <color indexed="12"/>
        <rFont val="Arial"/>
        <family val="2"/>
      </rPr>
      <t>12/31/13</t>
    </r>
  </si>
  <si>
    <t>LONG TERM DEBT</t>
  </si>
  <si>
    <t>COMMON STOCK</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</si>
</sst>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
    <numFmt numFmtId="187" formatCode="#,###.00,;\(#,###.00,\)"/>
    <numFmt numFmtId="188" formatCode="&quot;$&quot;#,##0.0_);\(&quot;$&quot;#,##0.0\)"/>
    <numFmt numFmtId="189" formatCode="0.000000%"/>
    <numFmt numFmtId="190" formatCode="dd\-mmm\-yy"/>
    <numFmt numFmtId="191" formatCode="#.0,,;\(&quot;$&quot;#.0,,\)"/>
    <numFmt numFmtId="192" formatCode="&quot;$&quot;#,000,;\(&quot;$&quot;#,000,\)"/>
    <numFmt numFmtId="193" formatCode="mmmmm\-yy"/>
    <numFmt numFmtId="194" formatCode="_(&quot;$&quot;* #,##0_);_(&quot;$&quot;* \(#,##0\);_(&quot;$&quot;* &quot;-&quot;??_);_(@_)"/>
    <numFmt numFmtId="195" formatCode="[$-409]d\-mmm\-yy;@"/>
    <numFmt numFmtId="196" formatCode="0.000"/>
    <numFmt numFmtId="197" formatCode="&quot;$&quot;#,000.000,;\(&quot;$&quot;#,000.000,\)"/>
    <numFmt numFmtId="198" formatCode="#,##0.0_);\(#,##0.0\)"/>
    <numFmt numFmtId="199" formatCode="&quot;$&quot;#,##0.000_);\(&quot;$&quot;#,##0.000\)"/>
    <numFmt numFmtId="200" formatCode="&quot;$&quot;#,000.00,;\(&quot;$&quot;#,000.00,\)"/>
    <numFmt numFmtId="201" formatCode="&quot;$&quot;#,000.0,;\(&quot;$&quot;#,000.0,\)"/>
    <numFmt numFmtId="202" formatCode="[$-409]mmm\-yy;@"/>
    <numFmt numFmtId="203" formatCode="[$-409]dddd\,\ mmmm\ dd\,\ yyyy"/>
    <numFmt numFmtId="204" formatCode="_(* #,##0.0_);_(* \(#,##0.0\);_(* &quot;-&quot;??_);_(@_)"/>
    <numFmt numFmtId="205" formatCode="0.0_);[Red]\(0.0\)"/>
    <numFmt numFmtId="206" formatCode="0.00_);[Red]\(0.00\)"/>
    <numFmt numFmtId="207" formatCode="mmm\-yyyy"/>
    <numFmt numFmtId="208" formatCode="&quot;$&quot;#,##0.0000_);\(&quot;$&quot;#,##0.0000\)"/>
    <numFmt numFmtId="209" formatCode="&quot;$&quot;#,##0.00000_);\(&quot;$&quot;#,##0.00000\)"/>
  </numFmts>
  <fonts count="79">
    <font>
      <sz val="8"/>
      <name val="Arial"/>
      <family val="2"/>
    </font>
    <font>
      <sz val="10"/>
      <name val="Arial"/>
      <family val="0"/>
    </font>
    <font>
      <b/>
      <i/>
      <sz val="12"/>
      <name val="Times New Roman"/>
      <family val="1"/>
    </font>
    <font>
      <sz val="10"/>
      <name val="Geneva"/>
      <family val="0"/>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amily val="0"/>
    </font>
    <font>
      <sz val="8"/>
      <name val="Tahoma"/>
      <family val="2"/>
    </font>
    <font>
      <b/>
      <sz val="10"/>
      <color indexed="10"/>
      <name val="Times New Roman"/>
      <family val="1"/>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val="single"/>
      <sz val="9"/>
      <name val="Arial"/>
      <family val="2"/>
    </font>
    <font>
      <sz val="9"/>
      <color indexed="8"/>
      <name val="Arial"/>
      <family val="2"/>
    </font>
    <font>
      <sz val="9"/>
      <name val="Times New Roman"/>
      <family val="1"/>
    </font>
    <font>
      <b/>
      <u val="single"/>
      <sz val="8"/>
      <name val="Arial"/>
      <family val="2"/>
    </font>
    <font>
      <b/>
      <sz val="8"/>
      <name val="Arial"/>
      <family val="2"/>
    </font>
    <font>
      <b/>
      <u val="single"/>
      <sz val="10"/>
      <name val="Arial"/>
      <family val="2"/>
    </font>
    <font>
      <sz val="10"/>
      <color indexed="12"/>
      <name val="Arial"/>
      <family val="2"/>
    </font>
    <font>
      <u val="single"/>
      <sz val="10"/>
      <name val="Arial"/>
      <family val="2"/>
    </font>
    <font>
      <sz val="10"/>
      <color indexed="8"/>
      <name val="Arial"/>
      <family val="2"/>
    </font>
    <font>
      <u val="single"/>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val="single"/>
      <sz val="9"/>
      <name val="Arial"/>
      <family val="2"/>
    </font>
    <font>
      <u val="single"/>
      <sz val="8"/>
      <color indexed="12"/>
      <name val="Arial"/>
      <family val="2"/>
    </font>
    <font>
      <u val="single"/>
      <sz val="8"/>
      <color indexed="36"/>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i/>
      <sz val="12"/>
      <color indexed="10"/>
      <name val="Times New Roman"/>
      <family val="1"/>
    </font>
    <font>
      <i/>
      <sz val="8"/>
      <color indexed="12"/>
      <name val="Arial"/>
      <family val="2"/>
    </font>
    <font>
      <sz val="12"/>
      <name val="MS Serif"/>
      <family val="1"/>
    </font>
    <font>
      <sz val="10"/>
      <name val="palatino"/>
      <family val="0"/>
    </font>
    <font>
      <b/>
      <u val="double"/>
      <sz val="10"/>
      <color indexed="8"/>
      <name val="Arial"/>
      <family val="2"/>
    </font>
    <font>
      <u val="double"/>
      <sz val="10"/>
      <color indexed="8"/>
      <name val="Arial"/>
      <family val="2"/>
    </font>
    <font>
      <u val="single"/>
      <sz val="8"/>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val="single"/>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val="single"/>
      <sz val="9"/>
      <name val="Arial"/>
      <family val="2"/>
    </font>
    <font>
      <i/>
      <sz val="9"/>
      <name val="Arial"/>
      <family val="2"/>
    </font>
    <font>
      <sz val="8"/>
      <color indexed="8"/>
      <name val="Times New Roman"/>
      <family val="1"/>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medium"/>
    </border>
    <border>
      <left style="thin"/>
      <right style="thin"/>
      <top style="double"/>
      <bottom>
        <color indexed="63"/>
      </bottom>
    </border>
    <border>
      <left style="medium"/>
      <right style="medium"/>
      <top style="medium"/>
      <bottom style="medium"/>
    </border>
    <border>
      <left style="thin"/>
      <right style="thin"/>
      <top style="thin"/>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1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5" fontId="12" fillId="0" borderId="0" applyFont="0" applyFill="0" applyBorder="0" applyAlignment="0" applyProtection="0"/>
    <xf numFmtId="0" fontId="12" fillId="0" borderId="0" applyFont="0" applyFill="0" applyBorder="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7"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177" fontId="0" fillId="0" borderId="0">
      <alignment/>
      <protection/>
    </xf>
    <xf numFmtId="0" fontId="65" fillId="7" borderId="0" applyNumberFormat="0" applyBorder="0" applyAlignment="0" applyProtection="0"/>
    <xf numFmtId="0" fontId="3" fillId="0" borderId="0">
      <alignment/>
      <protection/>
    </xf>
    <xf numFmtId="0" fontId="3" fillId="0" borderId="0">
      <alignment/>
      <protection/>
    </xf>
    <xf numFmtId="0" fontId="47" fillId="0" borderId="0">
      <alignment/>
      <protection/>
    </xf>
    <xf numFmtId="37" fontId="3" fillId="0" borderId="0">
      <alignment/>
      <protection/>
    </xf>
    <xf numFmtId="37" fontId="3" fillId="0" borderId="0">
      <alignment/>
      <protection/>
    </xf>
    <xf numFmtId="37" fontId="3" fillId="0" borderId="0">
      <alignment/>
      <protection/>
    </xf>
    <xf numFmtId="37" fontId="14" fillId="0" borderId="0">
      <alignment/>
      <protection/>
    </xf>
    <xf numFmtId="10" fontId="3" fillId="0" borderId="0">
      <alignment/>
      <protection/>
    </xf>
    <xf numFmtId="0" fontId="3" fillId="0" borderId="0">
      <alignment/>
      <protection/>
    </xf>
    <xf numFmtId="0" fontId="1" fillId="0" borderId="0">
      <alignment/>
      <protection/>
    </xf>
    <xf numFmtId="0" fontId="14" fillId="4" borderId="7" applyNumberFormat="0" applyFont="0" applyAlignment="0" applyProtection="0"/>
    <xf numFmtId="0" fontId="66" fillId="16"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601">
    <xf numFmtId="37" fontId="0" fillId="0" borderId="0" xfId="0" applyAlignment="1">
      <alignment/>
    </xf>
    <xf numFmtId="0" fontId="4" fillId="0" borderId="0" xfId="61" applyFont="1">
      <alignment/>
      <protection/>
    </xf>
    <xf numFmtId="0" fontId="4" fillId="0" borderId="0" xfId="61" applyFont="1" applyFill="1">
      <alignment/>
      <protection/>
    </xf>
    <xf numFmtId="37" fontId="4" fillId="0" borderId="0" xfId="64" applyFont="1" applyAlignment="1" applyProtection="1">
      <alignment horizontal="center"/>
      <protection/>
    </xf>
    <xf numFmtId="37" fontId="4" fillId="0" borderId="0" xfId="64" applyFont="1" applyProtection="1">
      <alignment/>
      <protection/>
    </xf>
    <xf numFmtId="37" fontId="4" fillId="0" borderId="0" xfId="64" applyFont="1">
      <alignment/>
      <protection/>
    </xf>
    <xf numFmtId="37" fontId="5" fillId="0" borderId="0" xfId="0" applyFont="1" applyAlignment="1">
      <alignment horizontal="centerContinuous"/>
    </xf>
    <xf numFmtId="37" fontId="4" fillId="0" borderId="0" xfId="64" applyFont="1" applyAlignment="1">
      <alignment horizontal="centerContinuous"/>
      <protection/>
    </xf>
    <xf numFmtId="37" fontId="4" fillId="0" borderId="0" xfId="64" applyFont="1" applyAlignment="1" applyProtection="1">
      <alignment horizontal="left"/>
      <protection/>
    </xf>
    <xf numFmtId="10" fontId="4" fillId="0" borderId="0" xfId="64" applyNumberFormat="1" applyFont="1" applyProtection="1">
      <alignment/>
      <protection/>
    </xf>
    <xf numFmtId="37" fontId="4" fillId="0" borderId="0" xfId="64" applyNumberFormat="1" applyFont="1" applyProtection="1">
      <alignment/>
      <protection/>
    </xf>
    <xf numFmtId="37" fontId="4" fillId="0" borderId="0" xfId="64" applyFont="1" applyAlignment="1">
      <alignment horizontal="center"/>
      <protection/>
    </xf>
    <xf numFmtId="15" fontId="4" fillId="0" borderId="0" xfId="64" applyNumberFormat="1" applyFont="1" applyProtection="1">
      <alignment/>
      <protection/>
    </xf>
    <xf numFmtId="7" fontId="4" fillId="0" borderId="0" xfId="64" applyNumberFormat="1" applyFont="1" applyProtection="1">
      <alignment/>
      <protection/>
    </xf>
    <xf numFmtId="168" fontId="4" fillId="0" borderId="0" xfId="64" applyNumberFormat="1" applyFont="1" applyProtection="1">
      <alignment/>
      <protection/>
    </xf>
    <xf numFmtId="1" fontId="4" fillId="0" borderId="0" xfId="68" applyNumberFormat="1" applyFont="1" applyProtection="1">
      <alignment/>
      <protection/>
    </xf>
    <xf numFmtId="10" fontId="4" fillId="0" borderId="0" xfId="68" applyFont="1">
      <alignment/>
      <protection/>
    </xf>
    <xf numFmtId="10" fontId="4" fillId="0" borderId="0" xfId="68" applyFont="1" applyAlignment="1">
      <alignment horizontal="centerContinuous"/>
      <protection/>
    </xf>
    <xf numFmtId="1" fontId="4" fillId="0" borderId="0" xfId="68" applyNumberFormat="1" applyFont="1" applyAlignment="1" applyProtection="1">
      <alignment horizontal="center"/>
      <protection/>
    </xf>
    <xf numFmtId="37" fontId="4" fillId="0" borderId="0" xfId="0" applyFont="1" applyAlignment="1">
      <alignment/>
    </xf>
    <xf numFmtId="5" fontId="4" fillId="0" borderId="0" xfId="68" applyNumberFormat="1" applyFont="1" applyProtection="1">
      <alignment/>
      <protection/>
    </xf>
    <xf numFmtId="165" fontId="4" fillId="0" borderId="0" xfId="68" applyNumberFormat="1" applyFont="1" applyProtection="1">
      <alignment/>
      <protection/>
    </xf>
    <xf numFmtId="10" fontId="4" fillId="0" borderId="0" xfId="68" applyNumberFormat="1" applyFont="1" applyProtection="1">
      <alignment/>
      <protection/>
    </xf>
    <xf numFmtId="37" fontId="4" fillId="0" borderId="0" xfId="65" applyFont="1">
      <alignment/>
      <protection/>
    </xf>
    <xf numFmtId="37" fontId="4" fillId="0" borderId="0" xfId="65" applyFont="1" applyAlignment="1" applyProtection="1">
      <alignment horizontal="center"/>
      <protection/>
    </xf>
    <xf numFmtId="37" fontId="6" fillId="0" borderId="0" xfId="65" applyFont="1" applyAlignment="1">
      <alignment horizontal="center"/>
      <protection/>
    </xf>
    <xf numFmtId="5" fontId="4" fillId="0" borderId="0" xfId="65" applyNumberFormat="1" applyFont="1">
      <alignment/>
      <protection/>
    </xf>
    <xf numFmtId="37" fontId="7" fillId="0" borderId="0" xfId="65" applyFont="1">
      <alignment/>
      <protection/>
    </xf>
    <xf numFmtId="37" fontId="7" fillId="0" borderId="0" xfId="65" applyFont="1" applyFill="1">
      <alignment/>
      <protection/>
    </xf>
    <xf numFmtId="15" fontId="4" fillId="0" borderId="0" xfId="65" applyNumberFormat="1" applyFont="1" applyProtection="1">
      <alignment/>
      <protection/>
    </xf>
    <xf numFmtId="0" fontId="4" fillId="0" borderId="0" xfId="69" applyFont="1" applyAlignment="1" applyProtection="1">
      <alignment horizontal="left"/>
      <protection/>
    </xf>
    <xf numFmtId="0" fontId="9" fillId="0" borderId="0" xfId="69" applyFont="1">
      <alignment/>
      <protection/>
    </xf>
    <xf numFmtId="0" fontId="5" fillId="0" borderId="0" xfId="69" applyFont="1">
      <alignment/>
      <protection/>
    </xf>
    <xf numFmtId="5" fontId="5" fillId="0" borderId="0" xfId="69" applyNumberFormat="1" applyFont="1" applyProtection="1">
      <alignment/>
      <protection/>
    </xf>
    <xf numFmtId="37" fontId="2" fillId="0" borderId="0" xfId="64" applyFont="1" applyAlignment="1" applyProtection="1">
      <alignment horizontal="centerContinuous"/>
      <protection/>
    </xf>
    <xf numFmtId="37" fontId="14" fillId="0" borderId="0" xfId="0" applyFont="1" applyAlignment="1">
      <alignment/>
    </xf>
    <xf numFmtId="37" fontId="16" fillId="0" borderId="0" xfId="0" applyFont="1" applyAlignment="1">
      <alignment/>
    </xf>
    <xf numFmtId="15" fontId="14" fillId="0" borderId="0" xfId="0" applyNumberFormat="1" applyFont="1" applyAlignment="1">
      <alignment horizontal="left"/>
    </xf>
    <xf numFmtId="37" fontId="14" fillId="0" borderId="0" xfId="0" applyFont="1" applyBorder="1" applyAlignment="1">
      <alignment/>
    </xf>
    <xf numFmtId="37" fontId="18" fillId="0" borderId="0" xfId="0" applyFont="1" applyBorder="1" applyAlignment="1">
      <alignment horizontal="right"/>
    </xf>
    <xf numFmtId="37" fontId="18" fillId="0" borderId="0" xfId="0" applyFont="1" applyBorder="1" applyAlignment="1">
      <alignment horizontal="center"/>
    </xf>
    <xf numFmtId="14" fontId="14" fillId="0" borderId="0" xfId="0" applyNumberFormat="1" applyFont="1" applyFill="1" applyBorder="1" applyAlignment="1">
      <alignment/>
    </xf>
    <xf numFmtId="170" fontId="14" fillId="0" borderId="0" xfId="42" applyNumberFormat="1" applyFont="1" applyBorder="1" applyAlignment="1">
      <alignment/>
    </xf>
    <xf numFmtId="166" fontId="16" fillId="0" borderId="0" xfId="0" applyNumberFormat="1" applyFont="1" applyAlignment="1">
      <alignment horizontal="left"/>
    </xf>
    <xf numFmtId="37" fontId="11" fillId="0" borderId="0" xfId="65" applyFont="1" applyFill="1" applyAlignment="1">
      <alignment horizontal="center"/>
      <protection/>
    </xf>
    <xf numFmtId="5" fontId="7" fillId="0" borderId="0" xfId="65" applyNumberFormat="1" applyFont="1" applyFill="1">
      <alignment/>
      <protection/>
    </xf>
    <xf numFmtId="37" fontId="7" fillId="0" borderId="0" xfId="65" applyFont="1" applyFill="1" applyAlignment="1">
      <alignment horizontal="center"/>
      <protection/>
    </xf>
    <xf numFmtId="37" fontId="7" fillId="0" borderId="0" xfId="0" applyFont="1" applyFill="1" applyAlignment="1">
      <alignment/>
    </xf>
    <xf numFmtId="10" fontId="7" fillId="0" borderId="0" xfId="0" applyNumberFormat="1" applyFont="1" applyFill="1" applyAlignment="1">
      <alignment horizontal="left"/>
    </xf>
    <xf numFmtId="15" fontId="7" fillId="0" borderId="0" xfId="0" applyNumberFormat="1" applyFont="1" applyFill="1" applyAlignment="1">
      <alignment horizontal="center"/>
    </xf>
    <xf numFmtId="169" fontId="7" fillId="0" borderId="0" xfId="0" applyNumberFormat="1" applyFont="1" applyFill="1" applyAlignment="1">
      <alignment/>
    </xf>
    <xf numFmtId="2" fontId="7" fillId="0" borderId="0" xfId="0" applyNumberFormat="1" applyFont="1" applyFill="1" applyAlignment="1">
      <alignment/>
    </xf>
    <xf numFmtId="10" fontId="7" fillId="0" borderId="0" xfId="0" applyNumberFormat="1" applyFont="1" applyFill="1" applyAlignment="1">
      <alignment/>
    </xf>
    <xf numFmtId="5" fontId="7" fillId="0" borderId="0" xfId="65" applyNumberFormat="1" applyFont="1" applyFill="1" applyProtection="1">
      <alignment/>
      <protection/>
    </xf>
    <xf numFmtId="37" fontId="11" fillId="0" borderId="0" xfId="65" applyFont="1" applyFill="1" applyAlignment="1" applyProtection="1">
      <alignment horizontal="center"/>
      <protection/>
    </xf>
    <xf numFmtId="10" fontId="7" fillId="0" borderId="0" xfId="65" applyNumberFormat="1" applyFont="1" applyFill="1" applyProtection="1">
      <alignment/>
      <protection/>
    </xf>
    <xf numFmtId="168" fontId="7" fillId="0" borderId="0" xfId="65" applyNumberFormat="1" applyFont="1" applyFill="1" applyAlignment="1" applyProtection="1">
      <alignment horizontal="fill"/>
      <protection/>
    </xf>
    <xf numFmtId="166" fontId="4" fillId="0" borderId="0" xfId="65" applyNumberFormat="1" applyFont="1" applyFill="1">
      <alignment/>
      <protection/>
    </xf>
    <xf numFmtId="0" fontId="14" fillId="0" borderId="0" xfId="69" applyFont="1">
      <alignment/>
      <protection/>
    </xf>
    <xf numFmtId="0" fontId="15" fillId="0" borderId="0" xfId="69" applyFont="1" applyFill="1" applyAlignment="1" applyProtection="1" quotePrefix="1">
      <alignment horizontal="center"/>
      <protection/>
    </xf>
    <xf numFmtId="0" fontId="14" fillId="0" borderId="0" xfId="69" applyFont="1" applyFill="1">
      <alignment/>
      <protection/>
    </xf>
    <xf numFmtId="0" fontId="16" fillId="0" borderId="0" xfId="69" applyFont="1" applyFill="1" applyAlignment="1" applyProtection="1">
      <alignment horizontal="center"/>
      <protection/>
    </xf>
    <xf numFmtId="14" fontId="14" fillId="0" borderId="0" xfId="69" applyNumberFormat="1" applyFont="1" applyFill="1">
      <alignment/>
      <protection/>
    </xf>
    <xf numFmtId="0" fontId="22" fillId="0" borderId="10" xfId="69" applyFont="1" applyFill="1" applyBorder="1" applyAlignment="1" applyProtection="1">
      <alignment horizontal="center" wrapText="1"/>
      <protection/>
    </xf>
    <xf numFmtId="0" fontId="21" fillId="0" borderId="10" xfId="69" applyFont="1" applyFill="1" applyBorder="1" applyAlignment="1">
      <alignment horizontal="center"/>
      <protection/>
    </xf>
    <xf numFmtId="7" fontId="14" fillId="0" borderId="0" xfId="69" applyNumberFormat="1" applyFont="1" applyFill="1">
      <alignment/>
      <protection/>
    </xf>
    <xf numFmtId="0" fontId="16" fillId="0" borderId="0" xfId="69" applyFont="1" applyFill="1" applyAlignment="1" applyProtection="1" quotePrefix="1">
      <alignment horizontal="left"/>
      <protection/>
    </xf>
    <xf numFmtId="37" fontId="1" fillId="0" borderId="0" xfId="64" applyFont="1">
      <alignment/>
      <protection/>
    </xf>
    <xf numFmtId="37" fontId="13" fillId="0" borderId="0" xfId="64" applyFont="1">
      <alignment/>
      <protection/>
    </xf>
    <xf numFmtId="37" fontId="13" fillId="0" borderId="0" xfId="64" applyFont="1" applyAlignment="1" applyProtection="1">
      <alignment horizontal="center"/>
      <protection/>
    </xf>
    <xf numFmtId="37" fontId="23" fillId="0" borderId="0" xfId="64" applyFont="1" applyAlignment="1" applyProtection="1">
      <alignment horizontal="center"/>
      <protection/>
    </xf>
    <xf numFmtId="37" fontId="1" fillId="0" borderId="0" xfId="64" applyFont="1" applyAlignment="1" applyProtection="1">
      <alignment horizontal="left"/>
      <protection/>
    </xf>
    <xf numFmtId="37" fontId="1" fillId="0" borderId="0" xfId="64" applyFont="1" applyAlignment="1" applyProtection="1">
      <alignment horizontal="fill"/>
      <protection/>
    </xf>
    <xf numFmtId="37" fontId="1" fillId="0" borderId="0" xfId="64" applyFont="1" applyAlignment="1" applyProtection="1">
      <alignment horizontal="center"/>
      <protection/>
    </xf>
    <xf numFmtId="10" fontId="1" fillId="0" borderId="0" xfId="64" applyNumberFormat="1" applyFont="1" applyProtection="1">
      <alignment/>
      <protection/>
    </xf>
    <xf numFmtId="37" fontId="1" fillId="0" borderId="0" xfId="64" applyNumberFormat="1" applyFont="1" applyProtection="1">
      <alignment/>
      <protection/>
    </xf>
    <xf numFmtId="5" fontId="1" fillId="0" borderId="0" xfId="64" applyNumberFormat="1" applyFont="1" applyProtection="1">
      <alignment/>
      <protection/>
    </xf>
    <xf numFmtId="5" fontId="1" fillId="0" borderId="0" xfId="64" applyNumberFormat="1" applyFont="1">
      <alignment/>
      <protection/>
    </xf>
    <xf numFmtId="5" fontId="25" fillId="0" borderId="0" xfId="64" applyNumberFormat="1" applyFont="1">
      <alignment/>
      <protection/>
    </xf>
    <xf numFmtId="5" fontId="25" fillId="0" borderId="0" xfId="64" applyNumberFormat="1" applyFont="1" applyProtection="1">
      <alignment/>
      <protection/>
    </xf>
    <xf numFmtId="37" fontId="13" fillId="0" borderId="11" xfId="64" applyFont="1" applyBorder="1" applyAlignment="1" applyProtection="1">
      <alignment horizontal="left"/>
      <protection/>
    </xf>
    <xf numFmtId="5" fontId="13" fillId="0" borderId="12" xfId="64" applyNumberFormat="1" applyFont="1" applyBorder="1" applyProtection="1">
      <alignment/>
      <protection/>
    </xf>
    <xf numFmtId="5" fontId="13" fillId="0" borderId="12" xfId="64" applyNumberFormat="1" applyFont="1" applyBorder="1">
      <alignment/>
      <protection/>
    </xf>
    <xf numFmtId="5" fontId="26" fillId="0" borderId="0" xfId="64" applyNumberFormat="1" applyFont="1" applyFill="1" applyProtection="1">
      <alignment/>
      <protection/>
    </xf>
    <xf numFmtId="5" fontId="26" fillId="0" borderId="0" xfId="64" applyNumberFormat="1" applyFont="1" applyProtection="1">
      <alignment/>
      <protection/>
    </xf>
    <xf numFmtId="5" fontId="26" fillId="0" borderId="0" xfId="64" applyNumberFormat="1" applyFont="1">
      <alignment/>
      <protection/>
    </xf>
    <xf numFmtId="170" fontId="26" fillId="0" borderId="0" xfId="42" applyNumberFormat="1" applyFont="1" applyAlignment="1">
      <alignment/>
    </xf>
    <xf numFmtId="5" fontId="27" fillId="0" borderId="0" xfId="64" applyNumberFormat="1" applyFont="1">
      <alignment/>
      <protection/>
    </xf>
    <xf numFmtId="5" fontId="27" fillId="0" borderId="0" xfId="64" applyNumberFormat="1" applyFont="1" applyProtection="1">
      <alignment/>
      <protection/>
    </xf>
    <xf numFmtId="37" fontId="0" fillId="0" borderId="0" xfId="0" applyBorder="1" applyAlignment="1">
      <alignment/>
    </xf>
    <xf numFmtId="0" fontId="8" fillId="0" borderId="0" xfId="61" applyFont="1">
      <alignment/>
      <protection/>
    </xf>
    <xf numFmtId="0" fontId="8" fillId="0" borderId="0" xfId="61" applyFont="1" applyFill="1">
      <alignment/>
      <protection/>
    </xf>
    <xf numFmtId="164" fontId="8" fillId="0" borderId="0" xfId="61" applyNumberFormat="1" applyFont="1">
      <alignment/>
      <protection/>
    </xf>
    <xf numFmtId="175" fontId="8" fillId="0" borderId="0" xfId="61" applyNumberFormat="1" applyFont="1" applyFill="1" applyBorder="1" applyProtection="1">
      <alignment/>
      <protection/>
    </xf>
    <xf numFmtId="0" fontId="8" fillId="0" borderId="0" xfId="61" applyFont="1" applyBorder="1">
      <alignment/>
      <protection/>
    </xf>
    <xf numFmtId="0" fontId="4" fillId="0" borderId="0" xfId="61" applyFont="1" applyBorder="1">
      <alignment/>
      <protection/>
    </xf>
    <xf numFmtId="164" fontId="30" fillId="0" borderId="0" xfId="61" applyNumberFormat="1" applyFont="1" applyFill="1" applyProtection="1">
      <alignment/>
      <protection/>
    </xf>
    <xf numFmtId="175" fontId="30" fillId="0" borderId="0" xfId="61" applyNumberFormat="1" applyFont="1" applyFill="1" applyProtection="1">
      <alignment/>
      <protection/>
    </xf>
    <xf numFmtId="5" fontId="30" fillId="0" borderId="0" xfId="61" applyNumberFormat="1" applyFont="1" applyProtection="1">
      <alignment/>
      <protection/>
    </xf>
    <xf numFmtId="164" fontId="30" fillId="0" borderId="0" xfId="61" applyNumberFormat="1" applyFont="1" applyFill="1" applyBorder="1" applyProtection="1">
      <alignment/>
      <protection/>
    </xf>
    <xf numFmtId="175" fontId="30" fillId="0" borderId="0" xfId="61" applyNumberFormat="1" applyFont="1" applyFill="1" applyBorder="1" applyProtection="1">
      <alignment/>
      <protection/>
    </xf>
    <xf numFmtId="17" fontId="17" fillId="0" borderId="0" xfId="61" applyNumberFormat="1" applyFont="1" applyFill="1" applyAlignment="1" applyProtection="1">
      <alignment horizontal="center"/>
      <protection/>
    </xf>
    <xf numFmtId="0" fontId="17" fillId="0" borderId="0" xfId="61" applyFont="1" applyAlignment="1" applyProtection="1">
      <alignment horizontal="center" wrapText="1"/>
      <protection/>
    </xf>
    <xf numFmtId="0" fontId="16" fillId="0" borderId="0" xfId="61" applyFont="1" applyAlignment="1">
      <alignment horizontal="centerContinuous"/>
      <protection/>
    </xf>
    <xf numFmtId="10" fontId="13" fillId="0" borderId="0" xfId="68" applyFont="1" applyAlignment="1">
      <alignment horizontal="centerContinuous"/>
      <protection/>
    </xf>
    <xf numFmtId="10" fontId="1" fillId="0" borderId="0" xfId="68" applyFont="1">
      <alignment/>
      <protection/>
    </xf>
    <xf numFmtId="10" fontId="1" fillId="0" borderId="0" xfId="68" applyFont="1" applyAlignment="1">
      <alignment horizontal="center"/>
      <protection/>
    </xf>
    <xf numFmtId="10" fontId="13" fillId="0" borderId="0" xfId="68" applyFont="1" applyAlignment="1">
      <alignment horizontal="center"/>
      <protection/>
    </xf>
    <xf numFmtId="10" fontId="13" fillId="0" borderId="0" xfId="68" applyFont="1" applyAlignment="1" applyProtection="1">
      <alignment horizontal="center"/>
      <protection/>
    </xf>
    <xf numFmtId="10" fontId="23" fillId="0" borderId="0" xfId="68" applyFont="1" applyAlignment="1" applyProtection="1">
      <alignment horizontal="center"/>
      <protection/>
    </xf>
    <xf numFmtId="10" fontId="1" fillId="0" borderId="0" xfId="68" applyFont="1" applyAlignment="1" applyProtection="1">
      <alignment horizontal="left"/>
      <protection/>
    </xf>
    <xf numFmtId="10" fontId="13" fillId="0" borderId="0" xfId="68" applyFont="1" applyAlignment="1" applyProtection="1">
      <alignment horizontal="left"/>
      <protection/>
    </xf>
    <xf numFmtId="10" fontId="13" fillId="0" borderId="0" xfId="68" applyFont="1">
      <alignment/>
      <protection/>
    </xf>
    <xf numFmtId="10" fontId="1" fillId="0" borderId="0" xfId="68" applyFont="1" applyBorder="1">
      <alignment/>
      <protection/>
    </xf>
    <xf numFmtId="0" fontId="16" fillId="0" borderId="0" xfId="69" applyFont="1" applyFill="1" applyBorder="1" applyAlignment="1" applyProtection="1" quotePrefix="1">
      <alignment horizontal="left"/>
      <protection/>
    </xf>
    <xf numFmtId="0" fontId="22" fillId="0" borderId="10" xfId="69" applyFont="1" applyFill="1" applyBorder="1" applyAlignment="1" applyProtection="1">
      <alignment horizontal="left"/>
      <protection/>
    </xf>
    <xf numFmtId="168" fontId="14" fillId="0" borderId="0" xfId="69" applyNumberFormat="1" applyFont="1" applyFill="1" applyAlignment="1">
      <alignment horizontal="left"/>
      <protection/>
    </xf>
    <xf numFmtId="15" fontId="14" fillId="0" borderId="0" xfId="69" applyNumberFormat="1" applyFont="1" applyFill="1" applyAlignment="1">
      <alignment horizontal="center"/>
      <protection/>
    </xf>
    <xf numFmtId="174" fontId="14" fillId="0" borderId="0" xfId="69" applyNumberFormat="1" applyFont="1" applyFill="1">
      <alignment/>
      <protection/>
    </xf>
    <xf numFmtId="15" fontId="29" fillId="0" borderId="0" xfId="69" applyNumberFormat="1" applyFont="1" applyBorder="1" applyAlignment="1">
      <alignment horizontal="left"/>
      <protection/>
    </xf>
    <xf numFmtId="0" fontId="20" fillId="0" borderId="0" xfId="69" applyFont="1">
      <alignment/>
      <protection/>
    </xf>
    <xf numFmtId="0" fontId="29" fillId="0" borderId="0" xfId="69" applyFont="1" applyAlignment="1" quotePrefix="1">
      <alignment horizontal="left"/>
      <protection/>
    </xf>
    <xf numFmtId="37" fontId="29" fillId="0" borderId="0" xfId="0" applyFont="1" applyBorder="1" applyAlignment="1">
      <alignment/>
    </xf>
    <xf numFmtId="37" fontId="20" fillId="0" borderId="0" xfId="0" applyFont="1" applyBorder="1" applyAlignment="1">
      <alignment/>
    </xf>
    <xf numFmtId="0" fontId="31" fillId="0" borderId="0" xfId="61" applyFont="1" applyAlignment="1" applyProtection="1">
      <alignment horizontal="center" wrapText="1"/>
      <protection/>
    </xf>
    <xf numFmtId="172" fontId="16" fillId="0" borderId="0" xfId="69" applyNumberFormat="1" applyFont="1" applyFill="1" applyAlignment="1">
      <alignment horizontal="left"/>
      <protection/>
    </xf>
    <xf numFmtId="39" fontId="0" fillId="0" borderId="0" xfId="0" applyNumberFormat="1" applyAlignment="1">
      <alignment/>
    </xf>
    <xf numFmtId="37" fontId="0" fillId="0" borderId="13" xfId="0" applyFont="1" applyBorder="1" applyAlignment="1">
      <alignment/>
    </xf>
    <xf numFmtId="37" fontId="16" fillId="0" borderId="0" xfId="0" applyFont="1" applyBorder="1" applyAlignment="1">
      <alignment horizontal="left"/>
    </xf>
    <xf numFmtId="37" fontId="22" fillId="0" borderId="0" xfId="64" applyFont="1" applyAlignment="1" applyProtection="1">
      <alignment horizontal="center"/>
      <protection/>
    </xf>
    <xf numFmtId="37" fontId="0" fillId="0" borderId="0" xfId="66" applyFont="1" applyBorder="1" applyAlignment="1" applyProtection="1">
      <alignment horizontal="left"/>
      <protection/>
    </xf>
    <xf numFmtId="1" fontId="14" fillId="0" borderId="0" xfId="68" applyNumberFormat="1" applyFont="1" applyAlignment="1" applyProtection="1">
      <alignment horizontal="center"/>
      <protection/>
    </xf>
    <xf numFmtId="37" fontId="16" fillId="0" borderId="0" xfId="64" applyFont="1" applyAlignment="1" applyProtection="1">
      <alignment horizontal="left"/>
      <protection/>
    </xf>
    <xf numFmtId="37" fontId="14" fillId="0" borderId="0" xfId="64" applyFont="1" applyAlignment="1" applyProtection="1">
      <alignment horizontal="left"/>
      <protection/>
    </xf>
    <xf numFmtId="37" fontId="0" fillId="0" borderId="0" xfId="65" applyNumberFormat="1" applyFont="1" applyAlignment="1">
      <alignment horizontal="center"/>
      <protection/>
    </xf>
    <xf numFmtId="37" fontId="33" fillId="0" borderId="0" xfId="65" applyFont="1">
      <alignment/>
      <protection/>
    </xf>
    <xf numFmtId="37" fontId="22" fillId="0" borderId="0" xfId="65" applyNumberFormat="1" applyFont="1">
      <alignment/>
      <protection/>
    </xf>
    <xf numFmtId="37" fontId="0" fillId="0" borderId="0" xfId="65" applyNumberFormat="1" applyFont="1">
      <alignment/>
      <protection/>
    </xf>
    <xf numFmtId="37" fontId="0" fillId="0" borderId="0" xfId="0" applyNumberFormat="1" applyFont="1" applyAlignment="1">
      <alignment/>
    </xf>
    <xf numFmtId="171" fontId="0" fillId="0" borderId="0" xfId="0" applyNumberFormat="1" applyFont="1" applyAlignment="1">
      <alignment/>
    </xf>
    <xf numFmtId="37" fontId="22" fillId="0" borderId="0" xfId="65" applyNumberFormat="1" applyFont="1" applyAlignment="1" applyProtection="1">
      <alignment horizontal="left"/>
      <protection/>
    </xf>
    <xf numFmtId="38" fontId="1" fillId="0" borderId="0" xfId="68" applyNumberFormat="1" applyFont="1">
      <alignment/>
      <protection/>
    </xf>
    <xf numFmtId="0" fontId="0" fillId="0" borderId="0" xfId="61" applyFont="1" applyAlignment="1" applyProtection="1">
      <alignment horizontal="left"/>
      <protection/>
    </xf>
    <xf numFmtId="0" fontId="0" fillId="0" borderId="0" xfId="61" applyFont="1">
      <alignment/>
      <protection/>
    </xf>
    <xf numFmtId="0" fontId="22" fillId="0" borderId="0" xfId="61" applyFont="1" applyAlignment="1" applyProtection="1">
      <alignment horizontal="left"/>
      <protection/>
    </xf>
    <xf numFmtId="0" fontId="22" fillId="0" borderId="0" xfId="61" applyFont="1" applyAlignment="1" applyProtection="1">
      <alignment horizontal="centerContinuous"/>
      <protection/>
    </xf>
    <xf numFmtId="0" fontId="33" fillId="0" borderId="0" xfId="61" applyFont="1" applyFill="1" applyAlignment="1">
      <alignment horizontal="centerContinuous"/>
      <protection/>
    </xf>
    <xf numFmtId="0" fontId="33" fillId="0" borderId="0" xfId="61" applyFont="1" applyAlignment="1">
      <alignment horizontal="centerContinuous"/>
      <protection/>
    </xf>
    <xf numFmtId="37" fontId="14" fillId="0" borderId="14" xfId="0" applyFont="1" applyBorder="1" applyAlignment="1">
      <alignment horizontal="centerContinuous"/>
    </xf>
    <xf numFmtId="7" fontId="14" fillId="0" borderId="0" xfId="45" applyNumberFormat="1" applyFont="1" applyBorder="1" applyAlignment="1">
      <alignment/>
    </xf>
    <xf numFmtId="5" fontId="14" fillId="0" borderId="0" xfId="69" applyNumberFormat="1" applyFont="1" applyProtection="1">
      <alignment/>
      <protection/>
    </xf>
    <xf numFmtId="37" fontId="0" fillId="0" borderId="15" xfId="0" applyBorder="1" applyAlignment="1">
      <alignment/>
    </xf>
    <xf numFmtId="37" fontId="0" fillId="0" borderId="16" xfId="0" applyBorder="1" applyAlignment="1">
      <alignment/>
    </xf>
    <xf numFmtId="37" fontId="0" fillId="0" borderId="17" xfId="0" applyBorder="1" applyAlignment="1">
      <alignment/>
    </xf>
    <xf numFmtId="37" fontId="0" fillId="0" borderId="18" xfId="0" applyBorder="1" applyAlignment="1">
      <alignment/>
    </xf>
    <xf numFmtId="37" fontId="0" fillId="0" borderId="0" xfId="65" applyNumberFormat="1" applyFont="1" applyAlignment="1" applyProtection="1">
      <alignment horizontal="centerContinuous"/>
      <protection/>
    </xf>
    <xf numFmtId="37" fontId="0" fillId="0" borderId="0" xfId="65" applyNumberFormat="1" applyFont="1" applyAlignment="1">
      <alignment horizontal="centerContinuous"/>
      <protection/>
    </xf>
    <xf numFmtId="37" fontId="0" fillId="0" borderId="0" xfId="0" applyNumberFormat="1" applyFont="1" applyAlignment="1">
      <alignment horizontal="centerContinuous"/>
    </xf>
    <xf numFmtId="166" fontId="0" fillId="0" borderId="0" xfId="65" applyNumberFormat="1" applyFont="1" applyFill="1" applyAlignment="1">
      <alignment horizontal="centerContinuous"/>
      <protection/>
    </xf>
    <xf numFmtId="166" fontId="0" fillId="0" borderId="0" xfId="0" applyNumberFormat="1" applyFont="1" applyFill="1" applyAlignment="1">
      <alignment horizontal="centerContinuous"/>
    </xf>
    <xf numFmtId="166" fontId="0" fillId="0" borderId="0" xfId="65" applyNumberFormat="1" applyFont="1" applyFill="1" applyAlignment="1" applyProtection="1">
      <alignment horizontal="centerContinuous"/>
      <protection/>
    </xf>
    <xf numFmtId="37" fontId="0" fillId="0" borderId="0" xfId="0" applyFont="1" applyAlignment="1">
      <alignment/>
    </xf>
    <xf numFmtId="14" fontId="0" fillId="0" borderId="0" xfId="0" applyNumberFormat="1" applyFont="1" applyBorder="1" applyAlignment="1">
      <alignment/>
    </xf>
    <xf numFmtId="37" fontId="22" fillId="0" borderId="0" xfId="0" applyFont="1" applyBorder="1" applyAlignment="1">
      <alignment/>
    </xf>
    <xf numFmtId="175" fontId="30" fillId="0" borderId="19" xfId="61" applyNumberFormat="1" applyFont="1" applyFill="1" applyBorder="1" applyProtection="1">
      <alignment/>
      <protection/>
    </xf>
    <xf numFmtId="164" fontId="30" fillId="0" borderId="19" xfId="61" applyNumberFormat="1" applyFont="1" applyFill="1" applyBorder="1" applyProtection="1">
      <alignment/>
      <protection/>
    </xf>
    <xf numFmtId="175" fontId="30" fillId="0" borderId="20" xfId="61" applyNumberFormat="1" applyFont="1" applyFill="1" applyBorder="1" applyProtection="1">
      <alignment/>
      <protection/>
    </xf>
    <xf numFmtId="5" fontId="1" fillId="0" borderId="0" xfId="42" applyNumberFormat="1" applyFont="1" applyAlignment="1" applyProtection="1">
      <alignment/>
      <protection/>
    </xf>
    <xf numFmtId="10" fontId="1" fillId="0" borderId="0" xfId="68" applyFont="1" applyAlignment="1" applyProtection="1">
      <alignment/>
      <protection/>
    </xf>
    <xf numFmtId="5" fontId="1" fillId="0" borderId="0" xfId="68" applyNumberFormat="1" applyFont="1" applyAlignment="1" applyProtection="1">
      <alignment/>
      <protection/>
    </xf>
    <xf numFmtId="10" fontId="1" fillId="0" borderId="0" xfId="68" applyFont="1" applyBorder="1" applyAlignment="1" applyProtection="1">
      <alignment/>
      <protection/>
    </xf>
    <xf numFmtId="5" fontId="1" fillId="0" borderId="0" xfId="68" applyNumberFormat="1" applyFont="1" applyAlignment="1">
      <alignment/>
      <protection/>
    </xf>
    <xf numFmtId="10" fontId="1" fillId="0" borderId="0" xfId="68" applyFont="1" applyAlignment="1">
      <alignment/>
      <protection/>
    </xf>
    <xf numFmtId="5" fontId="25" fillId="0" borderId="0" xfId="68" applyNumberFormat="1" applyFont="1" applyBorder="1" applyAlignment="1" applyProtection="1">
      <alignment/>
      <protection/>
    </xf>
    <xf numFmtId="165" fontId="1" fillId="0" borderId="0" xfId="68" applyNumberFormat="1" applyFont="1" applyBorder="1" applyAlignment="1" applyProtection="1">
      <alignment/>
      <protection/>
    </xf>
    <xf numFmtId="10" fontId="1" fillId="0" borderId="0" xfId="68" applyFont="1" applyBorder="1" applyAlignment="1">
      <alignment/>
      <protection/>
    </xf>
    <xf numFmtId="5" fontId="32" fillId="0" borderId="0" xfId="68" applyNumberFormat="1" applyFont="1" applyBorder="1" applyAlignment="1" applyProtection="1">
      <alignment/>
      <protection/>
    </xf>
    <xf numFmtId="10" fontId="32" fillId="0" borderId="0" xfId="68" applyFont="1" applyBorder="1" applyAlignment="1">
      <alignment/>
      <protection/>
    </xf>
    <xf numFmtId="5" fontId="30" fillId="0" borderId="0" xfId="61" applyNumberFormat="1" applyFont="1" applyFill="1" applyProtection="1">
      <alignment/>
      <protection/>
    </xf>
    <xf numFmtId="37" fontId="0" fillId="0" borderId="0" xfId="65" applyNumberFormat="1" applyFont="1" applyAlignment="1">
      <alignment horizontal="right"/>
      <protection/>
    </xf>
    <xf numFmtId="37" fontId="35" fillId="0" borderId="0" xfId="64" applyFont="1" applyAlignment="1" applyProtection="1">
      <alignment horizontal="center"/>
      <protection/>
    </xf>
    <xf numFmtId="37" fontId="30" fillId="0" borderId="0" xfId="61" applyNumberFormat="1" applyFont="1" applyFill="1" applyProtection="1">
      <alignment/>
      <protection/>
    </xf>
    <xf numFmtId="10" fontId="1" fillId="0" borderId="0" xfId="68" applyNumberFormat="1" applyFont="1" applyAlignment="1" applyProtection="1">
      <alignment/>
      <protection/>
    </xf>
    <xf numFmtId="10" fontId="0" fillId="0" borderId="0" xfId="0" applyNumberFormat="1" applyFont="1" applyAlignment="1">
      <alignment/>
    </xf>
    <xf numFmtId="37" fontId="16" fillId="0" borderId="0" xfId="0" applyFont="1" applyFill="1" applyBorder="1" applyAlignment="1">
      <alignment horizontal="left"/>
    </xf>
    <xf numFmtId="37" fontId="14" fillId="0" borderId="15" xfId="0" applyFont="1" applyBorder="1" applyAlignment="1">
      <alignment horizontal="centerContinuous"/>
    </xf>
    <xf numFmtId="37" fontId="16" fillId="0" borderId="16" xfId="0" applyFont="1" applyFill="1" applyBorder="1" applyAlignment="1">
      <alignment horizontal="left"/>
    </xf>
    <xf numFmtId="170" fontId="14" fillId="0" borderId="17" xfId="42" applyNumberFormat="1" applyFont="1" applyBorder="1" applyAlignment="1">
      <alignment/>
    </xf>
    <xf numFmtId="37" fontId="22" fillId="0" borderId="17" xfId="0" applyFont="1" applyBorder="1" applyAlignment="1">
      <alignment/>
    </xf>
    <xf numFmtId="37" fontId="0" fillId="0" borderId="21" xfId="0" applyBorder="1" applyAlignment="1">
      <alignment/>
    </xf>
    <xf numFmtId="37" fontId="16" fillId="0" borderId="18" xfId="0" applyFont="1" applyFill="1" applyBorder="1" applyAlignment="1">
      <alignment horizontal="left"/>
    </xf>
    <xf numFmtId="7" fontId="14" fillId="0" borderId="18" xfId="45" applyNumberFormat="1" applyFont="1" applyBorder="1" applyAlignment="1">
      <alignment/>
    </xf>
    <xf numFmtId="10" fontId="13" fillId="0" borderId="0" xfId="64" applyNumberFormat="1" applyFont="1" applyProtection="1">
      <alignment/>
      <protection/>
    </xf>
    <xf numFmtId="37" fontId="0" fillId="0" borderId="0" xfId="64" applyFont="1" applyAlignment="1" applyProtection="1">
      <alignment horizontal="center"/>
      <protection/>
    </xf>
    <xf numFmtId="1" fontId="0" fillId="0" borderId="0" xfId="68" applyNumberFormat="1" applyFont="1" applyAlignment="1" applyProtection="1">
      <alignment horizontal="center"/>
      <protection/>
    </xf>
    <xf numFmtId="5" fontId="1" fillId="0" borderId="0" xfId="68" applyNumberFormat="1" applyFont="1">
      <alignment/>
      <protection/>
    </xf>
    <xf numFmtId="10" fontId="4" fillId="0" borderId="0" xfId="68" applyFont="1" applyBorder="1">
      <alignment/>
      <protection/>
    </xf>
    <xf numFmtId="1" fontId="14" fillId="0" borderId="0" xfId="68" applyNumberFormat="1" applyFont="1" applyFill="1" applyAlignment="1" applyProtection="1">
      <alignment horizontal="center"/>
      <protection/>
    </xf>
    <xf numFmtId="164" fontId="30" fillId="0" borderId="22" xfId="61" applyNumberFormat="1" applyFont="1" applyFill="1" applyBorder="1" applyProtection="1">
      <alignment/>
      <protection/>
    </xf>
    <xf numFmtId="17" fontId="42" fillId="0" borderId="0" xfId="61" applyNumberFormat="1" applyFont="1" applyFill="1" applyAlignment="1" applyProtection="1">
      <alignment horizontal="center"/>
      <protection/>
    </xf>
    <xf numFmtId="175" fontId="41" fillId="0" borderId="0" xfId="61" applyNumberFormat="1" applyFont="1" applyFill="1" applyBorder="1" applyProtection="1">
      <alignment/>
      <protection/>
    </xf>
    <xf numFmtId="164" fontId="0" fillId="0" borderId="0" xfId="61" applyNumberFormat="1" applyFont="1" applyFill="1" applyBorder="1" applyProtection="1">
      <alignment/>
      <protection/>
    </xf>
    <xf numFmtId="0" fontId="16" fillId="0" borderId="0" xfId="69" applyFont="1" applyFill="1" applyBorder="1" applyAlignment="1" applyProtection="1" quotePrefix="1">
      <alignment horizontal="centerContinuous" vertical="center" wrapText="1"/>
      <protection/>
    </xf>
    <xf numFmtId="172" fontId="42" fillId="0" borderId="0" xfId="69" applyNumberFormat="1" applyFont="1" applyFill="1" applyBorder="1" applyAlignment="1" applyProtection="1" quotePrefix="1">
      <alignment horizontal="centerContinuous" vertical="center" wrapText="1"/>
      <protection/>
    </xf>
    <xf numFmtId="168" fontId="14" fillId="0" borderId="0" xfId="73" applyNumberFormat="1" applyFont="1" applyAlignment="1">
      <alignment/>
    </xf>
    <xf numFmtId="178" fontId="14" fillId="0" borderId="0" xfId="73" applyNumberFormat="1" applyFont="1" applyAlignment="1">
      <alignment/>
    </xf>
    <xf numFmtId="37" fontId="14" fillId="0" borderId="16" xfId="0" applyFont="1" applyFill="1" applyBorder="1" applyAlignment="1">
      <alignment/>
    </xf>
    <xf numFmtId="37" fontId="14" fillId="0" borderId="0" xfId="0" applyFont="1" applyFill="1" applyBorder="1" applyAlignment="1">
      <alignment/>
    </xf>
    <xf numFmtId="44" fontId="19" fillId="0" borderId="0" xfId="45" applyFont="1" applyFill="1" applyBorder="1" applyAlignment="1">
      <alignment/>
    </xf>
    <xf numFmtId="167" fontId="19" fillId="0" borderId="0" xfId="0" applyNumberFormat="1" applyFont="1" applyFill="1" applyBorder="1" applyAlignment="1">
      <alignment/>
    </xf>
    <xf numFmtId="37" fontId="14" fillId="0" borderId="18" xfId="0" applyFont="1" applyFill="1" applyBorder="1" applyAlignment="1">
      <alignment/>
    </xf>
    <xf numFmtId="170" fontId="14" fillId="0" borderId="0" xfId="42" applyNumberFormat="1" applyFont="1" applyFill="1" applyBorder="1" applyAlignment="1">
      <alignment/>
    </xf>
    <xf numFmtId="168" fontId="26" fillId="0" borderId="0" xfId="64" applyNumberFormat="1" applyFont="1" applyProtection="1">
      <alignment/>
      <protection/>
    </xf>
    <xf numFmtId="168" fontId="26" fillId="0" borderId="0" xfId="64" applyNumberFormat="1" applyFont="1">
      <alignment/>
      <protection/>
    </xf>
    <xf numFmtId="37" fontId="14" fillId="0" borderId="0" xfId="0" applyFont="1" applyFill="1" applyBorder="1" applyAlignment="1">
      <alignment horizontal="center"/>
    </xf>
    <xf numFmtId="37" fontId="18" fillId="0" borderId="0" xfId="0" applyFont="1" applyFill="1" applyBorder="1" applyAlignment="1">
      <alignment horizontal="center"/>
    </xf>
    <xf numFmtId="10" fontId="22" fillId="2" borderId="23" xfId="65" applyNumberFormat="1" applyFont="1" applyFill="1" applyBorder="1" applyProtection="1">
      <alignment/>
      <protection/>
    </xf>
    <xf numFmtId="10" fontId="13" fillId="2" borderId="23" xfId="64" applyNumberFormat="1" applyFont="1" applyFill="1" applyBorder="1" applyAlignment="1" applyProtection="1">
      <alignment horizontal="center"/>
      <protection/>
    </xf>
    <xf numFmtId="175" fontId="31" fillId="2" borderId="23" xfId="61" applyNumberFormat="1" applyFont="1" applyFill="1" applyBorder="1" applyProtection="1">
      <alignment/>
      <protection/>
    </xf>
    <xf numFmtId="164" fontId="31" fillId="2" borderId="23" xfId="61" applyNumberFormat="1" applyFont="1" applyFill="1" applyBorder="1" applyProtection="1">
      <alignment/>
      <protection/>
    </xf>
    <xf numFmtId="37" fontId="14" fillId="0" borderId="0" xfId="0" applyFont="1" applyBorder="1" applyAlignment="1">
      <alignment horizontal="center"/>
    </xf>
    <xf numFmtId="37" fontId="11" fillId="0" borderId="0" xfId="65" applyFont="1" applyAlignment="1">
      <alignment horizontal="center"/>
      <protection/>
    </xf>
    <xf numFmtId="37" fontId="34" fillId="0" borderId="0" xfId="0" applyFont="1" applyAlignment="1">
      <alignment horizontal="right"/>
    </xf>
    <xf numFmtId="0" fontId="22" fillId="0" borderId="0" xfId="69" applyFont="1" applyFill="1" applyBorder="1" applyAlignment="1" applyProtection="1">
      <alignment horizontal="center" wrapText="1"/>
      <protection/>
    </xf>
    <xf numFmtId="37" fontId="22" fillId="0" borderId="0" xfId="0" applyFont="1" applyFill="1" applyBorder="1" applyAlignment="1">
      <alignment/>
    </xf>
    <xf numFmtId="0" fontId="45" fillId="0" borderId="0" xfId="69" applyFont="1">
      <alignment/>
      <protection/>
    </xf>
    <xf numFmtId="0" fontId="8" fillId="0" borderId="0" xfId="61" applyFont="1" applyFill="1" applyBorder="1">
      <alignment/>
      <protection/>
    </xf>
    <xf numFmtId="37" fontId="8" fillId="0" borderId="0" xfId="61" applyNumberFormat="1" applyFont="1" applyFill="1" applyBorder="1">
      <alignment/>
      <protection/>
    </xf>
    <xf numFmtId="10" fontId="32" fillId="0" borderId="0" xfId="68" applyNumberFormat="1" applyFont="1" applyBorder="1" applyAlignment="1" applyProtection="1">
      <alignment/>
      <protection/>
    </xf>
    <xf numFmtId="0" fontId="0" fillId="0" borderId="12" xfId="61" applyFont="1" applyBorder="1" applyAlignment="1" applyProtection="1">
      <alignment horizontal="left"/>
      <protection/>
    </xf>
    <xf numFmtId="0" fontId="0" fillId="0" borderId="0" xfId="61" applyFont="1" applyBorder="1" applyAlignment="1" applyProtection="1">
      <alignment horizontal="left"/>
      <protection/>
    </xf>
    <xf numFmtId="175" fontId="0" fillId="0" borderId="12" xfId="61" applyNumberFormat="1" applyFont="1" applyFill="1" applyBorder="1" applyProtection="1">
      <alignment/>
      <protection/>
    </xf>
    <xf numFmtId="0" fontId="0" fillId="0" borderId="0" xfId="61" applyFont="1" applyBorder="1" applyAlignment="1" applyProtection="1">
      <alignment horizontal="left" indent="1"/>
      <protection/>
    </xf>
    <xf numFmtId="0" fontId="0" fillId="0" borderId="12" xfId="61" applyFont="1" applyBorder="1" applyAlignment="1" applyProtection="1">
      <alignment horizontal="left" indent="2"/>
      <protection/>
    </xf>
    <xf numFmtId="37" fontId="16" fillId="0" borderId="0" xfId="65" applyNumberFormat="1" applyFont="1" applyAlignment="1" applyProtection="1">
      <alignment horizontal="centerContinuous"/>
      <protection/>
    </xf>
    <xf numFmtId="0" fontId="16" fillId="0" borderId="0" xfId="69" applyFont="1" applyFill="1" applyAlignment="1" applyProtection="1">
      <alignment horizontal="left"/>
      <protection/>
    </xf>
    <xf numFmtId="0" fontId="5" fillId="0" borderId="0" xfId="69" applyFont="1" applyFill="1">
      <alignment/>
      <protection/>
    </xf>
    <xf numFmtId="1" fontId="14" fillId="0" borderId="0" xfId="69" applyNumberFormat="1" applyFont="1" applyFill="1" applyAlignment="1" applyProtection="1">
      <alignment horizontal="center"/>
      <protection/>
    </xf>
    <xf numFmtId="0" fontId="5" fillId="0" borderId="0" xfId="69" applyFont="1" applyAlignment="1">
      <alignment horizontal="center"/>
      <protection/>
    </xf>
    <xf numFmtId="37" fontId="4" fillId="0" borderId="0" xfId="68" applyNumberFormat="1" applyFont="1">
      <alignment/>
      <protection/>
    </xf>
    <xf numFmtId="37" fontId="18" fillId="0" borderId="0" xfId="0" applyFont="1" applyAlignment="1">
      <alignment/>
    </xf>
    <xf numFmtId="37" fontId="14" fillId="0" borderId="0" xfId="0" applyFont="1" applyAlignment="1">
      <alignment horizontal="center"/>
    </xf>
    <xf numFmtId="167" fontId="4" fillId="0" borderId="0" xfId="68" applyNumberFormat="1" applyFont="1">
      <alignment/>
      <protection/>
    </xf>
    <xf numFmtId="10" fontId="7" fillId="0" borderId="0" xfId="68" applyFont="1">
      <alignment/>
      <protection/>
    </xf>
    <xf numFmtId="14" fontId="14" fillId="0" borderId="16" xfId="0" applyNumberFormat="1" applyFont="1" applyFill="1" applyBorder="1" applyAlignment="1">
      <alignment/>
    </xf>
    <xf numFmtId="10" fontId="32" fillId="0" borderId="0" xfId="68" applyNumberFormat="1" applyFont="1" applyFill="1" applyBorder="1" applyAlignment="1" applyProtection="1">
      <alignment/>
      <protection/>
    </xf>
    <xf numFmtId="10" fontId="22" fillId="0" borderId="0" xfId="65" applyNumberFormat="1" applyFont="1" applyFill="1" applyBorder="1" applyProtection="1">
      <alignment/>
      <protection/>
    </xf>
    <xf numFmtId="175" fontId="31" fillId="0" borderId="19" xfId="61" applyNumberFormat="1" applyFont="1" applyFill="1" applyBorder="1" applyProtection="1">
      <alignment/>
      <protection/>
    </xf>
    <xf numFmtId="164" fontId="31" fillId="0" borderId="24" xfId="61" applyNumberFormat="1" applyFont="1" applyFill="1" applyBorder="1" applyProtection="1">
      <alignment/>
      <protection/>
    </xf>
    <xf numFmtId="0" fontId="22" fillId="0" borderId="0" xfId="69" applyFont="1" applyFill="1" applyAlignment="1" applyProtection="1">
      <alignment horizontal="center"/>
      <protection/>
    </xf>
    <xf numFmtId="0" fontId="22" fillId="0" borderId="0" xfId="69" applyFont="1" applyFill="1" applyAlignment="1">
      <alignment horizontal="center"/>
      <protection/>
    </xf>
    <xf numFmtId="10" fontId="43" fillId="0" borderId="0" xfId="68" applyFont="1" applyBorder="1">
      <alignment/>
      <protection/>
    </xf>
    <xf numFmtId="37" fontId="4" fillId="0" borderId="0" xfId="68" applyNumberFormat="1" applyFont="1" applyBorder="1">
      <alignment/>
      <protection/>
    </xf>
    <xf numFmtId="182" fontId="24" fillId="0" borderId="0" xfId="68" applyNumberFormat="1" applyFont="1" applyBorder="1" applyAlignment="1">
      <alignment horizontal="center"/>
      <protection/>
    </xf>
    <xf numFmtId="37" fontId="1" fillId="0" borderId="0" xfId="68" applyNumberFormat="1" applyFont="1" applyBorder="1" applyAlignment="1">
      <alignment horizontal="center"/>
      <protection/>
    </xf>
    <xf numFmtId="10" fontId="24" fillId="0" borderId="0" xfId="68" applyFont="1" applyBorder="1" applyAlignment="1" applyProtection="1">
      <alignment/>
      <protection/>
    </xf>
    <xf numFmtId="10" fontId="1" fillId="0" borderId="0" xfId="68" applyNumberFormat="1" applyFont="1" applyBorder="1" applyAlignment="1" applyProtection="1">
      <alignment/>
      <protection/>
    </xf>
    <xf numFmtId="181" fontId="39" fillId="0" borderId="0" xfId="68" applyNumberFormat="1" applyFont="1" applyBorder="1" applyAlignment="1" applyProtection="1">
      <alignment horizontal="centerContinuous" vertical="center" wrapText="1"/>
      <protection/>
    </xf>
    <xf numFmtId="166" fontId="16" fillId="0" borderId="0" xfId="0" applyNumberFormat="1" applyFont="1" applyFill="1" applyBorder="1" applyAlignment="1">
      <alignment horizontal="centerContinuous" vertical="center" wrapText="1"/>
    </xf>
    <xf numFmtId="37" fontId="14" fillId="0" borderId="0" xfId="0" applyFont="1" applyFill="1" applyBorder="1" applyAlignment="1">
      <alignment horizontal="centerContinuous" vertical="center" wrapText="1"/>
    </xf>
    <xf numFmtId="37" fontId="14" fillId="0" borderId="0" xfId="0" applyFont="1" applyBorder="1" applyAlignment="1">
      <alignment horizontal="left" vertical="center" wrapText="1"/>
    </xf>
    <xf numFmtId="5" fontId="14" fillId="0" borderId="0" xfId="45" applyNumberFormat="1" applyFont="1" applyFill="1" applyBorder="1" applyAlignment="1">
      <alignment/>
    </xf>
    <xf numFmtId="179" fontId="30" fillId="0" borderId="0" xfId="61" applyNumberFormat="1" applyFont="1" applyFill="1" applyProtection="1">
      <alignment/>
      <protection/>
    </xf>
    <xf numFmtId="37" fontId="22" fillId="0" borderId="0" xfId="64" applyFont="1" applyAlignment="1" applyProtection="1" quotePrefix="1">
      <alignment horizontal="center"/>
      <protection/>
    </xf>
    <xf numFmtId="14" fontId="16" fillId="0" borderId="16" xfId="0" applyNumberFormat="1" applyFont="1" applyFill="1" applyBorder="1" applyAlignment="1">
      <alignment/>
    </xf>
    <xf numFmtId="14" fontId="14" fillId="0" borderId="16" xfId="0" applyNumberFormat="1" applyFont="1" applyFill="1" applyBorder="1" applyAlignment="1">
      <alignment horizontal="left" indent="1"/>
    </xf>
    <xf numFmtId="0" fontId="16" fillId="0" borderId="0" xfId="69" applyFont="1" applyAlignment="1" applyProtection="1">
      <alignment horizontal="left"/>
      <protection/>
    </xf>
    <xf numFmtId="181" fontId="13" fillId="0" borderId="0" xfId="68" applyNumberFormat="1" applyFont="1" applyBorder="1" applyAlignment="1" applyProtection="1">
      <alignment horizontal="centerContinuous" vertical="center" wrapText="1"/>
      <protection/>
    </xf>
    <xf numFmtId="181" fontId="16" fillId="0" borderId="0" xfId="65" applyNumberFormat="1" applyFont="1" applyFill="1" applyAlignment="1" applyProtection="1">
      <alignment horizontal="centerContinuous"/>
      <protection/>
    </xf>
    <xf numFmtId="168" fontId="14" fillId="0" borderId="0" xfId="0" applyNumberFormat="1" applyFont="1" applyFill="1" applyBorder="1" applyAlignment="1">
      <alignment horizontal="center"/>
    </xf>
    <xf numFmtId="183" fontId="30" fillId="0" borderId="0" xfId="61" applyNumberFormat="1" applyFont="1" applyFill="1" applyProtection="1">
      <alignment/>
      <protection/>
    </xf>
    <xf numFmtId="5" fontId="33" fillId="0" borderId="0" xfId="65" applyNumberFormat="1" applyFont="1" applyFill="1">
      <alignment/>
      <protection/>
    </xf>
    <xf numFmtId="5" fontId="4" fillId="0" borderId="0" xfId="65" applyNumberFormat="1" applyFont="1" applyFill="1">
      <alignment/>
      <protection/>
    </xf>
    <xf numFmtId="175" fontId="0" fillId="0" borderId="0" xfId="61" applyNumberFormat="1" applyFont="1" applyFill="1" applyProtection="1">
      <alignment/>
      <protection/>
    </xf>
    <xf numFmtId="175" fontId="22" fillId="0" borderId="0" xfId="61" applyNumberFormat="1" applyFont="1" applyFill="1" applyProtection="1">
      <alignment/>
      <protection/>
    </xf>
    <xf numFmtId="5" fontId="44" fillId="0" borderId="0" xfId="62" applyNumberFormat="1" applyFont="1" applyBorder="1" applyProtection="1">
      <alignment/>
      <protection/>
    </xf>
    <xf numFmtId="37" fontId="44" fillId="0" borderId="0" xfId="0" applyFont="1" applyAlignment="1">
      <alignment/>
    </xf>
    <xf numFmtId="175" fontId="0" fillId="0" borderId="0" xfId="61" applyNumberFormat="1" applyFont="1" applyFill="1" applyBorder="1" applyProtection="1">
      <alignment/>
      <protection/>
    </xf>
    <xf numFmtId="37" fontId="0" fillId="0" borderId="0" xfId="0" applyFont="1" applyFill="1" applyBorder="1" applyAlignment="1">
      <alignment/>
    </xf>
    <xf numFmtId="37" fontId="14" fillId="0" borderId="0" xfId="0" applyNumberFormat="1" applyFont="1" applyFill="1" applyBorder="1" applyAlignment="1">
      <alignment horizontal="center"/>
    </xf>
    <xf numFmtId="37" fontId="0" fillId="0" borderId="0" xfId="0" applyFont="1" applyFill="1" applyBorder="1" applyAlignment="1">
      <alignment/>
    </xf>
    <xf numFmtId="170" fontId="14" fillId="0" borderId="0" xfId="45" applyNumberFormat="1" applyFont="1" applyBorder="1" applyAlignment="1">
      <alignment/>
    </xf>
    <xf numFmtId="14" fontId="14" fillId="0" borderId="0" xfId="0" applyNumberFormat="1" applyFont="1" applyFill="1" applyBorder="1" applyAlignment="1">
      <alignment/>
    </xf>
    <xf numFmtId="37" fontId="0" fillId="0" borderId="0" xfId="0" applyFont="1" applyAlignment="1">
      <alignment/>
    </xf>
    <xf numFmtId="168" fontId="0" fillId="0" borderId="0" xfId="0" applyNumberFormat="1" applyFont="1" applyAlignment="1">
      <alignment/>
    </xf>
    <xf numFmtId="17" fontId="0" fillId="0" borderId="0" xfId="0" applyNumberFormat="1" applyFont="1" applyAlignment="1">
      <alignment horizontal="center"/>
    </xf>
    <xf numFmtId="39" fontId="0" fillId="0" borderId="0" xfId="0" applyNumberFormat="1" applyFont="1" applyFill="1" applyAlignment="1">
      <alignment horizontal="center"/>
    </xf>
    <xf numFmtId="37" fontId="0" fillId="0" borderId="0" xfId="65" applyNumberFormat="1" applyFont="1" applyAlignment="1" applyProtection="1">
      <alignment/>
      <protection/>
    </xf>
    <xf numFmtId="17" fontId="0" fillId="0" borderId="0" xfId="65" applyNumberFormat="1" applyFont="1" applyProtection="1">
      <alignment/>
      <protection/>
    </xf>
    <xf numFmtId="17" fontId="0" fillId="0" borderId="0" xfId="65" applyNumberFormat="1" applyFont="1" applyAlignment="1" applyProtection="1">
      <alignment horizontal="center"/>
      <protection/>
    </xf>
    <xf numFmtId="171" fontId="0" fillId="0" borderId="0" xfId="0" applyNumberFormat="1" applyFont="1" applyFill="1" applyAlignment="1">
      <alignment horizontal="center"/>
    </xf>
    <xf numFmtId="175" fontId="22" fillId="0" borderId="12" xfId="61" applyNumberFormat="1" applyFont="1" applyFill="1" applyBorder="1" applyProtection="1">
      <alignment/>
      <protection/>
    </xf>
    <xf numFmtId="171" fontId="0" fillId="0" borderId="0" xfId="0" applyNumberFormat="1" applyFont="1" applyFill="1" applyAlignment="1">
      <alignment/>
    </xf>
    <xf numFmtId="175" fontId="22" fillId="0" borderId="0" xfId="61" applyNumberFormat="1" applyFont="1" applyFill="1" applyBorder="1" applyProtection="1">
      <alignment/>
      <protection/>
    </xf>
    <xf numFmtId="2" fontId="0" fillId="0" borderId="0" xfId="0" applyNumberFormat="1" applyFont="1" applyFill="1" applyBorder="1" applyAlignment="1">
      <alignment horizontal="center"/>
    </xf>
    <xf numFmtId="175" fontId="22" fillId="0" borderId="25" xfId="61" applyNumberFormat="1" applyFont="1" applyFill="1" applyBorder="1" applyProtection="1">
      <alignment/>
      <protection/>
    </xf>
    <xf numFmtId="37" fontId="0" fillId="0" borderId="0" xfId="65" applyNumberFormat="1" applyFont="1">
      <alignment/>
      <protection/>
    </xf>
    <xf numFmtId="37" fontId="0" fillId="0" borderId="0" xfId="65" applyNumberFormat="1" applyFont="1" applyAlignment="1">
      <alignment horizontal="right"/>
      <protection/>
    </xf>
    <xf numFmtId="175" fontId="0" fillId="0" borderId="0" xfId="61" applyNumberFormat="1" applyFont="1" applyFill="1" applyProtection="1">
      <alignment/>
      <protection/>
    </xf>
    <xf numFmtId="37" fontId="4" fillId="0" borderId="0" xfId="65" applyFont="1" applyFill="1">
      <alignment/>
      <protection/>
    </xf>
    <xf numFmtId="37" fontId="0" fillId="0" borderId="0" xfId="0" applyNumberFormat="1" applyFont="1" applyFill="1" applyAlignment="1">
      <alignment/>
    </xf>
    <xf numFmtId="15" fontId="14" fillId="0" borderId="0" xfId="69" applyNumberFormat="1" applyFont="1" applyFill="1" applyAlignment="1">
      <alignment horizontal="right"/>
      <protection/>
    </xf>
    <xf numFmtId="5" fontId="14" fillId="0" borderId="0" xfId="69" applyNumberFormat="1" applyFont="1" applyFill="1">
      <alignment/>
      <protection/>
    </xf>
    <xf numFmtId="168" fontId="14" fillId="0" borderId="0" xfId="69" applyNumberFormat="1" applyFont="1" applyFill="1" applyAlignment="1" applyProtection="1">
      <alignment horizontal="left"/>
      <protection/>
    </xf>
    <xf numFmtId="15" fontId="14" fillId="0" borderId="0" xfId="69" applyNumberFormat="1" applyFont="1" applyFill="1" applyAlignment="1" applyProtection="1">
      <alignment horizontal="center"/>
      <protection/>
    </xf>
    <xf numFmtId="5" fontId="18" fillId="0" borderId="0" xfId="69" applyNumberFormat="1" applyFont="1" applyFill="1">
      <alignment/>
      <protection/>
    </xf>
    <xf numFmtId="174" fontId="14" fillId="0" borderId="0" xfId="69" applyNumberFormat="1" applyFont="1" applyFill="1">
      <alignment/>
      <protection/>
    </xf>
    <xf numFmtId="5" fontId="16" fillId="0" borderId="25" xfId="69" applyNumberFormat="1" applyFont="1" applyFill="1" applyBorder="1" applyAlignment="1" applyProtection="1">
      <alignment horizontal="right"/>
      <protection/>
    </xf>
    <xf numFmtId="43" fontId="41" fillId="0" borderId="0" xfId="61" applyNumberFormat="1" applyFont="1" applyFill="1" applyProtection="1">
      <alignment/>
      <protection/>
    </xf>
    <xf numFmtId="164" fontId="30" fillId="0" borderId="26" xfId="61" applyNumberFormat="1" applyFont="1" applyFill="1" applyBorder="1" applyProtection="1">
      <alignment/>
      <protection/>
    </xf>
    <xf numFmtId="175" fontId="30" fillId="0" borderId="10" xfId="61" applyNumberFormat="1" applyFont="1" applyFill="1" applyBorder="1" applyProtection="1">
      <alignment/>
      <protection/>
    </xf>
    <xf numFmtId="164" fontId="30" fillId="0" borderId="25" xfId="61" applyNumberFormat="1" applyFont="1" applyFill="1" applyBorder="1" applyProtection="1">
      <alignment/>
      <protection/>
    </xf>
    <xf numFmtId="165" fontId="30" fillId="0" borderId="0" xfId="61" applyNumberFormat="1" applyFont="1" applyFill="1" applyProtection="1">
      <alignment/>
      <protection/>
    </xf>
    <xf numFmtId="165" fontId="30" fillId="0" borderId="19" xfId="61" applyNumberFormat="1" applyFont="1" applyFill="1" applyBorder="1" applyProtection="1">
      <alignment/>
      <protection/>
    </xf>
    <xf numFmtId="165" fontId="30" fillId="0" borderId="10" xfId="61" applyNumberFormat="1" applyFont="1" applyFill="1" applyBorder="1" applyProtection="1">
      <alignment/>
      <protection/>
    </xf>
    <xf numFmtId="165" fontId="30" fillId="0" borderId="20" xfId="61" applyNumberFormat="1" applyFont="1" applyFill="1" applyBorder="1" applyProtection="1">
      <alignment/>
      <protection/>
    </xf>
    <xf numFmtId="0" fontId="30" fillId="0" borderId="0" xfId="61" applyFont="1" applyFill="1">
      <alignment/>
      <protection/>
    </xf>
    <xf numFmtId="37" fontId="22" fillId="0" borderId="0" xfId="64" applyFont="1" applyFill="1" applyAlignment="1" applyProtection="1">
      <alignment horizontal="center"/>
      <protection/>
    </xf>
    <xf numFmtId="10" fontId="30" fillId="0" borderId="0" xfId="61" applyNumberFormat="1" applyFont="1" applyFill="1">
      <alignment/>
      <protection/>
    </xf>
    <xf numFmtId="165" fontId="30" fillId="0" borderId="0" xfId="61" applyNumberFormat="1" applyFont="1" applyFill="1">
      <alignment/>
      <protection/>
    </xf>
    <xf numFmtId="0" fontId="30" fillId="0" borderId="19" xfId="61" applyFont="1" applyFill="1" applyBorder="1">
      <alignment/>
      <protection/>
    </xf>
    <xf numFmtId="165" fontId="30" fillId="0" borderId="27" xfId="61" applyNumberFormat="1" applyFont="1" applyFill="1" applyBorder="1" applyProtection="1">
      <alignment/>
      <protection/>
    </xf>
    <xf numFmtId="10" fontId="30" fillId="0" borderId="27" xfId="61" applyNumberFormat="1" applyFont="1" applyFill="1" applyBorder="1" applyProtection="1">
      <alignment/>
      <protection/>
    </xf>
    <xf numFmtId="165" fontId="30" fillId="0" borderId="28" xfId="61" applyNumberFormat="1" applyFont="1" applyFill="1" applyBorder="1" applyProtection="1">
      <alignment/>
      <protection/>
    </xf>
    <xf numFmtId="164" fontId="41" fillId="0" borderId="0" xfId="61" applyNumberFormat="1" applyFont="1" applyFill="1" applyBorder="1" applyProtection="1">
      <alignment/>
      <protection/>
    </xf>
    <xf numFmtId="164" fontId="0" fillId="0" borderId="12" xfId="61" applyNumberFormat="1" applyFont="1" applyFill="1" applyBorder="1" applyProtection="1">
      <alignment/>
      <protection/>
    </xf>
    <xf numFmtId="0" fontId="30" fillId="0" borderId="0" xfId="61" applyFont="1" applyFill="1" applyBorder="1">
      <alignment/>
      <protection/>
    </xf>
    <xf numFmtId="37" fontId="11" fillId="0" borderId="0" xfId="65" applyFont="1" applyAlignment="1">
      <alignment horizontal="right"/>
      <protection/>
    </xf>
    <xf numFmtId="181" fontId="14" fillId="0" borderId="0" xfId="0" applyNumberFormat="1" applyFont="1" applyBorder="1" applyAlignment="1">
      <alignment horizontal="left"/>
    </xf>
    <xf numFmtId="5" fontId="44" fillId="0" borderId="0" xfId="45" applyNumberFormat="1" applyFont="1" applyFill="1" applyBorder="1" applyAlignment="1">
      <alignment/>
    </xf>
    <xf numFmtId="180" fontId="44" fillId="0" borderId="0" xfId="0" applyNumberFormat="1" applyFont="1" applyFill="1" applyBorder="1" applyAlignment="1">
      <alignment/>
    </xf>
    <xf numFmtId="169" fontId="44" fillId="0" borderId="0" xfId="0" applyNumberFormat="1" applyFont="1" applyFill="1" applyBorder="1" applyAlignment="1">
      <alignment/>
    </xf>
    <xf numFmtId="10" fontId="44"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37" fontId="0" fillId="0" borderId="0" xfId="0" applyFill="1" applyBorder="1" applyAlignment="1">
      <alignment/>
    </xf>
    <xf numFmtId="37" fontId="1" fillId="0" borderId="0" xfId="64" applyFont="1" applyAlignment="1">
      <alignment horizontal="left" indent="1"/>
      <protection/>
    </xf>
    <xf numFmtId="5" fontId="1" fillId="0" borderId="26" xfId="64" applyNumberFormat="1" applyFont="1" applyBorder="1" applyProtection="1">
      <alignment/>
      <protection/>
    </xf>
    <xf numFmtId="5" fontId="26" fillId="0" borderId="26" xfId="64" applyNumberFormat="1" applyFont="1" applyBorder="1">
      <alignment/>
      <protection/>
    </xf>
    <xf numFmtId="168" fontId="26" fillId="0" borderId="26" xfId="64" applyNumberFormat="1" applyFont="1" applyBorder="1" applyProtection="1">
      <alignment/>
      <protection/>
    </xf>
    <xf numFmtId="14" fontId="16" fillId="0" borderId="16" xfId="0" applyNumberFormat="1" applyFont="1" applyFill="1" applyBorder="1" applyAlignment="1">
      <alignment horizontal="left" indent="2"/>
    </xf>
    <xf numFmtId="37" fontId="16" fillId="0" borderId="16" xfId="0" applyFont="1" applyFill="1" applyBorder="1" applyAlignment="1">
      <alignment horizontal="left" indent="1"/>
    </xf>
    <xf numFmtId="7" fontId="0" fillId="0" borderId="0" xfId="0" applyNumberFormat="1" applyAlignment="1">
      <alignment/>
    </xf>
    <xf numFmtId="0" fontId="13" fillId="0" borderId="0" xfId="69" applyFont="1" applyFill="1" applyBorder="1" applyAlignment="1" applyProtection="1" quotePrefix="1">
      <alignment horizontal="centerContinuous" vertical="center" wrapText="1"/>
      <protection/>
    </xf>
    <xf numFmtId="181" fontId="13" fillId="0" borderId="0" xfId="69" applyNumberFormat="1" applyFont="1" applyFill="1" applyBorder="1" applyAlignment="1" applyProtection="1" quotePrefix="1">
      <alignment horizontal="centerContinuous" vertical="center" wrapText="1"/>
      <protection/>
    </xf>
    <xf numFmtId="37" fontId="46" fillId="0" borderId="0" xfId="0" applyFont="1" applyBorder="1" applyAlignment="1">
      <alignment horizontal="center"/>
    </xf>
    <xf numFmtId="10" fontId="25" fillId="0" borderId="0" xfId="68" applyNumberFormat="1" applyFont="1" applyFill="1" applyAlignment="1" applyProtection="1">
      <alignment/>
      <protection/>
    </xf>
    <xf numFmtId="10" fontId="30" fillId="0" borderId="0" xfId="73" applyNumberFormat="1" applyFont="1" applyFill="1" applyBorder="1" applyAlignment="1" applyProtection="1">
      <alignment/>
      <protection/>
    </xf>
    <xf numFmtId="10" fontId="30" fillId="0" borderId="10" xfId="61" applyNumberFormat="1" applyFont="1" applyFill="1" applyBorder="1" applyProtection="1">
      <alignment/>
      <protection/>
    </xf>
    <xf numFmtId="10" fontId="30" fillId="0" borderId="20" xfId="61" applyNumberFormat="1" applyFont="1" applyFill="1" applyBorder="1" applyProtection="1">
      <alignment/>
      <protection/>
    </xf>
    <xf numFmtId="37" fontId="41" fillId="0" borderId="0" xfId="61" applyNumberFormat="1" applyFont="1" applyFill="1" applyBorder="1" applyProtection="1">
      <alignment/>
      <protection/>
    </xf>
    <xf numFmtId="184" fontId="30" fillId="0" borderId="0" xfId="61" applyNumberFormat="1" applyFont="1" applyFill="1" applyBorder="1" applyProtection="1">
      <alignment/>
      <protection/>
    </xf>
    <xf numFmtId="175" fontId="34" fillId="0" borderId="0" xfId="61" applyNumberFormat="1" applyFont="1" applyFill="1" applyBorder="1" applyProtection="1">
      <alignment/>
      <protection/>
    </xf>
    <xf numFmtId="0" fontId="28" fillId="0" borderId="0" xfId="61" applyFont="1" applyBorder="1" applyAlignment="1" applyProtection="1">
      <alignment horizontal="centerContinuous" vertical="center" wrapText="1"/>
      <protection/>
    </xf>
    <xf numFmtId="10" fontId="28" fillId="0" borderId="0" xfId="68" applyFont="1" applyBorder="1" applyAlignment="1" applyProtection="1">
      <alignment horizontal="centerContinuous" vertical="center" wrapText="1"/>
      <protection/>
    </xf>
    <xf numFmtId="172" fontId="28" fillId="0" borderId="0" xfId="68" applyNumberFormat="1" applyFont="1" applyBorder="1" applyAlignment="1" applyProtection="1">
      <alignment horizontal="centerContinuous" vertical="center" wrapText="1"/>
      <protection/>
    </xf>
    <xf numFmtId="180" fontId="46" fillId="0" borderId="0" xfId="0" applyNumberFormat="1" applyFont="1" applyFill="1" applyBorder="1" applyAlignment="1">
      <alignment horizontal="left" indent="1"/>
    </xf>
    <xf numFmtId="1" fontId="14" fillId="0" borderId="0" xfId="0" applyNumberFormat="1" applyFont="1" applyFill="1" applyBorder="1" applyAlignment="1">
      <alignment horizontal="center"/>
    </xf>
    <xf numFmtId="37" fontId="22" fillId="0" borderId="13" xfId="0" applyFont="1" applyFill="1" applyBorder="1" applyAlignment="1">
      <alignment/>
    </xf>
    <xf numFmtId="5" fontId="1" fillId="0" borderId="0" xfId="64" applyNumberFormat="1" applyFont="1" applyFill="1" applyProtection="1">
      <alignment/>
      <protection/>
    </xf>
    <xf numFmtId="10" fontId="1" fillId="0" borderId="0" xfId="68" applyFont="1" applyFill="1" applyAlignment="1" applyProtection="1">
      <alignment/>
      <protection/>
    </xf>
    <xf numFmtId="37" fontId="13" fillId="0" borderId="0" xfId="64" applyFont="1" applyBorder="1" applyAlignment="1" applyProtection="1">
      <alignment horizontal="center"/>
      <protection/>
    </xf>
    <xf numFmtId="37" fontId="36" fillId="0" borderId="29" xfId="0" applyFont="1" applyFill="1" applyBorder="1" applyAlignment="1">
      <alignment/>
    </xf>
    <xf numFmtId="37" fontId="14" fillId="0" borderId="15" xfId="0" applyFont="1" applyFill="1" applyBorder="1" applyAlignment="1">
      <alignment/>
    </xf>
    <xf numFmtId="37" fontId="0" fillId="0" borderId="14" xfId="0" applyBorder="1" applyAlignment="1">
      <alignment/>
    </xf>
    <xf numFmtId="37" fontId="14" fillId="0" borderId="17" xfId="0" applyFont="1" applyBorder="1" applyAlignment="1">
      <alignment/>
    </xf>
    <xf numFmtId="37" fontId="14" fillId="0" borderId="18" xfId="0" applyFont="1" applyBorder="1" applyAlignment="1">
      <alignment/>
    </xf>
    <xf numFmtId="37" fontId="14" fillId="0" borderId="21" xfId="0" applyFont="1" applyBorder="1" applyAlignment="1">
      <alignment/>
    </xf>
    <xf numFmtId="10" fontId="1" fillId="0" borderId="0" xfId="68" applyNumberFormat="1" applyFont="1" applyAlignment="1">
      <alignment/>
      <protection/>
    </xf>
    <xf numFmtId="10" fontId="25" fillId="0" borderId="0" xfId="68" applyNumberFormat="1" applyFont="1" applyAlignment="1" applyProtection="1">
      <alignment/>
      <protection/>
    </xf>
    <xf numFmtId="37" fontId="0" fillId="0" borderId="0" xfId="65" applyNumberFormat="1" applyFont="1" applyBorder="1" applyAlignment="1">
      <alignment horizontal="center"/>
      <protection/>
    </xf>
    <xf numFmtId="37" fontId="22" fillId="0" borderId="0" xfId="65" applyNumberFormat="1" applyFont="1" applyBorder="1" applyAlignment="1" applyProtection="1">
      <alignment horizontal="center" wrapText="1"/>
      <protection/>
    </xf>
    <xf numFmtId="17" fontId="16" fillId="0" borderId="0" xfId="61" applyNumberFormat="1" applyFont="1" applyFill="1" applyAlignment="1" applyProtection="1">
      <alignment horizontal="right"/>
      <protection/>
    </xf>
    <xf numFmtId="164" fontId="0" fillId="0" borderId="0" xfId="61" applyNumberFormat="1" applyFont="1" applyFill="1" applyProtection="1">
      <alignment/>
      <protection/>
    </xf>
    <xf numFmtId="164" fontId="0" fillId="0" borderId="26" xfId="61" applyNumberFormat="1" applyFont="1" applyFill="1" applyBorder="1" applyProtection="1">
      <alignment/>
      <protection/>
    </xf>
    <xf numFmtId="39" fontId="41" fillId="0" borderId="0" xfId="0" applyNumberFormat="1" applyFont="1" applyAlignment="1">
      <alignment/>
    </xf>
    <xf numFmtId="168" fontId="44" fillId="0" borderId="0" xfId="73" applyNumberFormat="1" applyFont="1" applyFill="1" applyBorder="1" applyAlignment="1">
      <alignment/>
    </xf>
    <xf numFmtId="168" fontId="14" fillId="0" borderId="0" xfId="73" applyNumberFormat="1" applyFont="1" applyFill="1" applyBorder="1" applyAlignment="1">
      <alignment horizontal="left"/>
    </xf>
    <xf numFmtId="5" fontId="14" fillId="0" borderId="0" xfId="45" applyNumberFormat="1" applyFont="1" applyBorder="1" applyAlignment="1">
      <alignment/>
    </xf>
    <xf numFmtId="37" fontId="0" fillId="0" borderId="0" xfId="0" applyFont="1" applyFill="1" applyAlignment="1">
      <alignment horizontal="center"/>
    </xf>
    <xf numFmtId="169" fontId="44" fillId="0" borderId="0" xfId="0" applyNumberFormat="1" applyFont="1" applyFill="1" applyBorder="1" applyAlignment="1">
      <alignment horizontal="center"/>
    </xf>
    <xf numFmtId="5" fontId="14" fillId="0" borderId="25" xfId="45" applyNumberFormat="1" applyFont="1" applyBorder="1" applyAlignment="1">
      <alignment/>
    </xf>
    <xf numFmtId="5" fontId="14" fillId="0" borderId="25" xfId="42" applyNumberFormat="1" applyFont="1" applyFill="1" applyBorder="1" applyAlignment="1">
      <alignment/>
    </xf>
    <xf numFmtId="168" fontId="14" fillId="0" borderId="25" xfId="73" applyNumberFormat="1" applyFont="1" applyFill="1" applyBorder="1" applyAlignment="1">
      <alignment horizontal="center"/>
    </xf>
    <xf numFmtId="5" fontId="16" fillId="0" borderId="25" xfId="42" applyNumberFormat="1" applyFont="1" applyFill="1" applyBorder="1" applyAlignment="1">
      <alignment/>
    </xf>
    <xf numFmtId="10" fontId="16" fillId="0" borderId="0" xfId="68" applyFont="1" applyAlignment="1" applyProtection="1">
      <alignment horizontal="left"/>
      <protection/>
    </xf>
    <xf numFmtId="10" fontId="24" fillId="0" borderId="0" xfId="68" applyNumberFormat="1" applyFont="1" applyFill="1" applyAlignment="1" applyProtection="1">
      <alignment/>
      <protection/>
    </xf>
    <xf numFmtId="176" fontId="41" fillId="0" borderId="0" xfId="61" applyNumberFormat="1" applyFont="1" applyFill="1" applyProtection="1">
      <alignment/>
      <protection/>
    </xf>
    <xf numFmtId="164" fontId="41" fillId="0" borderId="0" xfId="61" applyNumberFormat="1" applyFont="1" applyFill="1" applyProtection="1">
      <alignment/>
      <protection/>
    </xf>
    <xf numFmtId="175" fontId="41" fillId="0" borderId="0" xfId="61" applyNumberFormat="1" applyFont="1" applyFill="1" applyProtection="1">
      <alignment/>
      <protection/>
    </xf>
    <xf numFmtId="0" fontId="41" fillId="0" borderId="0" xfId="61" applyFont="1" applyFill="1">
      <alignment/>
      <protection/>
    </xf>
    <xf numFmtId="5" fontId="44" fillId="0" borderId="0" xfId="42" applyNumberFormat="1" applyFont="1" applyFill="1" applyBorder="1" applyAlignment="1">
      <alignment/>
    </xf>
    <xf numFmtId="168" fontId="44" fillId="0" borderId="0" xfId="0" applyNumberFormat="1" applyFont="1" applyFill="1" applyBorder="1" applyAlignment="1">
      <alignment horizontal="center"/>
    </xf>
    <xf numFmtId="37" fontId="14" fillId="0" borderId="0" xfId="0" applyFont="1" applyAlignment="1">
      <alignment/>
    </xf>
    <xf numFmtId="37" fontId="16" fillId="0" borderId="0" xfId="64" applyFont="1" applyAlignment="1" applyProtection="1">
      <alignment horizontal="center"/>
      <protection/>
    </xf>
    <xf numFmtId="37" fontId="16" fillId="0" borderId="10" xfId="0" applyFont="1" applyBorder="1" applyAlignment="1">
      <alignment/>
    </xf>
    <xf numFmtId="37" fontId="16" fillId="0" borderId="0" xfId="0" applyFont="1" applyBorder="1" applyAlignment="1">
      <alignment/>
    </xf>
    <xf numFmtId="37" fontId="16" fillId="0" borderId="0" xfId="0" applyFont="1" applyFill="1" applyBorder="1" applyAlignment="1">
      <alignment horizontal="center"/>
    </xf>
    <xf numFmtId="37" fontId="16" fillId="0" borderId="0" xfId="0" applyFont="1" applyBorder="1" applyAlignment="1">
      <alignment horizontal="center"/>
    </xf>
    <xf numFmtId="37" fontId="16" fillId="0" borderId="0" xfId="0" applyFont="1" applyAlignment="1">
      <alignment horizontal="center"/>
    </xf>
    <xf numFmtId="174" fontId="16" fillId="0" borderId="10" xfId="69" applyNumberFormat="1" applyFont="1" applyFill="1" applyBorder="1" applyAlignment="1">
      <alignment horizontal="center"/>
      <protection/>
    </xf>
    <xf numFmtId="174" fontId="16" fillId="0" borderId="0" xfId="69" applyNumberFormat="1" applyFont="1" applyFill="1" applyBorder="1" applyAlignment="1">
      <alignment horizontal="center"/>
      <protection/>
    </xf>
    <xf numFmtId="37" fontId="14" fillId="0" borderId="0" xfId="0" applyFont="1" applyFill="1" applyBorder="1" applyAlignment="1">
      <alignment/>
    </xf>
    <xf numFmtId="37" fontId="14" fillId="0" borderId="0" xfId="0" applyNumberFormat="1" applyFont="1" applyAlignment="1">
      <alignment/>
    </xf>
    <xf numFmtId="37" fontId="44" fillId="0" borderId="0" xfId="0" applyNumberFormat="1" applyFont="1" applyAlignment="1">
      <alignment/>
    </xf>
    <xf numFmtId="37" fontId="14" fillId="0" borderId="0" xfId="0" applyNumberFormat="1" applyFont="1" applyAlignment="1">
      <alignment/>
    </xf>
    <xf numFmtId="37" fontId="44" fillId="0" borderId="0" xfId="0" applyNumberFormat="1" applyFont="1" applyFill="1" applyAlignment="1">
      <alignment/>
    </xf>
    <xf numFmtId="37" fontId="16" fillId="0" borderId="12" xfId="0" applyFont="1" applyFill="1" applyBorder="1" applyAlignment="1">
      <alignment/>
    </xf>
    <xf numFmtId="37" fontId="14" fillId="0" borderId="0" xfId="0" applyNumberFormat="1" applyFont="1" applyBorder="1" applyAlignment="1">
      <alignment/>
    </xf>
    <xf numFmtId="37" fontId="14" fillId="0" borderId="0" xfId="0" applyFont="1" applyFill="1" applyBorder="1" applyAlignment="1">
      <alignment horizontal="left" indent="1"/>
    </xf>
    <xf numFmtId="37" fontId="14" fillId="0" borderId="0" xfId="0" applyFont="1" applyFill="1" applyBorder="1" applyAlignment="1">
      <alignment horizontal="left" indent="1"/>
    </xf>
    <xf numFmtId="37" fontId="16" fillId="0" borderId="0" xfId="0" applyFont="1" applyFill="1" applyBorder="1" applyAlignment="1">
      <alignment/>
    </xf>
    <xf numFmtId="39" fontId="14" fillId="0" borderId="0" xfId="0" applyNumberFormat="1" applyFont="1" applyAlignment="1">
      <alignment/>
    </xf>
    <xf numFmtId="5" fontId="16" fillId="0" borderId="12" xfId="45" applyNumberFormat="1" applyFont="1" applyFill="1" applyBorder="1" applyAlignment="1">
      <alignment/>
    </xf>
    <xf numFmtId="5" fontId="16" fillId="0" borderId="23" xfId="45" applyNumberFormat="1" applyFont="1" applyFill="1" applyBorder="1" applyAlignment="1">
      <alignment/>
    </xf>
    <xf numFmtId="5" fontId="14" fillId="0" borderId="25" xfId="45" applyNumberFormat="1" applyFont="1" applyFill="1" applyBorder="1" applyAlignment="1">
      <alignment/>
    </xf>
    <xf numFmtId="173" fontId="44" fillId="0" borderId="0" xfId="0" applyNumberFormat="1" applyFont="1" applyBorder="1" applyAlignment="1">
      <alignment horizontal="left" indent="1"/>
    </xf>
    <xf numFmtId="37" fontId="14" fillId="0" borderId="0" xfId="0" applyFont="1" applyAlignment="1">
      <alignment horizontal="right"/>
    </xf>
    <xf numFmtId="1" fontId="44" fillId="0" borderId="0" xfId="0" applyNumberFormat="1" applyFont="1" applyFill="1" applyBorder="1" applyAlignment="1">
      <alignment horizontal="center"/>
    </xf>
    <xf numFmtId="0" fontId="28" fillId="0" borderId="0" xfId="61" applyFont="1" applyAlignment="1" applyProtection="1">
      <alignment horizontal="centerContinuous"/>
      <protection/>
    </xf>
    <xf numFmtId="1" fontId="48" fillId="0" borderId="0" xfId="68" applyNumberFormat="1" applyFont="1" applyAlignment="1" applyProtection="1">
      <alignment horizontal="centerContinuous"/>
      <protection/>
    </xf>
    <xf numFmtId="1" fontId="3" fillId="0" borderId="0" xfId="68" applyNumberFormat="1" applyProtection="1">
      <alignment/>
      <protection/>
    </xf>
    <xf numFmtId="10" fontId="3" fillId="0" borderId="0" xfId="68">
      <alignment/>
      <protection/>
    </xf>
    <xf numFmtId="10" fontId="13" fillId="0" borderId="0" xfId="68" applyFont="1" applyAlignment="1" applyProtection="1">
      <alignment horizontal="centerContinuous"/>
      <protection/>
    </xf>
    <xf numFmtId="10" fontId="48" fillId="0" borderId="0" xfId="68" applyFont="1" applyAlignment="1">
      <alignment horizontal="centerContinuous"/>
      <protection/>
    </xf>
    <xf numFmtId="0" fontId="47" fillId="0" borderId="0" xfId="63" applyAlignment="1">
      <alignment horizontal="centerContinuous"/>
      <protection/>
    </xf>
    <xf numFmtId="10" fontId="3" fillId="0" borderId="0" xfId="68" applyAlignment="1" applyProtection="1">
      <alignment horizontal="left"/>
      <protection/>
    </xf>
    <xf numFmtId="172" fontId="39" fillId="0" borderId="0" xfId="68" applyNumberFormat="1" applyFont="1" applyBorder="1" applyAlignment="1" applyProtection="1">
      <alignment horizontal="centerContinuous" vertical="center" wrapText="1"/>
      <protection/>
    </xf>
    <xf numFmtId="10" fontId="48" fillId="0" borderId="0" xfId="68" applyFont="1" applyBorder="1" applyAlignment="1">
      <alignment horizontal="centerContinuous" vertical="center" wrapText="1"/>
      <protection/>
    </xf>
    <xf numFmtId="1" fontId="48" fillId="0" borderId="0" xfId="68" applyNumberFormat="1" applyFont="1" applyProtection="1">
      <alignment/>
      <protection/>
    </xf>
    <xf numFmtId="10" fontId="48" fillId="0" borderId="0" xfId="68" applyFont="1">
      <alignment/>
      <protection/>
    </xf>
    <xf numFmtId="0" fontId="47" fillId="0" borderId="0" xfId="63">
      <alignment/>
      <protection/>
    </xf>
    <xf numFmtId="10" fontId="48" fillId="0" borderId="0" xfId="68" applyFont="1" applyAlignment="1">
      <alignment horizontal="right"/>
      <protection/>
    </xf>
    <xf numFmtId="10" fontId="13" fillId="0" borderId="0" xfId="68" applyFont="1" applyAlignment="1">
      <alignment horizontal="right"/>
      <protection/>
    </xf>
    <xf numFmtId="10" fontId="13" fillId="0" borderId="0" xfId="68" applyFont="1" applyAlignment="1" applyProtection="1">
      <alignment horizontal="right"/>
      <protection/>
    </xf>
    <xf numFmtId="10" fontId="1" fillId="0" borderId="0" xfId="68" applyFont="1" applyAlignment="1" applyProtection="1">
      <alignment horizontal="right"/>
      <protection/>
    </xf>
    <xf numFmtId="10" fontId="13" fillId="0" borderId="0" xfId="68" applyFont="1" applyFill="1" applyAlignment="1" applyProtection="1">
      <alignment horizontal="left" indent="1"/>
      <protection/>
    </xf>
    <xf numFmtId="5" fontId="26" fillId="0" borderId="0" xfId="68" applyNumberFormat="1" applyFont="1" applyProtection="1">
      <alignment/>
      <protection/>
    </xf>
    <xf numFmtId="165" fontId="26" fillId="0" borderId="0" xfId="68" applyNumberFormat="1" applyFont="1" applyProtection="1">
      <alignment/>
      <protection/>
    </xf>
    <xf numFmtId="5" fontId="26" fillId="0" borderId="0" xfId="68" applyNumberFormat="1" applyFont="1" applyAlignment="1" applyProtection="1">
      <alignment horizontal="right"/>
      <protection/>
    </xf>
    <xf numFmtId="10" fontId="26" fillId="0" borderId="0" xfId="68" applyFont="1" applyBorder="1" applyProtection="1">
      <alignment/>
      <protection/>
    </xf>
    <xf numFmtId="10" fontId="26" fillId="0" borderId="0" xfId="68" applyFont="1" applyProtection="1">
      <alignment/>
      <protection/>
    </xf>
    <xf numFmtId="10" fontId="0" fillId="0" borderId="0" xfId="68" applyFont="1" applyFill="1" applyAlignment="1" applyProtection="1">
      <alignment horizontal="left" indent="2"/>
      <protection/>
    </xf>
    <xf numFmtId="5" fontId="30" fillId="0" borderId="0" xfId="68" applyNumberFormat="1" applyFont="1" applyProtection="1">
      <alignment/>
      <protection/>
    </xf>
    <xf numFmtId="165" fontId="30" fillId="0" borderId="0" xfId="68" applyNumberFormat="1" applyFont="1" applyProtection="1">
      <alignment/>
      <protection/>
    </xf>
    <xf numFmtId="5" fontId="30" fillId="0" borderId="0" xfId="68" applyNumberFormat="1" applyFont="1" applyAlignment="1" applyProtection="1">
      <alignment horizontal="right"/>
      <protection/>
    </xf>
    <xf numFmtId="10" fontId="30" fillId="0" borderId="0" xfId="68" applyFont="1" applyBorder="1" applyProtection="1">
      <alignment/>
      <protection/>
    </xf>
    <xf numFmtId="10" fontId="30" fillId="0" borderId="0" xfId="68" applyFont="1" applyProtection="1">
      <alignment/>
      <protection/>
    </xf>
    <xf numFmtId="43" fontId="41" fillId="0" borderId="0" xfId="68" applyNumberFormat="1" applyFont="1" applyProtection="1">
      <alignment/>
      <protection/>
    </xf>
    <xf numFmtId="5" fontId="41" fillId="0" borderId="0" xfId="68" applyNumberFormat="1" applyFont="1" applyAlignment="1" applyProtection="1">
      <alignment horizontal="right"/>
      <protection/>
    </xf>
    <xf numFmtId="10" fontId="1" fillId="0" borderId="0" xfId="68" applyFont="1" applyAlignment="1" applyProtection="1">
      <alignment horizontal="left" indent="1"/>
      <protection/>
    </xf>
    <xf numFmtId="10" fontId="13" fillId="0" borderId="0" xfId="68" applyFont="1" applyAlignment="1" applyProtection="1">
      <alignment horizontal="left" indent="1"/>
      <protection/>
    </xf>
    <xf numFmtId="10" fontId="26" fillId="0" borderId="0" xfId="68" applyNumberFormat="1" applyFont="1" applyFill="1" applyBorder="1" applyProtection="1">
      <alignment/>
      <protection/>
    </xf>
    <xf numFmtId="10" fontId="26" fillId="0" borderId="0" xfId="68" applyFont="1" applyAlignment="1" applyProtection="1">
      <alignment horizontal="left"/>
      <protection/>
    </xf>
    <xf numFmtId="5" fontId="26" fillId="18" borderId="12" xfId="68" applyNumberFormat="1" applyFont="1" applyFill="1" applyBorder="1" applyProtection="1">
      <alignment/>
      <protection/>
    </xf>
    <xf numFmtId="165" fontId="26" fillId="0" borderId="12" xfId="68" applyNumberFormat="1" applyFont="1" applyBorder="1" applyProtection="1">
      <alignment/>
      <protection/>
    </xf>
    <xf numFmtId="5" fontId="26" fillId="0" borderId="12" xfId="68" applyNumberFormat="1" applyFont="1" applyBorder="1" applyProtection="1">
      <alignment/>
      <protection/>
    </xf>
    <xf numFmtId="10" fontId="26" fillId="18" borderId="12" xfId="68" applyFont="1" applyFill="1" applyBorder="1" applyProtection="1">
      <alignment/>
      <protection/>
    </xf>
    <xf numFmtId="10" fontId="26" fillId="0" borderId="12" xfId="68" applyFont="1" applyBorder="1" applyProtection="1">
      <alignment/>
      <protection/>
    </xf>
    <xf numFmtId="10" fontId="26" fillId="0" borderId="0" xfId="68" applyFont="1">
      <alignment/>
      <protection/>
    </xf>
    <xf numFmtId="5" fontId="24" fillId="18" borderId="0" xfId="68" applyNumberFormat="1" applyFont="1" applyFill="1" applyProtection="1">
      <alignment/>
      <protection/>
    </xf>
    <xf numFmtId="5" fontId="24" fillId="0" borderId="0" xfId="68" applyNumberFormat="1" applyFont="1" applyAlignment="1" applyProtection="1">
      <alignment horizontal="right"/>
      <protection/>
    </xf>
    <xf numFmtId="5" fontId="26" fillId="0" borderId="12" xfId="68" applyNumberFormat="1" applyFont="1" applyBorder="1" applyAlignment="1" applyProtection="1">
      <alignment horizontal="right"/>
      <protection/>
    </xf>
    <xf numFmtId="10" fontId="1" fillId="18" borderId="12" xfId="68" applyFont="1" applyFill="1" applyBorder="1" applyProtection="1">
      <alignment/>
      <protection/>
    </xf>
    <xf numFmtId="10" fontId="26" fillId="0" borderId="0" xfId="68" applyFont="1" applyAlignment="1" applyProtection="1">
      <alignment horizontal="fill"/>
      <protection/>
    </xf>
    <xf numFmtId="165" fontId="26" fillId="0" borderId="0" xfId="68" applyNumberFormat="1" applyFont="1" applyAlignment="1" applyProtection="1">
      <alignment horizontal="fill"/>
      <protection/>
    </xf>
    <xf numFmtId="5" fontId="49" fillId="0" borderId="0" xfId="68" applyNumberFormat="1" applyFont="1" applyBorder="1" applyProtection="1">
      <alignment/>
      <protection/>
    </xf>
    <xf numFmtId="165" fontId="49" fillId="0" borderId="0" xfId="68" applyNumberFormat="1" applyFont="1" applyBorder="1" applyProtection="1">
      <alignment/>
      <protection/>
    </xf>
    <xf numFmtId="5" fontId="50" fillId="0" borderId="0" xfId="68" applyNumberFormat="1" applyFont="1" applyBorder="1" applyProtection="1">
      <alignment/>
      <protection/>
    </xf>
    <xf numFmtId="10" fontId="49" fillId="0" borderId="0" xfId="68" applyFont="1" applyBorder="1">
      <alignment/>
      <protection/>
    </xf>
    <xf numFmtId="10" fontId="49" fillId="0" borderId="0" xfId="68" applyFont="1" applyBorder="1" applyProtection="1">
      <alignment/>
      <protection/>
    </xf>
    <xf numFmtId="10" fontId="26" fillId="0" borderId="0" xfId="68" applyFont="1" applyAlignment="1">
      <alignment horizontal="right"/>
      <protection/>
    </xf>
    <xf numFmtId="37" fontId="1" fillId="0" borderId="0" xfId="68" applyNumberFormat="1" applyFont="1">
      <alignment/>
      <protection/>
    </xf>
    <xf numFmtId="10" fontId="1" fillId="0" borderId="0" xfId="68" applyFont="1" applyAlignment="1">
      <alignment horizontal="right"/>
      <protection/>
    </xf>
    <xf numFmtId="10" fontId="22" fillId="0" borderId="0" xfId="68" applyFont="1" applyAlignment="1" applyProtection="1" quotePrefix="1">
      <alignment horizontal="left"/>
      <protection/>
    </xf>
    <xf numFmtId="10" fontId="31" fillId="0" borderId="0" xfId="68" applyFont="1" applyAlignment="1" quotePrefix="1">
      <alignment horizontal="left"/>
      <protection/>
    </xf>
    <xf numFmtId="10" fontId="22" fillId="0" borderId="0" xfId="68" applyFont="1">
      <alignment/>
      <protection/>
    </xf>
    <xf numFmtId="1" fontId="48" fillId="0" borderId="0" xfId="68" applyNumberFormat="1" applyFont="1" applyAlignment="1" applyProtection="1">
      <alignment horizontal="center"/>
      <protection/>
    </xf>
    <xf numFmtId="5" fontId="3" fillId="0" borderId="0" xfId="68" applyNumberFormat="1" applyProtection="1">
      <alignment/>
      <protection/>
    </xf>
    <xf numFmtId="165" fontId="3" fillId="0" borderId="0" xfId="68" applyNumberFormat="1" applyProtection="1">
      <alignment/>
      <protection/>
    </xf>
    <xf numFmtId="165" fontId="3" fillId="0" borderId="0" xfId="68" applyNumberFormat="1" applyAlignment="1" applyProtection="1">
      <alignment horizontal="right"/>
      <protection/>
    </xf>
    <xf numFmtId="10" fontId="3" fillId="0" borderId="0" xfId="68" applyNumberFormat="1" applyProtection="1">
      <alignment/>
      <protection/>
    </xf>
    <xf numFmtId="10" fontId="3" fillId="0" borderId="0" xfId="68" applyNumberFormat="1" applyAlignment="1" applyProtection="1">
      <alignment horizontal="right"/>
      <protection/>
    </xf>
    <xf numFmtId="10" fontId="3" fillId="0" borderId="0" xfId="68" applyAlignment="1">
      <alignment horizontal="right"/>
      <protection/>
    </xf>
    <xf numFmtId="37" fontId="22" fillId="0" borderId="0" xfId="64" applyFont="1" applyAlignment="1" applyProtection="1">
      <alignment horizontal="left"/>
      <protection/>
    </xf>
    <xf numFmtId="37" fontId="22" fillId="0" borderId="10" xfId="65" applyNumberFormat="1" applyFont="1" applyBorder="1" applyAlignment="1" applyProtection="1">
      <alignment horizontal="center" wrapText="1"/>
      <protection/>
    </xf>
    <xf numFmtId="175" fontId="31" fillId="0" borderId="12" xfId="61" applyNumberFormat="1" applyFont="1" applyFill="1" applyBorder="1" applyProtection="1">
      <alignment/>
      <protection/>
    </xf>
    <xf numFmtId="10" fontId="22" fillId="19" borderId="23" xfId="65" applyNumberFormat="1" applyFont="1" applyFill="1" applyBorder="1" applyProtection="1">
      <alignment/>
      <protection/>
    </xf>
    <xf numFmtId="10" fontId="24" fillId="18" borderId="0" xfId="68" applyFont="1" applyFill="1" applyBorder="1" applyProtection="1">
      <alignment/>
      <protection/>
    </xf>
    <xf numFmtId="0" fontId="13" fillId="2" borderId="0" xfId="70" applyFont="1" applyFill="1">
      <alignment/>
      <protection/>
    </xf>
    <xf numFmtId="0" fontId="1" fillId="2" borderId="0" xfId="70" applyFont="1" applyFill="1">
      <alignment/>
      <protection/>
    </xf>
    <xf numFmtId="0" fontId="1" fillId="0" borderId="0" xfId="70">
      <alignment/>
      <protection/>
    </xf>
    <xf numFmtId="0" fontId="1" fillId="0" borderId="0" xfId="70" applyFont="1">
      <alignment/>
      <protection/>
    </xf>
    <xf numFmtId="10" fontId="1" fillId="0" borderId="0" xfId="73" applyNumberFormat="1" applyFont="1" applyAlignment="1">
      <alignment/>
    </xf>
    <xf numFmtId="0" fontId="25" fillId="0" borderId="0" xfId="70" applyFont="1" applyAlignment="1">
      <alignment horizontal="center"/>
      <protection/>
    </xf>
    <xf numFmtId="10" fontId="1" fillId="0" borderId="0" xfId="73" applyNumberFormat="1" applyFont="1" applyFill="1" applyAlignment="1">
      <alignment/>
    </xf>
    <xf numFmtId="10" fontId="13" fillId="15" borderId="0" xfId="70" applyNumberFormat="1" applyFont="1" applyFill="1">
      <alignment/>
      <protection/>
    </xf>
    <xf numFmtId="10" fontId="13" fillId="15" borderId="0" xfId="73" applyNumberFormat="1" applyFont="1" applyFill="1" applyAlignment="1">
      <alignment/>
    </xf>
    <xf numFmtId="0" fontId="13" fillId="0" borderId="0" xfId="70" applyFont="1">
      <alignment/>
      <protection/>
    </xf>
    <xf numFmtId="10" fontId="1" fillId="0" borderId="26" xfId="73" applyNumberFormat="1" applyFont="1" applyBorder="1" applyAlignment="1">
      <alignment/>
    </xf>
    <xf numFmtId="9" fontId="1" fillId="0" borderId="26" xfId="73" applyFont="1" applyBorder="1" applyAlignment="1">
      <alignment/>
    </xf>
    <xf numFmtId="10" fontId="13" fillId="15" borderId="23" xfId="73" applyNumberFormat="1" applyFont="1" applyFill="1" applyBorder="1" applyAlignment="1">
      <alignment/>
    </xf>
    <xf numFmtId="10" fontId="1" fillId="0" borderId="0" xfId="70" applyNumberFormat="1" applyFont="1">
      <alignment/>
      <protection/>
    </xf>
    <xf numFmtId="10" fontId="1" fillId="0" borderId="0" xfId="73" applyNumberFormat="1" applyAlignment="1">
      <alignment/>
    </xf>
    <xf numFmtId="10" fontId="1" fillId="0" borderId="0" xfId="70" applyNumberFormat="1" applyFont="1" applyFill="1">
      <alignment/>
      <protection/>
    </xf>
    <xf numFmtId="10" fontId="1" fillId="0" borderId="26" xfId="70" applyNumberFormat="1" applyFont="1" applyBorder="1">
      <alignment/>
      <protection/>
    </xf>
    <xf numFmtId="0" fontId="1" fillId="2" borderId="0" xfId="70" applyFill="1">
      <alignment/>
      <protection/>
    </xf>
    <xf numFmtId="0" fontId="13" fillId="20" borderId="0" xfId="70" applyFont="1" applyFill="1">
      <alignment/>
      <protection/>
    </xf>
    <xf numFmtId="0" fontId="1" fillId="20" borderId="0" xfId="70" applyFont="1" applyFill="1">
      <alignment/>
      <protection/>
    </xf>
    <xf numFmtId="187" fontId="41" fillId="0" borderId="0" xfId="61" applyNumberFormat="1" applyFont="1" applyFill="1" applyBorder="1" applyProtection="1">
      <alignment/>
      <protection/>
    </xf>
    <xf numFmtId="205" fontId="44" fillId="0" borderId="0" xfId="69" applyNumberFormat="1" applyFont="1" applyFill="1">
      <alignment/>
      <protection/>
    </xf>
    <xf numFmtId="0" fontId="70" fillId="0" borderId="0" xfId="69" applyFont="1" applyAlignment="1">
      <alignment horizontal="center"/>
      <protection/>
    </xf>
    <xf numFmtId="15" fontId="44" fillId="0" borderId="0" xfId="69" applyNumberFormat="1" applyFont="1" applyFill="1" applyAlignment="1">
      <alignment horizontal="center"/>
      <protection/>
    </xf>
    <xf numFmtId="15" fontId="70" fillId="7" borderId="0" xfId="69" applyNumberFormat="1" applyFont="1" applyFill="1" applyAlignment="1">
      <alignment horizontal="right"/>
      <protection/>
    </xf>
    <xf numFmtId="5" fontId="44" fillId="7" borderId="0" xfId="62" applyNumberFormat="1" applyFont="1" applyFill="1" applyBorder="1" applyProtection="1">
      <alignment/>
      <protection/>
    </xf>
    <xf numFmtId="205" fontId="69" fillId="7" borderId="0" xfId="69" applyNumberFormat="1" applyFont="1" applyFill="1">
      <alignment/>
      <protection/>
    </xf>
    <xf numFmtId="5" fontId="14" fillId="0" borderId="0" xfId="62" applyNumberFormat="1" applyFont="1" applyBorder="1" applyProtection="1">
      <alignment/>
      <protection/>
    </xf>
    <xf numFmtId="0" fontId="44" fillId="0" borderId="0" xfId="69" applyFont="1" applyAlignment="1">
      <alignment horizontal="left"/>
      <protection/>
    </xf>
    <xf numFmtId="0" fontId="39" fillId="0" borderId="0" xfId="69" applyFont="1">
      <alignment/>
      <protection/>
    </xf>
    <xf numFmtId="37" fontId="71" fillId="0" borderId="0" xfId="67" applyFont="1" applyBorder="1" applyAlignment="1">
      <alignment horizontal="centerContinuous" vertical="center" wrapText="1"/>
      <protection/>
    </xf>
    <xf numFmtId="37" fontId="71" fillId="0" borderId="0" xfId="67" applyFont="1">
      <alignment/>
      <protection/>
    </xf>
    <xf numFmtId="37" fontId="14" fillId="0" borderId="0" xfId="67">
      <alignment/>
      <protection/>
    </xf>
    <xf numFmtId="37" fontId="14" fillId="0" borderId="0" xfId="67" applyFill="1">
      <alignment/>
      <protection/>
    </xf>
    <xf numFmtId="10" fontId="72" fillId="0" borderId="30" xfId="68" applyFont="1" applyBorder="1" applyAlignment="1">
      <alignment horizontal="centerContinuous" vertical="center" wrapText="1"/>
      <protection/>
    </xf>
    <xf numFmtId="10" fontId="28" fillId="0" borderId="26" xfId="68" applyFont="1" applyBorder="1" applyAlignment="1" applyProtection="1">
      <alignment horizontal="centerContinuous" vertical="center" wrapText="1"/>
      <protection/>
    </xf>
    <xf numFmtId="10" fontId="28" fillId="0" borderId="31" xfId="68" applyFont="1" applyBorder="1" applyAlignment="1" applyProtection="1">
      <alignment horizontal="centerContinuous" vertical="center" wrapText="1"/>
      <protection/>
    </xf>
    <xf numFmtId="10" fontId="28" fillId="0" borderId="32" xfId="68" applyFont="1" applyBorder="1" applyAlignment="1" applyProtection="1">
      <alignment horizontal="centerContinuous" vertical="center" wrapText="1"/>
      <protection/>
    </xf>
    <xf numFmtId="10" fontId="1" fillId="0" borderId="10" xfId="68" applyFont="1" applyBorder="1" applyAlignment="1">
      <alignment horizontal="centerContinuous" vertical="center" wrapText="1"/>
      <protection/>
    </xf>
    <xf numFmtId="10" fontId="1" fillId="0" borderId="33" xfId="68" applyFont="1" applyBorder="1" applyAlignment="1">
      <alignment horizontal="centerContinuous" vertical="center" wrapText="1"/>
      <protection/>
    </xf>
    <xf numFmtId="10" fontId="1" fillId="0" borderId="0" xfId="68" applyNumberFormat="1" applyFont="1" applyFill="1" applyAlignment="1" applyProtection="1">
      <alignment/>
      <protection/>
    </xf>
    <xf numFmtId="10" fontId="1" fillId="0" borderId="0" xfId="68" applyFont="1" applyBorder="1" applyAlignment="1" applyProtection="1">
      <alignment horizontal="center"/>
      <protection/>
    </xf>
    <xf numFmtId="10" fontId="1" fillId="0" borderId="0" xfId="68" applyNumberFormat="1" applyFont="1" applyFill="1" applyBorder="1" applyAlignment="1" applyProtection="1">
      <alignment/>
      <protection/>
    </xf>
    <xf numFmtId="0" fontId="73" fillId="0" borderId="0" xfId="69" applyFont="1" applyFill="1" applyBorder="1" applyAlignment="1" applyProtection="1" quotePrefix="1">
      <alignment horizontal="centerContinuous" vertical="center" wrapText="1"/>
      <protection/>
    </xf>
    <xf numFmtId="37" fontId="74" fillId="0" borderId="0" xfId="64" applyFont="1" applyBorder="1" applyAlignment="1">
      <alignment horizontal="centerContinuous" vertical="center" wrapText="1"/>
      <protection/>
    </xf>
    <xf numFmtId="37" fontId="14" fillId="0" borderId="0" xfId="64" applyFont="1" applyAlignment="1" applyProtection="1">
      <alignment horizontal="left"/>
      <protection/>
    </xf>
    <xf numFmtId="37" fontId="75" fillId="0" borderId="0" xfId="0" applyFont="1" applyFill="1" applyAlignment="1">
      <alignment/>
    </xf>
    <xf numFmtId="37" fontId="36" fillId="0" borderId="16" xfId="0" applyFont="1" applyFill="1" applyBorder="1" applyAlignment="1">
      <alignment/>
    </xf>
    <xf numFmtId="5" fontId="14" fillId="0" borderId="0" xfId="42" applyNumberFormat="1" applyFont="1" applyFill="1" applyBorder="1" applyAlignment="1">
      <alignment/>
    </xf>
    <xf numFmtId="5" fontId="14" fillId="0" borderId="26" xfId="42" applyNumberFormat="1" applyFont="1" applyFill="1" applyBorder="1" applyAlignment="1">
      <alignment/>
    </xf>
    <xf numFmtId="168" fontId="14" fillId="0" borderId="26" xfId="73" applyNumberFormat="1" applyFont="1" applyFill="1" applyBorder="1" applyAlignment="1">
      <alignment horizontal="center"/>
    </xf>
    <xf numFmtId="5" fontId="16" fillId="0" borderId="26" xfId="42" applyNumberFormat="1" applyFont="1" applyFill="1" applyBorder="1" applyAlignment="1">
      <alignment/>
    </xf>
    <xf numFmtId="37" fontId="18" fillId="0" borderId="16" xfId="0" applyFont="1" applyBorder="1" applyAlignment="1">
      <alignment/>
    </xf>
    <xf numFmtId="180" fontId="14" fillId="0" borderId="0" xfId="0" applyNumberFormat="1" applyFont="1" applyFill="1" applyBorder="1" applyAlignment="1">
      <alignment/>
    </xf>
    <xf numFmtId="169" fontId="14" fillId="0" borderId="0" xfId="0" applyNumberFormat="1" applyFont="1" applyFill="1" applyBorder="1" applyAlignment="1">
      <alignment horizontal="center"/>
    </xf>
    <xf numFmtId="37" fontId="14" fillId="0" borderId="0" xfId="0" applyNumberFormat="1" applyFont="1" applyFill="1" applyBorder="1" applyAlignment="1">
      <alignment horizontal="center"/>
    </xf>
    <xf numFmtId="5" fontId="14" fillId="0" borderId="26" xfId="45" applyNumberFormat="1" applyFont="1" applyBorder="1" applyAlignment="1">
      <alignment/>
    </xf>
    <xf numFmtId="1" fontId="14" fillId="0" borderId="0" xfId="0" applyNumberFormat="1" applyFont="1" applyFill="1" applyBorder="1" applyAlignment="1">
      <alignment/>
    </xf>
    <xf numFmtId="170" fontId="14" fillId="0" borderId="0" xfId="45" applyNumberFormat="1" applyFont="1" applyBorder="1" applyAlignment="1">
      <alignment/>
    </xf>
    <xf numFmtId="10" fontId="14" fillId="0" borderId="0" xfId="0" applyNumberFormat="1" applyFont="1" applyFill="1" applyBorder="1" applyAlignment="1">
      <alignment horizontal="center"/>
    </xf>
    <xf numFmtId="37" fontId="36" fillId="0" borderId="29" xfId="0" applyFont="1" applyBorder="1" applyAlignment="1">
      <alignment/>
    </xf>
    <xf numFmtId="37" fontId="14" fillId="0" borderId="16" xfId="0" applyFont="1" applyBorder="1" applyAlignment="1">
      <alignment/>
    </xf>
    <xf numFmtId="168" fontId="14" fillId="0" borderId="0" xfId="73" applyNumberFormat="1" applyFont="1" applyBorder="1" applyAlignment="1">
      <alignment/>
    </xf>
    <xf numFmtId="37" fontId="16" fillId="0" borderId="16" xfId="0" applyFont="1" applyBorder="1" applyAlignment="1">
      <alignment/>
    </xf>
    <xf numFmtId="168" fontId="14" fillId="0" borderId="26" xfId="73" applyNumberFormat="1" applyFont="1" applyBorder="1" applyAlignment="1">
      <alignment/>
    </xf>
    <xf numFmtId="37" fontId="0" fillId="0" borderId="13" xfId="0" applyBorder="1" applyAlignment="1">
      <alignment/>
    </xf>
    <xf numFmtId="37" fontId="0" fillId="0" borderId="0" xfId="0" applyFont="1" applyBorder="1" applyAlignment="1">
      <alignment/>
    </xf>
    <xf numFmtId="37" fontId="22" fillId="0" borderId="0" xfId="0" applyFont="1" applyAlignment="1">
      <alignment/>
    </xf>
    <xf numFmtId="37" fontId="22" fillId="0" borderId="10" xfId="0" applyFont="1" applyBorder="1" applyAlignment="1">
      <alignment/>
    </xf>
    <xf numFmtId="37" fontId="0" fillId="0" borderId="0" xfId="0" applyFont="1" applyBorder="1" applyAlignment="1">
      <alignment horizontal="center"/>
    </xf>
    <xf numFmtId="39" fontId="0" fillId="0" borderId="0" xfId="0" applyNumberFormat="1" applyFont="1" applyAlignment="1">
      <alignment horizontal="center"/>
    </xf>
    <xf numFmtId="37" fontId="0" fillId="0" borderId="0" xfId="0" applyFont="1" applyAlignment="1">
      <alignment horizontal="center"/>
    </xf>
    <xf numFmtId="37" fontId="22" fillId="0" borderId="0" xfId="0" applyFont="1" applyAlignment="1">
      <alignment horizontal="center"/>
    </xf>
    <xf numFmtId="37" fontId="22" fillId="0" borderId="0" xfId="0" applyFont="1" applyBorder="1" applyAlignment="1">
      <alignment horizontal="left"/>
    </xf>
    <xf numFmtId="174" fontId="22" fillId="0" borderId="10" xfId="69" applyNumberFormat="1" applyFont="1" applyFill="1" applyBorder="1" applyAlignment="1">
      <alignment horizontal="center"/>
      <protection/>
    </xf>
    <xf numFmtId="174" fontId="22" fillId="0" borderId="0" xfId="69" applyNumberFormat="1" applyFont="1" applyFill="1" applyBorder="1" applyAlignment="1">
      <alignment horizontal="center"/>
      <protection/>
    </xf>
    <xf numFmtId="173" fontId="0" fillId="0" borderId="0" xfId="0" applyNumberFormat="1" applyFont="1" applyBorder="1" applyAlignment="1">
      <alignment horizontal="left" indent="1"/>
    </xf>
    <xf numFmtId="37" fontId="0" fillId="0" borderId="0" xfId="0" applyNumberFormat="1" applyFill="1" applyAlignment="1">
      <alignment/>
    </xf>
    <xf numFmtId="37" fontId="41" fillId="0" borderId="0" xfId="0" applyNumberFormat="1" applyFont="1" applyFill="1" applyAlignment="1">
      <alignment/>
    </xf>
    <xf numFmtId="37" fontId="0" fillId="0" borderId="0" xfId="0" applyNumberFormat="1" applyAlignment="1">
      <alignment/>
    </xf>
    <xf numFmtId="37" fontId="22" fillId="0" borderId="12" xfId="0" applyFont="1" applyFill="1" applyBorder="1" applyAlignment="1">
      <alignment/>
    </xf>
    <xf numFmtId="37" fontId="22" fillId="0" borderId="12" xfId="0" applyNumberFormat="1" applyFont="1" applyFill="1" applyBorder="1" applyAlignment="1">
      <alignment/>
    </xf>
    <xf numFmtId="37" fontId="22" fillId="19" borderId="23" xfId="45" applyNumberFormat="1" applyFont="1" applyFill="1" applyBorder="1" applyAlignment="1">
      <alignment/>
    </xf>
    <xf numFmtId="37" fontId="0" fillId="0" borderId="0" xfId="0" applyNumberFormat="1" applyFont="1" applyBorder="1" applyAlignment="1">
      <alignment/>
    </xf>
    <xf numFmtId="10" fontId="1" fillId="0" borderId="0" xfId="73" applyNumberFormat="1" applyFont="1" applyAlignment="1" applyProtection="1">
      <alignment/>
      <protection/>
    </xf>
    <xf numFmtId="5" fontId="14" fillId="0" borderId="0" xfId="45" applyNumberFormat="1" applyFont="1" applyFill="1" applyBorder="1" applyAlignment="1">
      <alignment horizontal="center"/>
    </xf>
    <xf numFmtId="179" fontId="41" fillId="0" borderId="0" xfId="61" applyNumberFormat="1" applyFont="1" applyFill="1" applyBorder="1" applyProtection="1">
      <alignment/>
      <protection/>
    </xf>
    <xf numFmtId="176" fontId="17" fillId="0" borderId="0" xfId="61" applyNumberFormat="1" applyFont="1" applyAlignment="1" applyProtection="1">
      <alignment horizontal="center" wrapText="1"/>
      <protection/>
    </xf>
    <xf numFmtId="0" fontId="78" fillId="0" borderId="0" xfId="61" applyFont="1">
      <alignment/>
      <protection/>
    </xf>
    <xf numFmtId="0" fontId="0" fillId="0" borderId="0" xfId="0" applyNumberFormat="1" applyAlignment="1">
      <alignment/>
    </xf>
    <xf numFmtId="37" fontId="0" fillId="21" borderId="0" xfId="0" applyFill="1" applyAlignment="1">
      <alignment/>
    </xf>
    <xf numFmtId="0" fontId="0" fillId="21" borderId="0" xfId="0" applyNumberFormat="1" applyFill="1" applyAlignment="1">
      <alignment/>
    </xf>
    <xf numFmtId="10" fontId="24" fillId="0" borderId="0" xfId="68" applyNumberFormat="1" applyFont="1" applyFill="1" applyBorder="1" applyAlignment="1" applyProtection="1">
      <alignment/>
      <protection/>
    </xf>
    <xf numFmtId="37" fontId="1" fillId="0" borderId="0" xfId="0" applyFont="1" applyAlignment="1">
      <alignment/>
    </xf>
    <xf numFmtId="181" fontId="16" fillId="0" borderId="0" xfId="0" applyNumberFormat="1" applyFont="1" applyBorder="1" applyAlignment="1">
      <alignment horizontal="left"/>
    </xf>
    <xf numFmtId="5" fontId="5" fillId="0" borderId="0" xfId="69" applyNumberFormat="1" applyFont="1">
      <alignment/>
      <protection/>
    </xf>
    <xf numFmtId="7" fontId="14" fillId="0" borderId="25" xfId="45" applyNumberFormat="1" applyFont="1" applyFill="1" applyBorder="1" applyAlignment="1">
      <alignment/>
    </xf>
    <xf numFmtId="7" fontId="3" fillId="0" borderId="0" xfId="68" applyNumberFormat="1">
      <alignment/>
      <protection/>
    </xf>
    <xf numFmtId="7" fontId="3" fillId="0" borderId="10" xfId="68" applyNumberFormat="1" applyBorder="1" applyProtection="1">
      <alignment/>
      <protection/>
    </xf>
    <xf numFmtId="175" fontId="4" fillId="0" borderId="0" xfId="61" applyNumberFormat="1" applyFont="1">
      <alignment/>
      <protection/>
    </xf>
    <xf numFmtId="37" fontId="22" fillId="0" borderId="0" xfId="64" applyFont="1" applyBorder="1" applyAlignment="1" applyProtection="1">
      <alignment horizontal="left"/>
      <protection/>
    </xf>
    <xf numFmtId="37" fontId="4" fillId="0" borderId="0" xfId="65" applyFont="1" applyBorder="1">
      <alignment/>
      <protection/>
    </xf>
    <xf numFmtId="37" fontId="7" fillId="0" borderId="0" xfId="65" applyFont="1" applyBorder="1">
      <alignment/>
      <protection/>
    </xf>
    <xf numFmtId="37" fontId="7" fillId="0" borderId="0" xfId="65" applyFont="1" applyFill="1" applyBorder="1">
      <alignment/>
      <protection/>
    </xf>
    <xf numFmtId="175" fontId="31" fillId="0" borderId="0" xfId="61" applyNumberFormat="1" applyFont="1" applyFill="1" applyBorder="1" applyProtection="1">
      <alignment/>
      <protection/>
    </xf>
    <xf numFmtId="10" fontId="22" fillId="19" borderId="0" xfId="65" applyNumberFormat="1" applyFont="1" applyFill="1" applyBorder="1" applyProtection="1">
      <alignment/>
      <protection/>
    </xf>
    <xf numFmtId="0" fontId="22" fillId="0" borderId="0" xfId="61" applyFont="1" applyAlignment="1" applyProtection="1">
      <alignment horizontal="center"/>
      <protection/>
    </xf>
    <xf numFmtId="0" fontId="40" fillId="0" borderId="0" xfId="61" applyFont="1" applyFill="1" applyBorder="1" applyAlignment="1" applyProtection="1">
      <alignment horizontal="center" vertical="center" wrapText="1"/>
      <protection/>
    </xf>
    <xf numFmtId="37" fontId="16" fillId="0" borderId="16" xfId="0" applyFont="1" applyFill="1" applyBorder="1" applyAlignment="1">
      <alignment horizontal="left"/>
    </xf>
    <xf numFmtId="37" fontId="16" fillId="0" borderId="0" xfId="0" applyFont="1" applyFill="1" applyBorder="1" applyAlignment="1">
      <alignment horizontal="left"/>
    </xf>
    <xf numFmtId="37" fontId="36" fillId="0" borderId="29" xfId="0" applyFont="1" applyFill="1" applyBorder="1" applyAlignment="1">
      <alignment horizontal="left"/>
    </xf>
    <xf numFmtId="37" fontId="36" fillId="0" borderId="15" xfId="0" applyFont="1" applyFill="1" applyBorder="1" applyAlignment="1">
      <alignment horizontal="left"/>
    </xf>
    <xf numFmtId="181" fontId="16" fillId="0" borderId="0" xfId="69" applyNumberFormat="1" applyFont="1" applyFill="1" applyAlignment="1">
      <alignment horizontal="left"/>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Lisa" xfId="59"/>
    <cellStyle name="Neutral" xfId="60"/>
    <cellStyle name="Normal_AMACAPST" xfId="61"/>
    <cellStyle name="Normal_AMORTONR" xfId="62"/>
    <cellStyle name="Normal_COC DEC 00 Company" xfId="63"/>
    <cellStyle name="Normal_COSTOF" xfId="64"/>
    <cellStyle name="Normal_COSTOFD" xfId="65"/>
    <cellStyle name="Normal_COSTOFPR" xfId="66"/>
    <cellStyle name="Normal_DEG-5C WACC Rate Yr beginning Jun-11 DRAFT2" xfId="67"/>
    <cellStyle name="Normal_RATEOFRE" xfId="68"/>
    <cellStyle name="Normal_SCHEDULE" xfId="69"/>
    <cellStyle name="Normal_WACC" xfId="70"/>
    <cellStyle name="Note" xfId="71"/>
    <cellStyle name="Output" xfId="72"/>
    <cellStyle name="Percent"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xdr:row>
      <xdr:rowOff>85725</xdr:rowOff>
    </xdr:from>
    <xdr:to>
      <xdr:col>10</xdr:col>
      <xdr:colOff>123825</xdr:colOff>
      <xdr:row>6</xdr:row>
      <xdr:rowOff>95250</xdr:rowOff>
    </xdr:to>
    <xdr:sp>
      <xdr:nvSpPr>
        <xdr:cNvPr id="1" name="Text Box 1"/>
        <xdr:cNvSpPr txBox="1">
          <a:spLocks noChangeArrowheads="1"/>
        </xdr:cNvSpPr>
      </xdr:nvSpPr>
      <xdr:spPr>
        <a:xfrm>
          <a:off x="6981825" y="285750"/>
          <a:ext cx="1943100" cy="876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FERC capital structure is used internally by plant accounting for FERC reporting and capitalization rates.  It is needed once per year in Q1.  The green highlighted items are what they use for AFUDC calcs.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eith\COC%20DEC%2000%20Compa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Temporary%20Internet%20Files\OLK412\Subsidiary%20Roll-up%20for%20Rate%20Perio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apps.utc.wa.gov/Cost%20of%20Capital\Cost%20of%20Capital\Cost%20of%20Capital%202010\2010%20WACC%20for%20rate%20case%20prep\WACC%20Test%20Yr%20Ending%203-31-10%20Actual%20&amp;%20Pre-Mer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NDRATE"/>
      <sheetName val="CST Reaquired LTD!"/>
      <sheetName val="Cost of Notes"/>
      <sheetName val="Cst Prfd"/>
      <sheetName val="STD C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sidiary RE Rollfwrd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3">
        <row r="16">
          <cell r="E16">
            <v>0.011564749125603244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33"/>
  <sheetViews>
    <sheetView zoomScalePageLayoutView="0" workbookViewId="0" topLeftCell="A1">
      <selection activeCell="F26" sqref="F26"/>
    </sheetView>
  </sheetViews>
  <sheetFormatPr defaultColWidth="10.66015625" defaultRowHeight="11.25"/>
  <cols>
    <col min="1" max="1" width="27.5" style="490" customWidth="1"/>
    <col min="2" max="2" width="12.83203125" style="490" customWidth="1"/>
    <col min="3" max="3" width="12.16015625" style="490" customWidth="1"/>
    <col min="4" max="4" width="14.33203125" style="490" bestFit="1" customWidth="1"/>
    <col min="5" max="16384" width="10.66015625" style="490" customWidth="1"/>
  </cols>
  <sheetData>
    <row r="1" spans="1:10" ht="12.75">
      <c r="A1" s="488" t="s">
        <v>270</v>
      </c>
      <c r="B1" s="489"/>
      <c r="C1" s="489"/>
      <c r="D1" s="489"/>
      <c r="E1" s="489"/>
      <c r="F1" s="489"/>
      <c r="G1" s="489"/>
      <c r="H1" s="489"/>
      <c r="I1" s="489"/>
      <c r="J1" s="489"/>
    </row>
    <row r="2" spans="1:10" ht="12.75">
      <c r="A2" s="491" t="s">
        <v>206</v>
      </c>
      <c r="B2" s="491"/>
      <c r="C2" s="491"/>
      <c r="D2" s="491"/>
      <c r="E2" s="491"/>
      <c r="F2" s="491"/>
      <c r="G2" s="491"/>
      <c r="H2" s="491"/>
      <c r="I2" s="491"/>
      <c r="J2" s="491"/>
    </row>
    <row r="3" spans="1:10" ht="12.75">
      <c r="A3" s="491"/>
      <c r="B3" s="492"/>
      <c r="C3" s="492"/>
      <c r="D3" s="491"/>
      <c r="E3" s="491"/>
      <c r="F3" s="491"/>
      <c r="G3" s="491"/>
      <c r="H3" s="491"/>
      <c r="I3" s="491"/>
      <c r="J3" s="491"/>
    </row>
    <row r="4" spans="1:10" ht="12.75">
      <c r="A4" s="491"/>
      <c r="B4" s="493" t="s">
        <v>207</v>
      </c>
      <c r="C4" s="493" t="s">
        <v>11</v>
      </c>
      <c r="D4" s="493" t="s">
        <v>208</v>
      </c>
      <c r="E4" s="491"/>
      <c r="F4" s="491"/>
      <c r="G4" s="491"/>
      <c r="H4" s="491"/>
      <c r="I4" s="491"/>
      <c r="J4" s="491"/>
    </row>
    <row r="5" spans="1:10" ht="12.75">
      <c r="A5" s="491" t="s">
        <v>13</v>
      </c>
      <c r="B5" s="492">
        <f>'Pg 1 CofCap'!D14</f>
        <v>0.0072</v>
      </c>
      <c r="C5" s="492">
        <f>'Pg 1 CofCap'!E14</f>
        <v>0.054604360644492284</v>
      </c>
      <c r="D5" s="492">
        <f>ROUND(B5*C5,5)</f>
        <v>0.00039</v>
      </c>
      <c r="E5" s="491"/>
      <c r="F5" s="492">
        <f>B5/G9*C5</f>
        <v>0.0007586866010041382</v>
      </c>
      <c r="G5" s="491"/>
      <c r="H5" s="491"/>
      <c r="I5" s="491"/>
      <c r="J5" s="491"/>
    </row>
    <row r="6" spans="1:10" ht="12.75">
      <c r="A6" s="491" t="s">
        <v>14</v>
      </c>
      <c r="B6" s="494">
        <f>'Pg 1 CofCap'!D16</f>
        <v>0.511</v>
      </c>
      <c r="C6" s="494">
        <f>'Pg 1 CofCap'!E16</f>
        <v>0.0616</v>
      </c>
      <c r="D6" s="492">
        <f>ROUND(B6*C6,5)</f>
        <v>0.03148</v>
      </c>
      <c r="E6" s="491"/>
      <c r="F6" s="492">
        <f>B6/G9*C6</f>
        <v>0.060744114241605564</v>
      </c>
      <c r="G6" s="491"/>
      <c r="H6" s="491"/>
      <c r="I6" s="491"/>
      <c r="J6" s="491"/>
    </row>
    <row r="7" spans="1:10" ht="12.75">
      <c r="A7" s="491" t="s">
        <v>110</v>
      </c>
      <c r="B7" s="492">
        <v>0</v>
      </c>
      <c r="C7" s="492">
        <v>0</v>
      </c>
      <c r="D7" s="492">
        <f>ROUND(B7*C7,5)</f>
        <v>0</v>
      </c>
      <c r="E7" s="491"/>
      <c r="F7" s="491"/>
      <c r="G7" s="495">
        <f>SUM(F5:F6)</f>
        <v>0.0615028008426097</v>
      </c>
      <c r="H7" s="491" t="s">
        <v>209</v>
      </c>
      <c r="I7" s="491"/>
      <c r="J7" s="491"/>
    </row>
    <row r="8" spans="1:10" ht="13.5" thickBot="1">
      <c r="A8" s="491" t="s">
        <v>111</v>
      </c>
      <c r="B8" s="492">
        <f>'Pg 1 CofCap'!D18</f>
        <v>0.4818</v>
      </c>
      <c r="C8" s="492">
        <f>'Pg 1 CofCap'!E18</f>
        <v>0.098</v>
      </c>
      <c r="D8" s="492">
        <f>ROUND(B8*C8,5)</f>
        <v>0.04722</v>
      </c>
      <c r="E8" s="491"/>
      <c r="F8" s="491"/>
      <c r="G8" s="496">
        <f>G7*0.65</f>
        <v>0.03997682054769631</v>
      </c>
      <c r="H8" s="491" t="s">
        <v>210</v>
      </c>
      <c r="I8" s="491"/>
      <c r="J8" s="491"/>
    </row>
    <row r="9" spans="1:10" ht="13.5" thickBot="1">
      <c r="A9" s="497" t="s">
        <v>219</v>
      </c>
      <c r="B9" s="498">
        <f>SUM(B5:B8)</f>
        <v>1</v>
      </c>
      <c r="C9" s="499"/>
      <c r="D9" s="500">
        <f>SUM(D5:D8)</f>
        <v>0.07909</v>
      </c>
      <c r="E9" s="491"/>
      <c r="F9" s="491"/>
      <c r="G9" s="501">
        <f>SUM(B5:B6)</f>
        <v>0.5182</v>
      </c>
      <c r="H9" s="491" t="s">
        <v>212</v>
      </c>
      <c r="I9" s="491"/>
      <c r="J9" s="491"/>
    </row>
    <row r="10" spans="1:10" ht="13.5" thickBot="1">
      <c r="A10" s="491"/>
      <c r="B10" s="491"/>
      <c r="C10" s="491"/>
      <c r="D10" s="491"/>
      <c r="E10" s="491"/>
      <c r="F10" s="491"/>
      <c r="I10" s="491"/>
      <c r="J10" s="491"/>
    </row>
    <row r="11" spans="1:10" ht="13.5" thickBot="1">
      <c r="A11" s="497" t="s">
        <v>213</v>
      </c>
      <c r="B11" s="491"/>
      <c r="C11" s="491"/>
      <c r="D11" s="500">
        <f>(D6+D5)*0.65+D7+D8</f>
        <v>0.0679355</v>
      </c>
      <c r="E11" s="491"/>
      <c r="F11" s="491"/>
      <c r="G11" s="491"/>
      <c r="H11" s="497" t="s">
        <v>214</v>
      </c>
      <c r="I11" s="491"/>
      <c r="J11" s="491"/>
    </row>
    <row r="12" spans="1:10" ht="12.75">
      <c r="A12" s="491"/>
      <c r="B12" s="491"/>
      <c r="C12" s="491"/>
      <c r="D12" s="491"/>
      <c r="E12" s="491"/>
      <c r="G12" s="502">
        <f>G9*G8</f>
        <v>0.020715988407816226</v>
      </c>
      <c r="H12" s="490" t="s">
        <v>215</v>
      </c>
      <c r="I12" s="491"/>
      <c r="J12" s="491"/>
    </row>
    <row r="13" spans="1:10" ht="12.75">
      <c r="A13" s="491"/>
      <c r="B13" s="491"/>
      <c r="C13" s="491"/>
      <c r="D13" s="491"/>
      <c r="E13" s="491"/>
      <c r="F13" s="491"/>
      <c r="G13" s="501">
        <f>D7</f>
        <v>0</v>
      </c>
      <c r="H13" s="490" t="s">
        <v>216</v>
      </c>
      <c r="I13" s="491"/>
      <c r="J13" s="491"/>
    </row>
    <row r="14" spans="1:10" ht="12.75">
      <c r="A14" s="491" t="s">
        <v>217</v>
      </c>
      <c r="B14" s="491"/>
      <c r="C14" s="491"/>
      <c r="D14" s="503">
        <f>D11/0.65</f>
        <v>0.10451615384615384</v>
      </c>
      <c r="E14" s="491"/>
      <c r="F14" s="491"/>
      <c r="G14" s="501">
        <f>D8</f>
        <v>0.04722</v>
      </c>
      <c r="H14" s="490" t="s">
        <v>218</v>
      </c>
      <c r="I14" s="491"/>
      <c r="J14" s="491"/>
    </row>
    <row r="15" spans="1:10" ht="12.75">
      <c r="A15" s="491"/>
      <c r="B15" s="491"/>
      <c r="C15" s="491"/>
      <c r="D15" s="491"/>
      <c r="E15" s="491"/>
      <c r="F15" s="492"/>
      <c r="G15" s="504">
        <f>SUM(G12:G14)</f>
        <v>0.06793598840781623</v>
      </c>
      <c r="H15" s="491"/>
      <c r="I15" s="491"/>
      <c r="J15" s="491"/>
    </row>
    <row r="17" spans="1:10" ht="12.75">
      <c r="A17" s="488" t="s">
        <v>262</v>
      </c>
      <c r="B17" s="489"/>
      <c r="C17" s="489"/>
      <c r="D17" s="489"/>
      <c r="E17" s="489"/>
      <c r="F17" s="489"/>
      <c r="G17" s="489"/>
      <c r="H17" s="489"/>
      <c r="I17" s="489"/>
      <c r="J17" s="489"/>
    </row>
    <row r="18" spans="1:10" ht="12.75">
      <c r="A18" s="491" t="s">
        <v>206</v>
      </c>
      <c r="B18" s="491"/>
      <c r="C18" s="491"/>
      <c r="D18" s="491"/>
      <c r="E18" s="491"/>
      <c r="F18" s="491"/>
      <c r="G18" s="491"/>
      <c r="H18" s="491"/>
      <c r="I18" s="491"/>
      <c r="J18" s="491"/>
    </row>
    <row r="19" spans="1:10" ht="12.75">
      <c r="A19" s="491"/>
      <c r="B19" s="492"/>
      <c r="C19" s="492"/>
      <c r="D19" s="491"/>
      <c r="E19" s="491"/>
      <c r="F19" s="491"/>
      <c r="G19" s="491"/>
      <c r="H19" s="491"/>
      <c r="I19" s="491"/>
      <c r="J19" s="491"/>
    </row>
    <row r="20" spans="1:10" ht="12.75">
      <c r="A20" s="491"/>
      <c r="B20" s="493" t="s">
        <v>207</v>
      </c>
      <c r="C20" s="493" t="s">
        <v>11</v>
      </c>
      <c r="D20" s="493" t="s">
        <v>208</v>
      </c>
      <c r="E20" s="491"/>
      <c r="F20" s="491"/>
      <c r="G20" s="491"/>
      <c r="H20" s="491"/>
      <c r="I20" s="491"/>
      <c r="J20" s="491"/>
    </row>
    <row r="21" spans="1:10" ht="12.75">
      <c r="A21" s="491" t="s">
        <v>13</v>
      </c>
      <c r="B21" s="492">
        <v>0.0126</v>
      </c>
      <c r="C21" s="492">
        <v>0.0649</v>
      </c>
      <c r="D21" s="492">
        <f>ROUND(B21*C21,5)</f>
        <v>0.00082</v>
      </c>
      <c r="E21" s="491"/>
      <c r="F21" s="492">
        <f>B21/G25*C21</f>
        <v>0.0015817021276595747</v>
      </c>
      <c r="G21" s="491"/>
      <c r="H21" s="491"/>
      <c r="I21" s="491"/>
      <c r="J21" s="491"/>
    </row>
    <row r="22" spans="1:10" ht="12.75">
      <c r="A22" s="491" t="s">
        <v>14</v>
      </c>
      <c r="B22" s="494">
        <v>0.5044</v>
      </c>
      <c r="C22" s="494">
        <v>0.0622</v>
      </c>
      <c r="D22" s="492">
        <f>ROUND(B22*C22,5)</f>
        <v>0.03137</v>
      </c>
      <c r="E22" s="491"/>
      <c r="F22" s="492">
        <f>B22/G25*C22</f>
        <v>0.060684100580270794</v>
      </c>
      <c r="G22" s="491"/>
      <c r="H22" s="491"/>
      <c r="I22" s="491"/>
      <c r="J22" s="491"/>
    </row>
    <row r="23" spans="1:10" ht="12.75">
      <c r="A23" s="491" t="s">
        <v>110</v>
      </c>
      <c r="B23" s="492">
        <v>0</v>
      </c>
      <c r="C23" s="492">
        <v>0</v>
      </c>
      <c r="D23" s="492">
        <f>ROUND(B23*C23,5)</f>
        <v>0</v>
      </c>
      <c r="E23" s="491"/>
      <c r="F23" s="491"/>
      <c r="G23" s="495">
        <f>SUM(F21:F22)</f>
        <v>0.06226580270793037</v>
      </c>
      <c r="H23" s="491" t="s">
        <v>209</v>
      </c>
      <c r="I23" s="491"/>
      <c r="J23" s="491"/>
    </row>
    <row r="24" spans="1:10" ht="13.5" thickBot="1">
      <c r="A24" s="491" t="s">
        <v>111</v>
      </c>
      <c r="B24" s="492">
        <v>0.483</v>
      </c>
      <c r="C24" s="492">
        <f>'Pg 1 CofCap'!E18</f>
        <v>0.098</v>
      </c>
      <c r="D24" s="492">
        <f>ROUND(B24*C24,5)</f>
        <v>0.04733</v>
      </c>
      <c r="E24" s="491"/>
      <c r="F24" s="491"/>
      <c r="G24" s="496">
        <f>G23*0.65</f>
        <v>0.04047277176015474</v>
      </c>
      <c r="H24" s="491" t="s">
        <v>210</v>
      </c>
      <c r="I24" s="491"/>
      <c r="J24" s="491"/>
    </row>
    <row r="25" spans="1:10" ht="13.5" thickBot="1">
      <c r="A25" s="497" t="s">
        <v>219</v>
      </c>
      <c r="B25" s="498">
        <f>SUM(B21:B24)</f>
        <v>0.9999999999999999</v>
      </c>
      <c r="C25" s="499"/>
      <c r="D25" s="500">
        <f>SUM(D21:D24)</f>
        <v>0.07952000000000001</v>
      </c>
      <c r="E25" s="491"/>
      <c r="F25" s="491"/>
      <c r="G25" s="501">
        <f>SUM(B21:B22)</f>
        <v>0.5169999999999999</v>
      </c>
      <c r="H25" s="491" t="s">
        <v>212</v>
      </c>
      <c r="I25" s="491"/>
      <c r="J25" s="491"/>
    </row>
    <row r="26" spans="1:10" ht="13.5" thickBot="1">
      <c r="A26" s="491"/>
      <c r="B26" s="491"/>
      <c r="C26" s="491"/>
      <c r="D26" s="491"/>
      <c r="E26" s="491"/>
      <c r="F26" s="491"/>
      <c r="I26" s="491"/>
      <c r="J26" s="491"/>
    </row>
    <row r="27" spans="1:10" ht="13.5" thickBot="1">
      <c r="A27" s="497" t="s">
        <v>213</v>
      </c>
      <c r="B27" s="491"/>
      <c r="C27" s="491"/>
      <c r="D27" s="500">
        <f>(D22+D21)*0.65+D23+D24</f>
        <v>0.0682535</v>
      </c>
      <c r="E27" s="491"/>
      <c r="F27" s="491"/>
      <c r="G27" s="491"/>
      <c r="H27" s="497" t="s">
        <v>214</v>
      </c>
      <c r="I27" s="491"/>
      <c r="J27" s="491"/>
    </row>
    <row r="28" spans="1:10" ht="12.75">
      <c r="A28" s="491"/>
      <c r="B28" s="491"/>
      <c r="C28" s="491"/>
      <c r="D28" s="491"/>
      <c r="E28" s="491"/>
      <c r="G28" s="502">
        <f>G25*G24</f>
        <v>0.020924422999999998</v>
      </c>
      <c r="H28" s="490" t="s">
        <v>215</v>
      </c>
      <c r="I28" s="491"/>
      <c r="J28" s="491"/>
    </row>
    <row r="29" spans="1:10" ht="12.75">
      <c r="A29" s="491"/>
      <c r="B29" s="491"/>
      <c r="C29" s="491"/>
      <c r="D29" s="491"/>
      <c r="E29" s="491"/>
      <c r="F29" s="491"/>
      <c r="G29" s="501">
        <f>D23</f>
        <v>0</v>
      </c>
      <c r="H29" s="490" t="s">
        <v>216</v>
      </c>
      <c r="I29" s="491"/>
      <c r="J29" s="491"/>
    </row>
    <row r="30" spans="1:10" ht="12.75">
      <c r="A30" s="491" t="s">
        <v>217</v>
      </c>
      <c r="B30" s="491"/>
      <c r="C30" s="491"/>
      <c r="D30" s="503">
        <f>D27/0.65</f>
        <v>0.1050053846153846</v>
      </c>
      <c r="E30" s="491"/>
      <c r="F30" s="491"/>
      <c r="G30" s="501">
        <f>D24</f>
        <v>0.04733</v>
      </c>
      <c r="H30" s="490" t="s">
        <v>218</v>
      </c>
      <c r="I30" s="491"/>
      <c r="J30" s="491"/>
    </row>
    <row r="31" spans="1:10" ht="12.75">
      <c r="A31" s="491"/>
      <c r="B31" s="491"/>
      <c r="C31" s="491"/>
      <c r="D31" s="491"/>
      <c r="E31" s="491"/>
      <c r="F31" s="492"/>
      <c r="G31" s="504">
        <f>SUM(G28:G30)</f>
        <v>0.068254423</v>
      </c>
      <c r="H31" s="491"/>
      <c r="I31" s="491"/>
      <c r="J31" s="491"/>
    </row>
    <row r="32" spans="1:10" ht="12.75">
      <c r="A32" s="491"/>
      <c r="B32" s="491"/>
      <c r="C32" s="491"/>
      <c r="D32" s="491"/>
      <c r="E32" s="491"/>
      <c r="F32" s="491"/>
      <c r="G32" s="491"/>
      <c r="H32" s="491"/>
      <c r="I32" s="491"/>
      <c r="J32" s="491"/>
    </row>
    <row r="33" spans="1:10" ht="12.75">
      <c r="A33" s="488" t="s">
        <v>261</v>
      </c>
      <c r="B33" s="489"/>
      <c r="C33" s="489"/>
      <c r="D33" s="489"/>
      <c r="E33" s="489"/>
      <c r="F33" s="489"/>
      <c r="G33" s="489"/>
      <c r="H33" s="489"/>
      <c r="I33" s="489"/>
      <c r="J33" s="489"/>
    </row>
    <row r="34" spans="1:10" ht="12.75">
      <c r="A34" s="491" t="s">
        <v>206</v>
      </c>
      <c r="B34" s="491"/>
      <c r="C34" s="491"/>
      <c r="D34" s="491"/>
      <c r="E34" s="491"/>
      <c r="F34" s="491"/>
      <c r="G34" s="491"/>
      <c r="H34" s="491"/>
      <c r="I34" s="491"/>
      <c r="J34" s="491"/>
    </row>
    <row r="35" spans="1:10" ht="12.75">
      <c r="A35" s="491"/>
      <c r="B35" s="492"/>
      <c r="C35" s="492"/>
      <c r="D35" s="491"/>
      <c r="E35" s="491"/>
      <c r="F35" s="491"/>
      <c r="G35" s="491"/>
      <c r="H35" s="491"/>
      <c r="I35" s="491"/>
      <c r="J35" s="491"/>
    </row>
    <row r="36" spans="1:10" ht="12.75">
      <c r="A36" s="491"/>
      <c r="B36" s="493" t="s">
        <v>207</v>
      </c>
      <c r="C36" s="493" t="s">
        <v>11</v>
      </c>
      <c r="D36" s="493" t="s">
        <v>208</v>
      </c>
      <c r="E36" s="491"/>
      <c r="F36" s="491"/>
      <c r="G36" s="491"/>
      <c r="H36" s="491"/>
      <c r="I36" s="491"/>
      <c r="J36" s="491"/>
    </row>
    <row r="37" spans="1:10" ht="12.75">
      <c r="A37" s="491" t="s">
        <v>13</v>
      </c>
      <c r="B37" s="492">
        <v>0.0223</v>
      </c>
      <c r="C37" s="492">
        <v>0.0439</v>
      </c>
      <c r="D37" s="492">
        <f>ROUND(B37*C37,5)</f>
        <v>0.00098</v>
      </c>
      <c r="E37" s="491"/>
      <c r="F37" s="492">
        <f>B37/G41*C37</f>
        <v>0.001906465433300876</v>
      </c>
      <c r="G37" s="491"/>
      <c r="H37" s="491"/>
      <c r="I37" s="491"/>
      <c r="J37" s="491"/>
    </row>
    <row r="38" spans="1:10" ht="12.75">
      <c r="A38" s="491" t="s">
        <v>14</v>
      </c>
      <c r="B38" s="494">
        <v>0.4912</v>
      </c>
      <c r="C38" s="494">
        <v>0.0638</v>
      </c>
      <c r="D38" s="492">
        <f>ROUND(B38*C38,5)</f>
        <v>0.03134</v>
      </c>
      <c r="E38" s="491"/>
      <c r="F38" s="492">
        <f>B38/G41*C38</f>
        <v>0.06102932814021421</v>
      </c>
      <c r="G38" s="491"/>
      <c r="H38" s="491"/>
      <c r="I38" s="491"/>
      <c r="J38" s="491"/>
    </row>
    <row r="39" spans="1:10" ht="12.75">
      <c r="A39" s="491" t="s">
        <v>110</v>
      </c>
      <c r="B39" s="492">
        <v>0</v>
      </c>
      <c r="C39" s="492">
        <v>0</v>
      </c>
      <c r="D39" s="492">
        <f>ROUND(B39*C39,5)</f>
        <v>0</v>
      </c>
      <c r="E39" s="491"/>
      <c r="F39" s="491"/>
      <c r="G39" s="495">
        <f>SUM(F37:F38)</f>
        <v>0.06293579357351509</v>
      </c>
      <c r="H39" s="491" t="s">
        <v>209</v>
      </c>
      <c r="I39" s="491"/>
      <c r="J39" s="491"/>
    </row>
    <row r="40" spans="1:10" ht="13.5" thickBot="1">
      <c r="A40" s="491" t="s">
        <v>111</v>
      </c>
      <c r="B40" s="492">
        <v>0.4865</v>
      </c>
      <c r="C40" s="492">
        <v>0.101</v>
      </c>
      <c r="D40" s="492">
        <f>ROUND(B40*C40,5)</f>
        <v>0.04914</v>
      </c>
      <c r="E40" s="491"/>
      <c r="F40" s="491"/>
      <c r="G40" s="496">
        <f>G39*0.65</f>
        <v>0.040908265822784805</v>
      </c>
      <c r="H40" s="491" t="s">
        <v>210</v>
      </c>
      <c r="I40" s="491"/>
      <c r="J40" s="491"/>
    </row>
    <row r="41" spans="1:10" ht="13.5" thickBot="1">
      <c r="A41" s="497" t="s">
        <v>219</v>
      </c>
      <c r="B41" s="498">
        <f>SUM(B37:B40)</f>
        <v>1</v>
      </c>
      <c r="C41" s="499"/>
      <c r="D41" s="500">
        <f>SUM(D37:D40)</f>
        <v>0.08146</v>
      </c>
      <c r="E41" s="491"/>
      <c r="F41" s="491"/>
      <c r="G41" s="501">
        <f>SUM(B37:B38)</f>
        <v>0.5135000000000001</v>
      </c>
      <c r="H41" s="491" t="s">
        <v>212</v>
      </c>
      <c r="I41" s="491"/>
      <c r="J41" s="491"/>
    </row>
    <row r="42" spans="1:10" ht="13.5" thickBot="1">
      <c r="A42" s="491"/>
      <c r="B42" s="491"/>
      <c r="C42" s="491"/>
      <c r="D42" s="491"/>
      <c r="E42" s="491"/>
      <c r="F42" s="491"/>
      <c r="I42" s="491"/>
      <c r="J42" s="491"/>
    </row>
    <row r="43" spans="1:10" ht="13.5" thickBot="1">
      <c r="A43" s="497" t="s">
        <v>213</v>
      </c>
      <c r="B43" s="491"/>
      <c r="C43" s="491"/>
      <c r="D43" s="500">
        <f>(D38+D37)*0.65+D39+D40</f>
        <v>0.070148</v>
      </c>
      <c r="E43" s="491"/>
      <c r="F43" s="491"/>
      <c r="G43" s="491"/>
      <c r="H43" s="497" t="s">
        <v>214</v>
      </c>
      <c r="I43" s="491"/>
      <c r="J43" s="491"/>
    </row>
    <row r="44" spans="1:10" ht="12.75">
      <c r="A44" s="491"/>
      <c r="B44" s="491"/>
      <c r="C44" s="491"/>
      <c r="D44" s="491"/>
      <c r="E44" s="491"/>
      <c r="G44" s="502">
        <f>G41*G40</f>
        <v>0.0210063945</v>
      </c>
      <c r="H44" s="490" t="s">
        <v>215</v>
      </c>
      <c r="I44" s="491"/>
      <c r="J44" s="491"/>
    </row>
    <row r="45" spans="1:10" ht="12.75">
      <c r="A45" s="491"/>
      <c r="B45" s="491"/>
      <c r="C45" s="491"/>
      <c r="D45" s="491"/>
      <c r="E45" s="491"/>
      <c r="F45" s="491"/>
      <c r="G45" s="501">
        <f>D39</f>
        <v>0</v>
      </c>
      <c r="H45" s="490" t="s">
        <v>216</v>
      </c>
      <c r="I45" s="491"/>
      <c r="J45" s="491"/>
    </row>
    <row r="46" spans="1:10" ht="12.75">
      <c r="A46" s="491" t="s">
        <v>217</v>
      </c>
      <c r="B46" s="491"/>
      <c r="C46" s="491"/>
      <c r="D46" s="503">
        <f>D43/0.65</f>
        <v>0.10792</v>
      </c>
      <c r="E46" s="491"/>
      <c r="F46" s="491"/>
      <c r="G46" s="501">
        <f>D40</f>
        <v>0.04914</v>
      </c>
      <c r="H46" s="490" t="s">
        <v>218</v>
      </c>
      <c r="I46" s="491"/>
      <c r="J46" s="491"/>
    </row>
    <row r="47" spans="1:10" ht="12.75">
      <c r="A47" s="491"/>
      <c r="B47" s="491"/>
      <c r="C47" s="491"/>
      <c r="D47" s="491"/>
      <c r="E47" s="491"/>
      <c r="F47" s="492"/>
      <c r="G47" s="504">
        <f>SUM(G44:G46)</f>
        <v>0.0701463945</v>
      </c>
      <c r="H47" s="491"/>
      <c r="I47" s="491"/>
      <c r="J47" s="491"/>
    </row>
    <row r="48" spans="1:10" ht="12.75">
      <c r="A48" s="491"/>
      <c r="B48" s="491"/>
      <c r="C48" s="491"/>
      <c r="D48" s="491"/>
      <c r="E48" s="491"/>
      <c r="F48" s="491"/>
      <c r="G48" s="491"/>
      <c r="H48" s="491"/>
      <c r="I48" s="491"/>
      <c r="J48" s="491"/>
    </row>
    <row r="49" spans="1:10" ht="12.75">
      <c r="A49" s="488" t="s">
        <v>222</v>
      </c>
      <c r="B49" s="489"/>
      <c r="C49" s="489"/>
      <c r="D49" s="489"/>
      <c r="E49" s="489"/>
      <c r="F49" s="489"/>
      <c r="G49" s="489"/>
      <c r="H49" s="505"/>
      <c r="I49" s="505"/>
      <c r="J49" s="505"/>
    </row>
    <row r="50" spans="1:7" ht="12.75">
      <c r="A50" s="491" t="s">
        <v>206</v>
      </c>
      <c r="B50" s="491"/>
      <c r="C50" s="491"/>
      <c r="D50" s="491"/>
      <c r="E50" s="491"/>
      <c r="F50" s="491"/>
      <c r="G50" s="491"/>
    </row>
    <row r="51" spans="1:7" ht="12.75">
      <c r="A51" s="491"/>
      <c r="B51" s="491"/>
      <c r="C51" s="491"/>
      <c r="D51" s="491"/>
      <c r="E51" s="491"/>
      <c r="F51" s="491"/>
      <c r="G51" s="491"/>
    </row>
    <row r="52" spans="1:7" ht="12.75">
      <c r="A52" s="491"/>
      <c r="B52" s="493" t="s">
        <v>207</v>
      </c>
      <c r="C52" s="493" t="s">
        <v>11</v>
      </c>
      <c r="D52" s="493" t="s">
        <v>208</v>
      </c>
      <c r="E52" s="491"/>
      <c r="F52" s="491"/>
      <c r="G52" s="491"/>
    </row>
    <row r="53" spans="1:7" ht="12.75">
      <c r="A53" s="491" t="s">
        <v>13</v>
      </c>
      <c r="B53" s="492">
        <v>0.0205</v>
      </c>
      <c r="C53" s="492">
        <v>0.0511</v>
      </c>
      <c r="D53" s="492">
        <f>B53*C53</f>
        <v>0.00104755</v>
      </c>
      <c r="E53" s="491"/>
      <c r="F53" s="492">
        <f>B53/G57*C53</f>
        <v>0.002032499029879705</v>
      </c>
      <c r="G53" s="491"/>
    </row>
    <row r="54" spans="1:7" ht="12.75">
      <c r="A54" s="491" t="s">
        <v>14</v>
      </c>
      <c r="B54" s="492">
        <v>0.4949</v>
      </c>
      <c r="C54" s="492">
        <v>0.0659</v>
      </c>
      <c r="D54" s="492">
        <f>B54*C54</f>
        <v>0.03261391</v>
      </c>
      <c r="E54" s="491"/>
      <c r="F54" s="492">
        <f>B54/G57*C54</f>
        <v>0.06327883197516493</v>
      </c>
      <c r="G54" s="491"/>
    </row>
    <row r="55" spans="1:8" ht="12.75">
      <c r="A55" s="491" t="s">
        <v>110</v>
      </c>
      <c r="B55" s="492">
        <v>0</v>
      </c>
      <c r="C55" s="492">
        <v>0</v>
      </c>
      <c r="D55" s="494">
        <f>B55*C55</f>
        <v>0</v>
      </c>
      <c r="E55" s="491"/>
      <c r="F55" s="491"/>
      <c r="G55" s="495">
        <f>SUM(F53:F54)</f>
        <v>0.06531133100504463</v>
      </c>
      <c r="H55" s="491" t="s">
        <v>209</v>
      </c>
    </row>
    <row r="56" spans="1:8" ht="13.5" thickBot="1">
      <c r="A56" s="491" t="s">
        <v>111</v>
      </c>
      <c r="B56" s="492">
        <v>0.4846</v>
      </c>
      <c r="C56" s="492">
        <v>0.101</v>
      </c>
      <c r="D56" s="494">
        <f>B56*C56</f>
        <v>0.0489446</v>
      </c>
      <c r="E56" s="491"/>
      <c r="F56" s="491"/>
      <c r="G56" s="496">
        <f>G55*0.65</f>
        <v>0.04245236515327901</v>
      </c>
      <c r="H56" s="491" t="s">
        <v>210</v>
      </c>
    </row>
    <row r="57" spans="1:8" ht="13.5" thickBot="1">
      <c r="A57" s="497" t="s">
        <v>219</v>
      </c>
      <c r="B57" s="498">
        <f>SUM(B53:B56)</f>
        <v>1</v>
      </c>
      <c r="C57" s="499"/>
      <c r="D57" s="500">
        <f>SUM(D53:D56)</f>
        <v>0.08260606000000001</v>
      </c>
      <c r="E57" s="491"/>
      <c r="F57" s="491"/>
      <c r="G57" s="501">
        <f>SUM(B53:B54)</f>
        <v>0.5154</v>
      </c>
      <c r="H57" s="491" t="s">
        <v>212</v>
      </c>
    </row>
    <row r="58" spans="1:6" ht="13.5" thickBot="1">
      <c r="A58" s="491"/>
      <c r="B58" s="491"/>
      <c r="C58" s="491"/>
      <c r="D58" s="491"/>
      <c r="E58" s="491"/>
      <c r="F58" s="491"/>
    </row>
    <row r="59" spans="1:8" ht="13.5" thickBot="1">
      <c r="A59" s="497" t="s">
        <v>213</v>
      </c>
      <c r="B59" s="491"/>
      <c r="C59" s="491"/>
      <c r="D59" s="500">
        <f>(D54+D53)*0.65+D55+D56</f>
        <v>0.070824549</v>
      </c>
      <c r="E59" s="491"/>
      <c r="F59" s="491"/>
      <c r="G59" s="491"/>
      <c r="H59" s="497" t="s">
        <v>214</v>
      </c>
    </row>
    <row r="60" spans="1:8" ht="12.75">
      <c r="A60" s="491"/>
      <c r="B60" s="491"/>
      <c r="C60" s="491"/>
      <c r="D60" s="491"/>
      <c r="E60" s="491"/>
      <c r="G60" s="502">
        <f>G57*G56</f>
        <v>0.021879949000000003</v>
      </c>
      <c r="H60" s="490" t="s">
        <v>215</v>
      </c>
    </row>
    <row r="61" spans="1:8" ht="12.75">
      <c r="A61" s="491"/>
      <c r="B61" s="491"/>
      <c r="C61" s="491"/>
      <c r="D61" s="491"/>
      <c r="E61" s="491"/>
      <c r="F61" s="491"/>
      <c r="G61" s="501">
        <f>D55</f>
        <v>0</v>
      </c>
      <c r="H61" s="490" t="s">
        <v>216</v>
      </c>
    </row>
    <row r="62" spans="1:8" ht="12.75">
      <c r="A62" s="491" t="s">
        <v>217</v>
      </c>
      <c r="B62" s="491"/>
      <c r="C62" s="491"/>
      <c r="D62" s="503">
        <f>D59/0.65</f>
        <v>0.10896084461538462</v>
      </c>
      <c r="E62" s="491"/>
      <c r="F62" s="491"/>
      <c r="G62" s="501">
        <f>D56</f>
        <v>0.0489446</v>
      </c>
      <c r="H62" s="490" t="s">
        <v>218</v>
      </c>
    </row>
    <row r="63" spans="1:7" ht="12.75">
      <c r="A63" s="491"/>
      <c r="B63" s="491"/>
      <c r="C63" s="491"/>
      <c r="D63" s="491"/>
      <c r="E63" s="491"/>
      <c r="F63" s="492"/>
      <c r="G63" s="504">
        <f>SUM(G60:G62)</f>
        <v>0.070824549</v>
      </c>
    </row>
    <row r="65" spans="1:10" ht="12.75">
      <c r="A65" s="488" t="s">
        <v>220</v>
      </c>
      <c r="B65" s="489"/>
      <c r="C65" s="489"/>
      <c r="D65" s="489"/>
      <c r="E65" s="489"/>
      <c r="F65" s="489"/>
      <c r="G65" s="489"/>
      <c r="H65" s="505"/>
      <c r="I65" s="505"/>
      <c r="J65" s="505"/>
    </row>
    <row r="66" spans="1:7" ht="12.75">
      <c r="A66" s="491" t="s">
        <v>206</v>
      </c>
      <c r="B66" s="491"/>
      <c r="C66" s="491"/>
      <c r="D66" s="491"/>
      <c r="E66" s="491"/>
      <c r="F66" s="491"/>
      <c r="G66" s="491"/>
    </row>
    <row r="67" spans="1:7" ht="12.75">
      <c r="A67" s="491"/>
      <c r="B67" s="491"/>
      <c r="C67" s="491"/>
      <c r="D67" s="491"/>
      <c r="E67" s="491"/>
      <c r="F67" s="491"/>
      <c r="G67" s="491"/>
    </row>
    <row r="68" spans="1:7" ht="12.75">
      <c r="A68" s="491"/>
      <c r="B68" s="493" t="s">
        <v>207</v>
      </c>
      <c r="C68" s="493" t="s">
        <v>11</v>
      </c>
      <c r="D68" s="493" t="s">
        <v>208</v>
      </c>
      <c r="E68" s="491"/>
      <c r="F68" s="491"/>
      <c r="G68" s="491"/>
    </row>
    <row r="69" spans="1:7" ht="12.75">
      <c r="A69" s="491" t="s">
        <v>13</v>
      </c>
      <c r="B69" s="492">
        <v>0.0378</v>
      </c>
      <c r="C69" s="492">
        <v>0.03717940715569636</v>
      </c>
      <c r="D69" s="492">
        <f>B69*C69</f>
        <v>0.0014053815904853226</v>
      </c>
      <c r="E69" s="491"/>
      <c r="F69" s="492">
        <f>B69/G73*C69</f>
        <v>0.0028547259607664484</v>
      </c>
      <c r="G69" s="491"/>
    </row>
    <row r="70" spans="1:7" ht="12.75">
      <c r="A70" s="491" t="s">
        <v>14</v>
      </c>
      <c r="B70" s="492">
        <v>0.4545</v>
      </c>
      <c r="C70" s="492">
        <v>0.0685</v>
      </c>
      <c r="D70" s="492">
        <f>B70*C70</f>
        <v>0.031133250000000005</v>
      </c>
      <c r="E70" s="491"/>
      <c r="F70" s="492">
        <f>B70/G73*C70</f>
        <v>0.06324040219378428</v>
      </c>
      <c r="G70" s="491"/>
    </row>
    <row r="71" spans="1:8" ht="12.75">
      <c r="A71" s="491" t="s">
        <v>110</v>
      </c>
      <c r="B71" s="492">
        <v>0</v>
      </c>
      <c r="C71" s="492">
        <v>0.4866</v>
      </c>
      <c r="D71" s="494">
        <f>B71*C71</f>
        <v>0</v>
      </c>
      <c r="E71" s="491"/>
      <c r="F71" s="491"/>
      <c r="G71" s="495">
        <f>SUM(F69:F70)</f>
        <v>0.06609512815455074</v>
      </c>
      <c r="H71" s="491" t="s">
        <v>209</v>
      </c>
    </row>
    <row r="72" spans="1:8" ht="13.5" thickBot="1">
      <c r="A72" s="491" t="s">
        <v>111</v>
      </c>
      <c r="B72" s="492">
        <v>0.5077</v>
      </c>
      <c r="C72" s="492">
        <v>0.1015</v>
      </c>
      <c r="D72" s="494">
        <f>B72*C72</f>
        <v>0.05153155000000001</v>
      </c>
      <c r="E72" s="491"/>
      <c r="F72" s="491"/>
      <c r="G72" s="496">
        <f>G71*0.65</f>
        <v>0.04296183330045798</v>
      </c>
      <c r="H72" s="491" t="s">
        <v>210</v>
      </c>
    </row>
    <row r="73" spans="1:8" ht="13.5" thickBot="1">
      <c r="A73" s="497" t="s">
        <v>219</v>
      </c>
      <c r="B73" s="498">
        <f>SUM(B69:B72)</f>
        <v>1</v>
      </c>
      <c r="C73" s="499"/>
      <c r="D73" s="500">
        <f>SUM(D69:D72)</f>
        <v>0.08407018159048534</v>
      </c>
      <c r="E73" s="491"/>
      <c r="F73" s="491"/>
      <c r="G73" s="501">
        <f>SUM(B69:B70)</f>
        <v>0.4923</v>
      </c>
      <c r="H73" s="491" t="s">
        <v>212</v>
      </c>
    </row>
    <row r="74" spans="1:6" ht="13.5" thickBot="1">
      <c r="A74" s="491"/>
      <c r="B74" s="491"/>
      <c r="C74" s="491"/>
      <c r="D74" s="491"/>
      <c r="E74" s="491"/>
      <c r="F74" s="491"/>
    </row>
    <row r="75" spans="1:8" ht="13.5" thickBot="1">
      <c r="A75" s="497" t="s">
        <v>213</v>
      </c>
      <c r="B75" s="491"/>
      <c r="C75" s="491"/>
      <c r="D75" s="500">
        <f>(D70+D69)*0.65+D71+D72</f>
        <v>0.07268166053381547</v>
      </c>
      <c r="E75" s="491"/>
      <c r="F75" s="491"/>
      <c r="G75" s="491"/>
      <c r="H75" s="497" t="s">
        <v>214</v>
      </c>
    </row>
    <row r="76" spans="1:8" ht="12.75">
      <c r="A76" s="491"/>
      <c r="B76" s="491"/>
      <c r="C76" s="491"/>
      <c r="D76" s="491"/>
      <c r="E76" s="491"/>
      <c r="G76" s="502">
        <f>G73*G72</f>
        <v>0.021150110533815467</v>
      </c>
      <c r="H76" s="490" t="s">
        <v>215</v>
      </c>
    </row>
    <row r="77" spans="1:8" ht="12.75">
      <c r="A77" s="491"/>
      <c r="B77" s="491"/>
      <c r="C77" s="491"/>
      <c r="D77" s="491"/>
      <c r="E77" s="491"/>
      <c r="F77" s="491"/>
      <c r="G77" s="501">
        <f>D71</f>
        <v>0</v>
      </c>
      <c r="H77" s="490" t="s">
        <v>216</v>
      </c>
    </row>
    <row r="78" spans="1:8" ht="12.75">
      <c r="A78" s="491" t="s">
        <v>217</v>
      </c>
      <c r="B78" s="491"/>
      <c r="C78" s="491"/>
      <c r="D78" s="503">
        <f>D75/0.65</f>
        <v>0.11181793928279303</v>
      </c>
      <c r="E78" s="491"/>
      <c r="F78" s="491"/>
      <c r="G78" s="501">
        <f>D72</f>
        <v>0.05153155000000001</v>
      </c>
      <c r="H78" s="490" t="s">
        <v>218</v>
      </c>
    </row>
    <row r="79" spans="1:7" ht="12.75">
      <c r="A79" s="491"/>
      <c r="B79" s="491"/>
      <c r="C79" s="491"/>
      <c r="D79" s="491"/>
      <c r="E79" s="491"/>
      <c r="F79" s="492"/>
      <c r="G79" s="504">
        <f>SUM(G76:G78)</f>
        <v>0.07268166053381547</v>
      </c>
    </row>
    <row r="83" spans="1:10" ht="12.75">
      <c r="A83" s="488" t="s">
        <v>221</v>
      </c>
      <c r="B83" s="489"/>
      <c r="C83" s="489"/>
      <c r="D83" s="489"/>
      <c r="E83" s="489"/>
      <c r="F83" s="489"/>
      <c r="G83" s="489"/>
      <c r="H83" s="505"/>
      <c r="I83" s="505"/>
      <c r="J83" s="505"/>
    </row>
    <row r="84" spans="1:7" ht="12.75">
      <c r="A84" s="491" t="s">
        <v>206</v>
      </c>
      <c r="B84" s="491"/>
      <c r="C84" s="491"/>
      <c r="D84" s="491"/>
      <c r="E84" s="491"/>
      <c r="F84" s="491"/>
      <c r="G84" s="491"/>
    </row>
    <row r="85" spans="1:7" ht="12.75">
      <c r="A85" s="491"/>
      <c r="B85" s="491"/>
      <c r="C85" s="491"/>
      <c r="D85" s="491"/>
      <c r="E85" s="491"/>
      <c r="F85" s="491"/>
      <c r="G85" s="491"/>
    </row>
    <row r="86" spans="1:7" ht="12.75">
      <c r="A86" s="491"/>
      <c r="B86" s="493" t="s">
        <v>207</v>
      </c>
      <c r="C86" s="493" t="s">
        <v>11</v>
      </c>
      <c r="D86" s="493" t="s">
        <v>208</v>
      </c>
      <c r="E86" s="491"/>
      <c r="F86" s="491"/>
      <c r="G86" s="491"/>
    </row>
    <row r="87" spans="1:7" ht="12.75">
      <c r="A87" s="491" t="s">
        <v>13</v>
      </c>
      <c r="B87" s="492">
        <v>0.066</v>
      </c>
      <c r="C87" s="492">
        <v>0.03837499500584717</v>
      </c>
      <c r="D87" s="492">
        <f>B87*C87</f>
        <v>0.0025327496703859134</v>
      </c>
      <c r="E87" s="491"/>
      <c r="F87" s="492">
        <f>B87/G91*C87</f>
        <v>0.004580017487135468</v>
      </c>
      <c r="G87" s="491"/>
    </row>
    <row r="88" spans="1:7" ht="12.75">
      <c r="A88" s="491" t="s">
        <v>14</v>
      </c>
      <c r="B88" s="492">
        <v>0.487</v>
      </c>
      <c r="C88" s="492">
        <v>0.0679</v>
      </c>
      <c r="D88" s="492">
        <f>B88*C88</f>
        <v>0.0330673</v>
      </c>
      <c r="E88" s="491"/>
      <c r="F88" s="492">
        <f>B88/G91*C88</f>
        <v>0.059796202531645574</v>
      </c>
      <c r="G88" s="491"/>
    </row>
    <row r="89" spans="1:8" ht="12.75">
      <c r="A89" s="491" t="s">
        <v>110</v>
      </c>
      <c r="B89" s="492">
        <v>0.0003</v>
      </c>
      <c r="C89" s="492">
        <v>0.0861</v>
      </c>
      <c r="D89" s="494">
        <f>B89*C89</f>
        <v>2.5829999999999995E-05</v>
      </c>
      <c r="E89" s="491"/>
      <c r="F89" s="491"/>
      <c r="G89" s="495">
        <f>SUM(F87:F88)</f>
        <v>0.06437622001878104</v>
      </c>
      <c r="H89" s="491" t="s">
        <v>209</v>
      </c>
    </row>
    <row r="90" spans="1:8" ht="13.5" thickBot="1">
      <c r="A90" s="491" t="s">
        <v>111</v>
      </c>
      <c r="B90" s="492">
        <v>0.4467</v>
      </c>
      <c r="C90" s="492">
        <v>0.1015</v>
      </c>
      <c r="D90" s="494">
        <f>B90*C90</f>
        <v>0.04534005</v>
      </c>
      <c r="E90" s="491"/>
      <c r="F90" s="491"/>
      <c r="G90" s="496">
        <f>G89*0.65</f>
        <v>0.04184454301220768</v>
      </c>
      <c r="H90" s="491" t="s">
        <v>210</v>
      </c>
    </row>
    <row r="91" spans="1:8" ht="13.5" thickBot="1">
      <c r="A91" s="497" t="s">
        <v>219</v>
      </c>
      <c r="B91" s="498">
        <f>SUM(B87:B90)</f>
        <v>0.9999999999999999</v>
      </c>
      <c r="C91" s="499"/>
      <c r="D91" s="500">
        <f>SUM(D87:D90)</f>
        <v>0.0809659296703859</v>
      </c>
      <c r="E91" s="491"/>
      <c r="F91" s="491"/>
      <c r="G91" s="501">
        <f>SUM(B87:B88)</f>
        <v>0.5529999999999999</v>
      </c>
      <c r="H91" s="491" t="s">
        <v>212</v>
      </c>
    </row>
    <row r="92" spans="1:6" ht="13.5" thickBot="1">
      <c r="A92" s="491"/>
      <c r="B92" s="491"/>
      <c r="C92" s="491"/>
      <c r="D92" s="491"/>
      <c r="E92" s="491"/>
      <c r="F92" s="491"/>
    </row>
    <row r="93" spans="1:8" ht="13.5" thickBot="1">
      <c r="A93" s="497" t="s">
        <v>213</v>
      </c>
      <c r="B93" s="491"/>
      <c r="C93" s="491"/>
      <c r="D93" s="500">
        <f>(D88+D87)*0.65+D89+D90</f>
        <v>0.06850591228575084</v>
      </c>
      <c r="E93" s="491"/>
      <c r="F93" s="491"/>
      <c r="G93" s="491"/>
      <c r="H93" s="497" t="s">
        <v>214</v>
      </c>
    </row>
    <row r="94" spans="1:8" ht="12.75">
      <c r="A94" s="491"/>
      <c r="B94" s="491"/>
      <c r="C94" s="491"/>
      <c r="D94" s="491"/>
      <c r="E94" s="491"/>
      <c r="G94" s="502">
        <f>G91*G90</f>
        <v>0.023140032285750844</v>
      </c>
      <c r="H94" s="490" t="s">
        <v>215</v>
      </c>
    </row>
    <row r="95" spans="1:8" ht="12.75">
      <c r="A95" s="491"/>
      <c r="B95" s="491"/>
      <c r="C95" s="491"/>
      <c r="D95" s="491"/>
      <c r="E95" s="491"/>
      <c r="F95" s="491"/>
      <c r="G95" s="501">
        <f>D89</f>
        <v>2.5829999999999995E-05</v>
      </c>
      <c r="H95" s="490" t="s">
        <v>216</v>
      </c>
    </row>
    <row r="96" spans="1:8" ht="12.75">
      <c r="A96" s="491" t="s">
        <v>217</v>
      </c>
      <c r="B96" s="491"/>
      <c r="C96" s="491"/>
      <c r="D96" s="503">
        <f>D93/0.65</f>
        <v>0.10539371120884744</v>
      </c>
      <c r="E96" s="491"/>
      <c r="F96" s="491"/>
      <c r="G96" s="501">
        <f>D90</f>
        <v>0.04534005</v>
      </c>
      <c r="H96" s="490" t="s">
        <v>218</v>
      </c>
    </row>
    <row r="97" spans="1:7" ht="12.75">
      <c r="A97" s="491"/>
      <c r="B97" s="491"/>
      <c r="C97" s="491"/>
      <c r="D97" s="491"/>
      <c r="E97" s="491"/>
      <c r="F97" s="492"/>
      <c r="G97" s="504">
        <f>SUM(G94:G96)</f>
        <v>0.06850591228575084</v>
      </c>
    </row>
    <row r="101" spans="1:10" ht="12.75">
      <c r="A101" s="506" t="s">
        <v>223</v>
      </c>
      <c r="B101" s="507"/>
      <c r="C101" s="507"/>
      <c r="D101" s="507"/>
      <c r="E101" s="507"/>
      <c r="F101" s="507"/>
      <c r="G101" s="507"/>
      <c r="H101" s="507"/>
      <c r="I101" s="507"/>
      <c r="J101" s="507"/>
    </row>
    <row r="102" spans="1:10" ht="12.75">
      <c r="A102" s="491" t="s">
        <v>206</v>
      </c>
      <c r="B102" s="491"/>
      <c r="C102" s="491"/>
      <c r="D102" s="491"/>
      <c r="E102" s="491"/>
      <c r="F102" s="491"/>
      <c r="G102" s="491"/>
      <c r="H102" s="491"/>
      <c r="I102" s="491"/>
      <c r="J102" s="491"/>
    </row>
    <row r="103" spans="1:10" ht="12.75">
      <c r="A103" s="491"/>
      <c r="B103" s="492"/>
      <c r="C103" s="492"/>
      <c r="D103" s="491"/>
      <c r="E103" s="491"/>
      <c r="F103" s="491"/>
      <c r="G103" s="491"/>
      <c r="H103" s="491"/>
      <c r="I103" s="491"/>
      <c r="J103" s="491"/>
    </row>
    <row r="104" spans="1:10" ht="12.75">
      <c r="A104" s="491"/>
      <c r="B104" s="493" t="s">
        <v>207</v>
      </c>
      <c r="C104" s="493" t="s">
        <v>11</v>
      </c>
      <c r="D104" s="493" t="s">
        <v>208</v>
      </c>
      <c r="E104" s="491"/>
      <c r="F104" s="491"/>
      <c r="G104" s="491"/>
      <c r="H104" s="491"/>
      <c r="I104" s="491"/>
      <c r="J104" s="491"/>
    </row>
    <row r="105" spans="1:10" ht="12.75">
      <c r="A105" s="491" t="s">
        <v>13</v>
      </c>
      <c r="B105" s="494">
        <v>0.0395</v>
      </c>
      <c r="C105" s="494">
        <v>0.0247</v>
      </c>
      <c r="D105" s="492">
        <f>ROUND(B105*C105,4)</f>
        <v>0.001</v>
      </c>
      <c r="E105" s="491"/>
      <c r="F105" s="492">
        <f>B105/G109*C105</f>
        <v>0.0018067592592592595</v>
      </c>
      <c r="G105" s="491"/>
      <c r="H105" s="491"/>
      <c r="I105" s="491"/>
      <c r="J105" s="491"/>
    </row>
    <row r="106" spans="1:10" ht="12.75">
      <c r="A106" s="491" t="s">
        <v>14</v>
      </c>
      <c r="B106" s="494">
        <v>0.5005</v>
      </c>
      <c r="C106" s="494">
        <v>0.067</v>
      </c>
      <c r="D106" s="492">
        <f>ROUND(B106*C106,4)</f>
        <v>0.0335</v>
      </c>
      <c r="E106" s="491"/>
      <c r="F106" s="492">
        <f>B106/G109*C106</f>
        <v>0.062099074074074084</v>
      </c>
      <c r="G106" s="491"/>
      <c r="H106" s="491"/>
      <c r="I106" s="491"/>
      <c r="J106" s="491"/>
    </row>
    <row r="107" spans="1:10" ht="12.75">
      <c r="A107" s="491" t="s">
        <v>110</v>
      </c>
      <c r="B107" s="494">
        <v>0</v>
      </c>
      <c r="C107" s="494">
        <v>0</v>
      </c>
      <c r="D107" s="492">
        <f>ROUND(B107*C107,4)</f>
        <v>0</v>
      </c>
      <c r="E107" s="491"/>
      <c r="F107" s="491"/>
      <c r="G107" s="495">
        <f>SUM(F105:F106)</f>
        <v>0.06390583333333334</v>
      </c>
      <c r="H107" s="491" t="s">
        <v>209</v>
      </c>
      <c r="I107" s="491"/>
      <c r="J107" s="491"/>
    </row>
    <row r="108" spans="1:10" ht="13.5" thickBot="1">
      <c r="A108" s="491" t="s">
        <v>111</v>
      </c>
      <c r="B108" s="492">
        <f>45%+1%</f>
        <v>0.46</v>
      </c>
      <c r="C108" s="492">
        <v>0.101</v>
      </c>
      <c r="D108" s="492">
        <f>ROUND(B108*C108,4)</f>
        <v>0.0465</v>
      </c>
      <c r="E108" s="491"/>
      <c r="F108" s="491"/>
      <c r="G108" s="496">
        <f>G107*0.65</f>
        <v>0.04153879166666667</v>
      </c>
      <c r="H108" s="491" t="s">
        <v>210</v>
      </c>
      <c r="I108" s="491"/>
      <c r="J108" s="491"/>
    </row>
    <row r="109" spans="1:10" ht="13.5" thickBot="1">
      <c r="A109" s="497" t="s">
        <v>211</v>
      </c>
      <c r="B109" s="498">
        <f>SUM(B105:B108)</f>
        <v>1</v>
      </c>
      <c r="C109" s="499"/>
      <c r="D109" s="500">
        <f>SUM(D105:D108)</f>
        <v>0.081</v>
      </c>
      <c r="E109" s="491"/>
      <c r="F109" s="491"/>
      <c r="G109" s="501">
        <f>SUM(B105:B106)</f>
        <v>0.5399999999999999</v>
      </c>
      <c r="H109" s="491" t="s">
        <v>212</v>
      </c>
      <c r="I109" s="491"/>
      <c r="J109" s="491"/>
    </row>
    <row r="110" spans="1:10" ht="13.5" thickBot="1">
      <c r="A110" s="491"/>
      <c r="B110" s="491"/>
      <c r="C110" s="491"/>
      <c r="D110" s="491"/>
      <c r="E110" s="491"/>
      <c r="F110" s="491"/>
      <c r="I110" s="491"/>
      <c r="J110" s="491"/>
    </row>
    <row r="111" spans="1:10" ht="13.5" thickBot="1">
      <c r="A111" s="497" t="s">
        <v>213</v>
      </c>
      <c r="B111" s="491"/>
      <c r="C111" s="491"/>
      <c r="D111" s="500">
        <f>(D106+D105)*0.65+D107+D108</f>
        <v>0.068925</v>
      </c>
      <c r="E111" s="491"/>
      <c r="F111" s="491"/>
      <c r="G111" s="491"/>
      <c r="H111" s="497" t="s">
        <v>214</v>
      </c>
      <c r="I111" s="491"/>
      <c r="J111" s="491"/>
    </row>
    <row r="112" spans="1:10" ht="12.75">
      <c r="A112" s="491"/>
      <c r="B112" s="491"/>
      <c r="C112" s="491"/>
      <c r="D112" s="491"/>
      <c r="E112" s="491"/>
      <c r="G112" s="502">
        <f>G109*G108</f>
        <v>0.0224309475</v>
      </c>
      <c r="H112" s="490" t="s">
        <v>215</v>
      </c>
      <c r="I112" s="491"/>
      <c r="J112" s="491"/>
    </row>
    <row r="113" spans="1:10" ht="12.75">
      <c r="A113" s="491"/>
      <c r="B113" s="491"/>
      <c r="C113" s="491"/>
      <c r="D113" s="491"/>
      <c r="E113" s="491"/>
      <c r="F113" s="491"/>
      <c r="G113" s="501">
        <f>D107</f>
        <v>0</v>
      </c>
      <c r="H113" s="490" t="s">
        <v>216</v>
      </c>
      <c r="I113" s="491"/>
      <c r="J113" s="491"/>
    </row>
    <row r="114" spans="1:10" ht="12.75">
      <c r="A114" s="491" t="s">
        <v>217</v>
      </c>
      <c r="B114" s="491"/>
      <c r="C114" s="491"/>
      <c r="D114" s="503">
        <f>D111/0.65</f>
        <v>0.10603846153846154</v>
      </c>
      <c r="E114" s="491"/>
      <c r="F114" s="491"/>
      <c r="G114" s="501">
        <f>D108</f>
        <v>0.0465</v>
      </c>
      <c r="H114" s="490" t="s">
        <v>218</v>
      </c>
      <c r="I114" s="491"/>
      <c r="J114" s="491"/>
    </row>
    <row r="115" spans="1:10" ht="12.75">
      <c r="A115" s="491"/>
      <c r="B115" s="491"/>
      <c r="C115" s="491"/>
      <c r="D115" s="491"/>
      <c r="E115" s="491"/>
      <c r="F115" s="492"/>
      <c r="G115" s="504">
        <f>SUM(G112:G114)</f>
        <v>0.0689309475</v>
      </c>
      <c r="H115" s="491"/>
      <c r="I115" s="491"/>
      <c r="J115" s="491"/>
    </row>
    <row r="116" spans="2:3" ht="12.75">
      <c r="B116" s="494"/>
      <c r="C116" s="494"/>
    </row>
    <row r="119" spans="1:10" ht="12.75">
      <c r="A119" s="506" t="s">
        <v>224</v>
      </c>
      <c r="B119" s="507"/>
      <c r="C119" s="507"/>
      <c r="D119" s="507"/>
      <c r="E119" s="507"/>
      <c r="F119" s="507"/>
      <c r="G119" s="507"/>
      <c r="H119" s="507"/>
      <c r="I119" s="507"/>
      <c r="J119" s="507"/>
    </row>
    <row r="120" spans="1:10" ht="12.75">
      <c r="A120" s="491" t="s">
        <v>206</v>
      </c>
      <c r="B120" s="491"/>
      <c r="C120" s="491"/>
      <c r="D120" s="491"/>
      <c r="E120" s="491"/>
      <c r="F120" s="491"/>
      <c r="G120" s="491"/>
      <c r="H120" s="491"/>
      <c r="I120" s="491"/>
      <c r="J120" s="491"/>
    </row>
    <row r="121" spans="1:10" ht="12.75">
      <c r="A121" s="491"/>
      <c r="B121" s="492"/>
      <c r="C121" s="492"/>
      <c r="D121" s="491"/>
      <c r="E121" s="491"/>
      <c r="F121" s="491"/>
      <c r="G121" s="491"/>
      <c r="H121" s="491"/>
      <c r="I121" s="491"/>
      <c r="J121" s="491"/>
    </row>
    <row r="122" spans="1:10" ht="12.75">
      <c r="A122" s="491"/>
      <c r="B122" s="493" t="s">
        <v>207</v>
      </c>
      <c r="C122" s="493" t="s">
        <v>11</v>
      </c>
      <c r="D122" s="493" t="s">
        <v>208</v>
      </c>
      <c r="E122" s="491"/>
      <c r="F122" s="491"/>
      <c r="G122" s="491"/>
      <c r="H122" s="491"/>
      <c r="I122" s="491"/>
      <c r="J122" s="491"/>
    </row>
    <row r="123" spans="1:10" ht="12.75">
      <c r="A123" s="491" t="s">
        <v>13</v>
      </c>
      <c r="B123" s="492">
        <v>0.0493</v>
      </c>
      <c r="C123" s="492">
        <v>0.0409</v>
      </c>
      <c r="D123" s="492">
        <f>ROUND(B123*C123,4)</f>
        <v>0.002</v>
      </c>
      <c r="E123" s="491"/>
      <c r="F123" s="492">
        <f>B123/G127*C123</f>
        <v>0.0037360941263664994</v>
      </c>
      <c r="G123" s="491"/>
      <c r="H123" s="491"/>
      <c r="I123" s="491"/>
      <c r="J123" s="491"/>
    </row>
    <row r="124" spans="1:10" ht="12.75">
      <c r="A124" s="491" t="s">
        <v>14</v>
      </c>
      <c r="B124" s="494">
        <f>50.04%-1%</f>
        <v>0.49039999999999995</v>
      </c>
      <c r="C124" s="492">
        <v>0.069</v>
      </c>
      <c r="D124" s="492">
        <f>ROUND(B124*C124,4)</f>
        <v>0.0338</v>
      </c>
      <c r="E124" s="491"/>
      <c r="F124" s="492">
        <f>B124/G127*C124</f>
        <v>0.06269705391884381</v>
      </c>
      <c r="G124" s="491"/>
      <c r="H124" s="491"/>
      <c r="I124" s="491"/>
      <c r="J124" s="491"/>
    </row>
    <row r="125" spans="1:10" ht="12.75">
      <c r="A125" s="491" t="s">
        <v>110</v>
      </c>
      <c r="B125" s="492">
        <v>0.0003</v>
      </c>
      <c r="C125" s="492">
        <v>0.0861</v>
      </c>
      <c r="D125" s="492">
        <f>ROUND(B125*C125,4)</f>
        <v>0</v>
      </c>
      <c r="E125" s="491"/>
      <c r="F125" s="491"/>
      <c r="G125" s="495">
        <f>SUM(F123:F124)</f>
        <v>0.0664331480452103</v>
      </c>
      <c r="H125" s="491" t="s">
        <v>209</v>
      </c>
      <c r="I125" s="491"/>
      <c r="J125" s="491"/>
    </row>
    <row r="126" spans="1:10" ht="13.5" thickBot="1">
      <c r="A126" s="491" t="s">
        <v>111</v>
      </c>
      <c r="B126" s="492">
        <f>45%+1%</f>
        <v>0.46</v>
      </c>
      <c r="C126" s="492">
        <v>0.1015</v>
      </c>
      <c r="D126" s="492">
        <f>ROUND(B126*C126,4)</f>
        <v>0.0467</v>
      </c>
      <c r="E126" s="491"/>
      <c r="F126" s="491"/>
      <c r="G126" s="496">
        <f>G125*0.65</f>
        <v>0.0431815462293867</v>
      </c>
      <c r="H126" s="491" t="s">
        <v>210</v>
      </c>
      <c r="I126" s="491"/>
      <c r="J126" s="491"/>
    </row>
    <row r="127" spans="1:10" ht="13.5" thickBot="1">
      <c r="A127" s="497" t="s">
        <v>211</v>
      </c>
      <c r="B127" s="498">
        <f>SUM(B123:B126)</f>
        <v>1</v>
      </c>
      <c r="C127" s="499"/>
      <c r="D127" s="500">
        <f>SUM(D123:D126)</f>
        <v>0.08249999999999999</v>
      </c>
      <c r="E127" s="491"/>
      <c r="F127" s="491"/>
      <c r="G127" s="501">
        <f>SUM(B123:B124)</f>
        <v>0.5397</v>
      </c>
      <c r="H127" s="491" t="s">
        <v>212</v>
      </c>
      <c r="I127" s="491"/>
      <c r="J127" s="491"/>
    </row>
    <row r="128" spans="1:10" ht="13.5" thickBot="1">
      <c r="A128" s="491"/>
      <c r="B128" s="491"/>
      <c r="C128" s="491"/>
      <c r="D128" s="491"/>
      <c r="E128" s="491"/>
      <c r="F128" s="491"/>
      <c r="I128" s="491"/>
      <c r="J128" s="491"/>
    </row>
    <row r="129" spans="1:10" ht="13.5" thickBot="1">
      <c r="A129" s="497" t="s">
        <v>213</v>
      </c>
      <c r="B129" s="491"/>
      <c r="C129" s="491"/>
      <c r="D129" s="500">
        <f>(D124+D123)*0.65+D125+D126</f>
        <v>0.06997</v>
      </c>
      <c r="E129" s="491"/>
      <c r="F129" s="491"/>
      <c r="G129" s="491"/>
      <c r="H129" s="497" t="s">
        <v>214</v>
      </c>
      <c r="I129" s="491"/>
      <c r="J129" s="491"/>
    </row>
    <row r="130" spans="1:10" ht="12.75">
      <c r="A130" s="491"/>
      <c r="B130" s="491"/>
      <c r="C130" s="491"/>
      <c r="D130" s="491"/>
      <c r="E130" s="491"/>
      <c r="G130" s="502">
        <f>G127*G126</f>
        <v>0.0233050805</v>
      </c>
      <c r="H130" s="490" t="s">
        <v>215</v>
      </c>
      <c r="I130" s="491"/>
      <c r="J130" s="491"/>
    </row>
    <row r="131" spans="1:10" ht="12.75">
      <c r="A131" s="491"/>
      <c r="B131" s="491"/>
      <c r="C131" s="491"/>
      <c r="D131" s="491"/>
      <c r="E131" s="491"/>
      <c r="F131" s="491"/>
      <c r="G131" s="501">
        <f>D125</f>
        <v>0</v>
      </c>
      <c r="H131" s="490" t="s">
        <v>216</v>
      </c>
      <c r="I131" s="491"/>
      <c r="J131" s="491"/>
    </row>
    <row r="132" spans="1:10" ht="12.75">
      <c r="A132" s="491" t="s">
        <v>217</v>
      </c>
      <c r="B132" s="491"/>
      <c r="C132" s="491"/>
      <c r="D132" s="503">
        <f>D129/0.65</f>
        <v>0.10764615384615385</v>
      </c>
      <c r="E132" s="491"/>
      <c r="F132" s="491"/>
      <c r="G132" s="501">
        <f>D126</f>
        <v>0.0467</v>
      </c>
      <c r="H132" s="490" t="s">
        <v>218</v>
      </c>
      <c r="I132" s="491"/>
      <c r="J132" s="491"/>
    </row>
    <row r="133" spans="1:10" ht="12.75">
      <c r="A133" s="491"/>
      <c r="B133" s="491"/>
      <c r="C133" s="491"/>
      <c r="D133" s="491"/>
      <c r="E133" s="491"/>
      <c r="F133" s="492"/>
      <c r="G133" s="504">
        <f>SUM(G130:G132)</f>
        <v>0.0700050805</v>
      </c>
      <c r="H133" s="491"/>
      <c r="I133" s="491"/>
      <c r="J133" s="491"/>
    </row>
  </sheetData>
  <sheetProtection/>
  <printOptions/>
  <pageMargins left="0.5" right="0.5" top="0.35" bottom="0.4" header="0.3" footer="0.16"/>
  <pageSetup horizontalDpi="600" verticalDpi="600"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B49"/>
  <sheetViews>
    <sheetView showGridLines="0" zoomScalePageLayoutView="0" workbookViewId="0" topLeftCell="A1">
      <selection activeCell="D25" sqref="D25"/>
    </sheetView>
  </sheetViews>
  <sheetFormatPr defaultColWidth="13.33203125" defaultRowHeight="11.25" outlineLevelRow="1"/>
  <cols>
    <col min="1" max="1" width="2.83203125" style="421" customWidth="1"/>
    <col min="2" max="2" width="40.66015625" style="421" customWidth="1"/>
    <col min="3" max="3" width="20" style="421" bestFit="1" customWidth="1"/>
    <col min="4" max="4" width="10.66015625" style="421" customWidth="1"/>
    <col min="5" max="5" width="18.33203125" style="482" customWidth="1"/>
    <col min="6" max="6" width="10.16015625" style="421" customWidth="1"/>
    <col min="7" max="7" width="11.33203125" style="421" customWidth="1"/>
    <col min="8" max="16384" width="13.33203125" style="421" customWidth="1"/>
  </cols>
  <sheetData>
    <row r="1" spans="1:13" ht="15.75">
      <c r="A1" s="418" t="s">
        <v>4</v>
      </c>
      <c r="B1" s="419"/>
      <c r="C1" s="419"/>
      <c r="D1" s="419"/>
      <c r="E1" s="419"/>
      <c r="F1" s="419"/>
      <c r="G1" s="419"/>
      <c r="H1" s="420"/>
      <c r="I1" s="420"/>
      <c r="J1" s="420"/>
      <c r="K1" s="420"/>
      <c r="L1" s="420"/>
      <c r="M1" s="420"/>
    </row>
    <row r="2" spans="1:28" ht="15">
      <c r="A2" s="422" t="s">
        <v>182</v>
      </c>
      <c r="B2" s="423"/>
      <c r="C2" s="424"/>
      <c r="D2" s="423"/>
      <c r="E2" s="423"/>
      <c r="F2" s="423"/>
      <c r="G2" s="423"/>
      <c r="AB2" s="425" t="s">
        <v>183</v>
      </c>
    </row>
    <row r="3" spans="1:7" ht="12.75">
      <c r="A3" s="426">
        <v>42004</v>
      </c>
      <c r="B3" s="426"/>
      <c r="C3" s="426"/>
      <c r="D3" s="426"/>
      <c r="E3" s="427"/>
      <c r="F3" s="427"/>
      <c r="G3" s="427"/>
    </row>
    <row r="4" spans="1:7" ht="15">
      <c r="A4" s="428"/>
      <c r="B4" s="429"/>
      <c r="C4" s="430"/>
      <c r="D4" s="429"/>
      <c r="E4" s="431"/>
      <c r="F4" s="429"/>
      <c r="G4" s="429"/>
    </row>
    <row r="5" spans="1:7" ht="12.75">
      <c r="A5" s="428"/>
      <c r="B5" s="429"/>
      <c r="C5" s="429"/>
      <c r="D5" s="429"/>
      <c r="E5" s="431"/>
      <c r="F5" s="429"/>
      <c r="G5" s="429"/>
    </row>
    <row r="6" spans="1:7" ht="12.75">
      <c r="A6" s="131"/>
      <c r="B6" s="429"/>
      <c r="C6" s="429"/>
      <c r="D6" s="429"/>
      <c r="E6" s="431"/>
      <c r="F6" s="429"/>
      <c r="G6" s="429"/>
    </row>
    <row r="7" spans="1:9" ht="12.75">
      <c r="A7" s="131"/>
      <c r="B7" s="105" t="s">
        <v>2</v>
      </c>
      <c r="C7" s="112"/>
      <c r="D7" s="112"/>
      <c r="E7" s="432"/>
      <c r="F7" s="112"/>
      <c r="G7" s="105"/>
      <c r="H7" s="105"/>
      <c r="I7" s="105"/>
    </row>
    <row r="8" spans="1:9" ht="12.75">
      <c r="A8" s="131"/>
      <c r="B8" s="112"/>
      <c r="C8" s="108"/>
      <c r="D8" s="112"/>
      <c r="E8" s="432"/>
      <c r="F8" s="112"/>
      <c r="G8" s="433" t="s">
        <v>184</v>
      </c>
      <c r="H8" s="105"/>
      <c r="I8" s="105"/>
    </row>
    <row r="9" spans="1:9" ht="12.75">
      <c r="A9" s="131"/>
      <c r="B9" s="108" t="s">
        <v>185</v>
      </c>
      <c r="C9" s="108" t="s">
        <v>186</v>
      </c>
      <c r="D9" s="433" t="s">
        <v>187</v>
      </c>
      <c r="E9" s="433" t="s">
        <v>188</v>
      </c>
      <c r="F9" s="433" t="s">
        <v>189</v>
      </c>
      <c r="G9" s="433" t="s">
        <v>190</v>
      </c>
      <c r="H9" s="105"/>
      <c r="I9" s="105"/>
    </row>
    <row r="10" spans="1:9" ht="12.75">
      <c r="A10" s="131"/>
      <c r="B10" s="110"/>
      <c r="C10" s="110"/>
      <c r="D10" s="110"/>
      <c r="E10" s="434"/>
      <c r="F10" s="110"/>
      <c r="G10" s="110"/>
      <c r="H10" s="105"/>
      <c r="I10" s="105"/>
    </row>
    <row r="11" spans="1:9" ht="12.75">
      <c r="A11" s="131"/>
      <c r="B11" s="108"/>
      <c r="C11" s="110"/>
      <c r="D11" s="110"/>
      <c r="E11" s="434"/>
      <c r="F11" s="110"/>
      <c r="G11" s="110"/>
      <c r="H11" s="105"/>
      <c r="I11" s="105"/>
    </row>
    <row r="12" spans="1:9" ht="12.75">
      <c r="A12" s="131"/>
      <c r="B12" s="435" t="s">
        <v>191</v>
      </c>
      <c r="C12" s="436">
        <f>'Pg 3 STD Cost Rate'!C22</f>
        <v>48275689.492054805</v>
      </c>
      <c r="D12" s="437">
        <f>ROUND(C12/C$27,4)</f>
        <v>0.0068</v>
      </c>
      <c r="E12" s="438">
        <f>'Pg 3 STD Cost Rate'!E22</f>
        <v>2636063.159385687</v>
      </c>
      <c r="F12" s="439">
        <f>ROUND(E12/C12,4)</f>
        <v>0.0546</v>
      </c>
      <c r="G12" s="440">
        <f>ROUND(+D12*F12,4)</f>
        <v>0.0004</v>
      </c>
      <c r="H12" s="105"/>
      <c r="I12" s="105"/>
    </row>
    <row r="13" spans="1:9" ht="12.75">
      <c r="A13" s="131"/>
      <c r="B13" s="435"/>
      <c r="C13" s="436"/>
      <c r="D13" s="437"/>
      <c r="E13" s="438"/>
      <c r="F13" s="439"/>
      <c r="G13" s="440"/>
      <c r="H13" s="105"/>
      <c r="I13" s="105"/>
    </row>
    <row r="14" spans="1:9" ht="12.75" hidden="1" outlineLevel="1">
      <c r="A14" s="131"/>
      <c r="B14" s="441" t="s">
        <v>192</v>
      </c>
      <c r="C14" s="442">
        <f>'Pg 6 LTD Cost '!V29</f>
        <v>3760860000</v>
      </c>
      <c r="D14" s="443">
        <f>ROUND(C14/C$27,4)</f>
        <v>0.5295</v>
      </c>
      <c r="E14" s="444">
        <f>'Pg 6 LTD Cost '!Y29</f>
        <v>0</v>
      </c>
      <c r="F14" s="445">
        <f>ROUND(E14/C14,4)</f>
        <v>0</v>
      </c>
      <c r="G14" s="446">
        <f>ROUND(+D14*F14,4)</f>
        <v>0</v>
      </c>
      <c r="H14" s="105"/>
      <c r="I14" s="105"/>
    </row>
    <row r="15" spans="1:9" ht="12.75" hidden="1" outlineLevel="1">
      <c r="A15" s="131"/>
      <c r="B15" s="441" t="s">
        <v>193</v>
      </c>
      <c r="C15" s="442"/>
      <c r="D15" s="443"/>
      <c r="E15" s="444"/>
      <c r="F15" s="445"/>
      <c r="G15" s="446"/>
      <c r="H15" s="105"/>
      <c r="I15" s="105"/>
    </row>
    <row r="16" spans="1:9" ht="12.75" hidden="1" outlineLevel="1">
      <c r="A16" s="131"/>
      <c r="B16" s="441" t="s">
        <v>194</v>
      </c>
      <c r="C16" s="442"/>
      <c r="D16" s="443"/>
      <c r="E16" s="444"/>
      <c r="F16" s="445"/>
      <c r="G16" s="446"/>
      <c r="H16" s="105"/>
      <c r="I16" s="105"/>
    </row>
    <row r="17" spans="1:9" ht="12.75" hidden="1" outlineLevel="1">
      <c r="A17" s="131"/>
      <c r="B17" s="441" t="s">
        <v>195</v>
      </c>
      <c r="C17" s="447"/>
      <c r="D17" s="443">
        <f>ROUND(C17/C$27,4)</f>
        <v>0</v>
      </c>
      <c r="E17" s="448"/>
      <c r="F17" s="445"/>
      <c r="G17" s="446">
        <f>ROUND(+D17*F17,4)</f>
        <v>0</v>
      </c>
      <c r="H17" s="105"/>
      <c r="I17" s="105"/>
    </row>
    <row r="18" spans="1:9" ht="12.75" hidden="1" outlineLevel="1">
      <c r="A18" s="131"/>
      <c r="B18" s="449"/>
      <c r="C18" s="436"/>
      <c r="D18" s="437" t="s">
        <v>2</v>
      </c>
      <c r="E18" s="438"/>
      <c r="F18" s="439"/>
      <c r="G18" s="440"/>
      <c r="H18" s="105"/>
      <c r="I18" s="105"/>
    </row>
    <row r="19" spans="1:9" ht="12.75" collapsed="1">
      <c r="A19" s="131"/>
      <c r="B19" s="450" t="s">
        <v>196</v>
      </c>
      <c r="C19" s="436">
        <f>SUM(C14:C18)</f>
        <v>3760860000</v>
      </c>
      <c r="D19" s="437">
        <f>ROUND(C19/C27,4)</f>
        <v>0.5295</v>
      </c>
      <c r="E19" s="436">
        <f>SUM(E14:E18)</f>
        <v>0</v>
      </c>
      <c r="F19" s="451">
        <f>ROUND(E19/C19,4)</f>
        <v>0</v>
      </c>
      <c r="G19" s="440">
        <f>ROUND(+D19*F19,4)</f>
        <v>0</v>
      </c>
      <c r="H19" s="105"/>
      <c r="I19" s="105"/>
    </row>
    <row r="20" spans="1:9" ht="12.75">
      <c r="A20" s="131"/>
      <c r="B20" s="110"/>
      <c r="C20" s="452"/>
      <c r="D20" s="452"/>
      <c r="E20" s="438"/>
      <c r="F20" s="452"/>
      <c r="G20" s="452"/>
      <c r="H20" s="105"/>
      <c r="I20" s="105"/>
    </row>
    <row r="21" spans="1:9" ht="12.75">
      <c r="A21" s="131"/>
      <c r="B21" s="111" t="s">
        <v>197</v>
      </c>
      <c r="C21" s="453">
        <f>C19+C12</f>
        <v>3809135689.492055</v>
      </c>
      <c r="D21" s="454">
        <f>ROUND(C21/$C$27,4)</f>
        <v>0.5363</v>
      </c>
      <c r="E21" s="455">
        <f>E19+E12</f>
        <v>2636063.159385687</v>
      </c>
      <c r="F21" s="456">
        <f>ROUND(E21/C21,4)</f>
        <v>0.0007</v>
      </c>
      <c r="G21" s="457">
        <f>ROUND(+D21*F21,4)</f>
        <v>0.0004</v>
      </c>
      <c r="H21" s="105"/>
      <c r="I21" s="105"/>
    </row>
    <row r="22" spans="1:9" ht="12.75">
      <c r="A22" s="131"/>
      <c r="B22" s="112"/>
      <c r="C22" s="458"/>
      <c r="D22" s="437"/>
      <c r="E22" s="438"/>
      <c r="F22" s="458"/>
      <c r="G22" s="458"/>
      <c r="H22" s="105"/>
      <c r="I22" s="105"/>
    </row>
    <row r="23" spans="1:9" ht="12.75">
      <c r="A23" s="131"/>
      <c r="B23" s="111" t="s">
        <v>198</v>
      </c>
      <c r="C23" s="459">
        <v>0</v>
      </c>
      <c r="D23" s="437">
        <f>ROUND(C23/$C$27,4)</f>
        <v>0</v>
      </c>
      <c r="E23" s="460">
        <v>0</v>
      </c>
      <c r="F23" s="487">
        <v>0</v>
      </c>
      <c r="G23" s="440">
        <f>ROUND(+D23*F23,4)</f>
        <v>0</v>
      </c>
      <c r="H23" s="105"/>
      <c r="I23" s="105"/>
    </row>
    <row r="24" spans="1:9" ht="12.75">
      <c r="A24" s="131"/>
      <c r="B24" s="112"/>
      <c r="C24" s="436"/>
      <c r="D24" s="437"/>
      <c r="E24" s="438"/>
      <c r="F24" s="458"/>
      <c r="G24" s="458"/>
      <c r="H24" s="105"/>
      <c r="I24" s="105"/>
    </row>
    <row r="25" spans="1:9" ht="12.75">
      <c r="A25" s="131"/>
      <c r="B25" s="111" t="s">
        <v>204</v>
      </c>
      <c r="C25" s="453">
        <f>'Pg 2 CapStructure'!O34-'Pg 2 CapStructure'!O38</f>
        <v>3293360644</v>
      </c>
      <c r="D25" s="454">
        <f>ROUND(C25/$C$27,4)</f>
        <v>0.4637</v>
      </c>
      <c r="E25" s="461"/>
      <c r="F25" s="462">
        <f>'Pg 1 CofCap'!E18</f>
        <v>0.098</v>
      </c>
      <c r="G25" s="457">
        <f>ROUND(+D25*F25,4)</f>
        <v>0.0454</v>
      </c>
      <c r="H25" s="105"/>
      <c r="I25" s="105"/>
    </row>
    <row r="26" spans="1:9" ht="12.75">
      <c r="A26" s="131"/>
      <c r="B26" s="112"/>
      <c r="C26" s="463"/>
      <c r="D26" s="464"/>
      <c r="E26" s="438"/>
      <c r="F26" s="458"/>
      <c r="G26" s="463"/>
      <c r="H26" s="105"/>
      <c r="I26" s="105"/>
    </row>
    <row r="27" spans="1:9" ht="12.75">
      <c r="A27" s="131"/>
      <c r="B27" s="111" t="s">
        <v>168</v>
      </c>
      <c r="C27" s="465">
        <f>SUM(C21:C25)</f>
        <v>7102496333.492055</v>
      </c>
      <c r="D27" s="466">
        <f>SUM(D21:D25)</f>
        <v>1</v>
      </c>
      <c r="E27" s="467"/>
      <c r="F27" s="468"/>
      <c r="G27" s="469">
        <f>SUM(G21:G25)</f>
        <v>0.0458</v>
      </c>
      <c r="H27" s="105"/>
      <c r="I27" s="105"/>
    </row>
    <row r="28" spans="1:9" ht="12.75">
      <c r="A28" s="131"/>
      <c r="B28" s="105"/>
      <c r="C28" s="458"/>
      <c r="D28" s="458"/>
      <c r="E28" s="470"/>
      <c r="F28" s="458"/>
      <c r="G28" s="458"/>
      <c r="H28" s="105"/>
      <c r="I28" s="105"/>
    </row>
    <row r="29" spans="1:9" ht="12.75">
      <c r="A29" s="131"/>
      <c r="B29" s="105"/>
      <c r="C29" s="458"/>
      <c r="D29" s="458"/>
      <c r="E29" s="470"/>
      <c r="F29" s="458" t="s">
        <v>2</v>
      </c>
      <c r="G29" s="458"/>
      <c r="H29" s="105"/>
      <c r="I29" s="105"/>
    </row>
    <row r="30" spans="1:9" ht="12.75">
      <c r="A30" s="131"/>
      <c r="B30" s="105"/>
      <c r="C30" s="471"/>
      <c r="D30" s="105"/>
      <c r="E30" s="472"/>
      <c r="F30" s="105"/>
      <c r="G30" s="105"/>
      <c r="H30" s="105"/>
      <c r="I30" s="105"/>
    </row>
    <row r="31" spans="1:7" ht="12.75">
      <c r="A31" s="131"/>
      <c r="B31" s="473" t="s">
        <v>199</v>
      </c>
      <c r="C31" s="429"/>
      <c r="D31" s="429"/>
      <c r="E31" s="431"/>
      <c r="F31" s="429"/>
      <c r="G31" s="429"/>
    </row>
    <row r="32" spans="1:7" ht="12.75">
      <c r="A32" s="131"/>
      <c r="B32" s="474" t="s">
        <v>200</v>
      </c>
      <c r="C32" s="429"/>
      <c r="D32" s="429"/>
      <c r="E32" s="431"/>
      <c r="F32" s="429"/>
      <c r="G32" s="429"/>
    </row>
    <row r="33" spans="1:7" ht="12.75">
      <c r="A33" s="131"/>
      <c r="B33" s="475" t="s">
        <v>203</v>
      </c>
      <c r="C33" s="429"/>
      <c r="D33" s="429"/>
      <c r="E33" s="431"/>
      <c r="F33" s="429"/>
      <c r="G33" s="429"/>
    </row>
    <row r="34" spans="1:7" ht="12.75">
      <c r="A34" s="476"/>
      <c r="B34" s="473" t="s">
        <v>205</v>
      </c>
      <c r="C34" s="429"/>
      <c r="D34" s="429"/>
      <c r="E34" s="431"/>
      <c r="F34" s="429"/>
      <c r="G34" s="429"/>
    </row>
    <row r="35" spans="1:7" ht="12.75">
      <c r="A35" s="476"/>
      <c r="B35" s="429"/>
      <c r="C35" s="429"/>
      <c r="D35" s="429"/>
      <c r="E35" s="431"/>
      <c r="F35" s="429"/>
      <c r="G35" s="429"/>
    </row>
    <row r="36" spans="1:7" ht="12.75">
      <c r="A36" s="428"/>
      <c r="B36" s="429"/>
      <c r="C36" s="429"/>
      <c r="D36" s="429"/>
      <c r="E36" s="431"/>
      <c r="F36" s="429"/>
      <c r="G36" s="429"/>
    </row>
    <row r="40" spans="2:3" ht="12.75">
      <c r="B40" s="421" t="s">
        <v>302</v>
      </c>
      <c r="C40" s="585">
        <f>C19</f>
        <v>3760860000</v>
      </c>
    </row>
    <row r="41" spans="2:5" ht="12.75">
      <c r="B41" s="421" t="s">
        <v>303</v>
      </c>
      <c r="C41" s="586">
        <f>C25</f>
        <v>3293360644</v>
      </c>
      <c r="D41" s="478"/>
      <c r="E41" s="479"/>
    </row>
    <row r="42" spans="2:5" ht="12.75">
      <c r="B42" s="421" t="s">
        <v>16</v>
      </c>
      <c r="C42" s="585">
        <f>SUM(C40:C41)</f>
        <v>7054220644</v>
      </c>
      <c r="D42" s="478"/>
      <c r="E42" s="479"/>
    </row>
    <row r="43" spans="3:5" ht="12.75">
      <c r="C43" s="477"/>
      <c r="D43" s="478"/>
      <c r="E43" s="479"/>
    </row>
    <row r="44" spans="3:5" ht="12.75">
      <c r="C44" s="477"/>
      <c r="D44" s="478"/>
      <c r="E44" s="479"/>
    </row>
    <row r="45" spans="3:5" ht="12.75">
      <c r="C45" s="477"/>
      <c r="D45" s="478"/>
      <c r="E45" s="479"/>
    </row>
    <row r="46" spans="3:5" ht="12.75">
      <c r="C46" s="477"/>
      <c r="D46" s="478"/>
      <c r="E46" s="479"/>
    </row>
    <row r="47" spans="4:5" ht="12.75">
      <c r="D47" s="478"/>
      <c r="E47" s="479"/>
    </row>
    <row r="48" spans="3:5" ht="12.75">
      <c r="C48" s="477"/>
      <c r="D48" s="478"/>
      <c r="E48" s="479"/>
    </row>
    <row r="49" spans="4:5" ht="12.75">
      <c r="D49" s="480"/>
      <c r="E49" s="481"/>
    </row>
  </sheetData>
  <sheetProtection/>
  <printOptions horizontalCentered="1"/>
  <pageMargins left="0.4" right="0.47" top="0.77" bottom="0.57" header="0.35" footer="0.2"/>
  <pageSetup fitToHeight="1" fitToWidth="1" horizontalDpi="600" verticalDpi="600" orientation="portrait" r:id="rId4"/>
  <headerFooter alignWithMargins="0">
    <oddFooter>&amp;R&amp;8I:\Cost of Capital\&amp;F\&amp;A</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J49" sqref="J49"/>
    </sheetView>
  </sheetViews>
  <sheetFormatPr defaultColWidth="10.66015625" defaultRowHeight="11.25"/>
  <cols>
    <col min="1" max="16384" width="10.66015625" style="520" customWidth="1"/>
  </cols>
  <sheetData>
    <row r="1" spans="1:7" s="519" customFormat="1" ht="60">
      <c r="A1" s="518" t="s">
        <v>232</v>
      </c>
      <c r="B1" s="518"/>
      <c r="C1" s="518"/>
      <c r="D1" s="518"/>
      <c r="E1" s="518"/>
      <c r="F1" s="518"/>
      <c r="G1" s="518"/>
    </row>
    <row r="10" ht="11.25">
      <c r="B10" s="521"/>
    </row>
  </sheetData>
  <sheetProtection/>
  <printOptions horizontalCentered="1" verticalCentered="1"/>
  <pageMargins left="0.24" right="0.2" top="0.62" bottom="0.82" header="0.27" footer="0.28"/>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2.xml><?xml version="1.0" encoding="utf-8"?>
<worksheet xmlns="http://schemas.openxmlformats.org/spreadsheetml/2006/main" xmlns:r="http://schemas.openxmlformats.org/officeDocument/2006/relationships">
  <dimension ref="A1:BC60"/>
  <sheetViews>
    <sheetView zoomScalePageLayoutView="0" workbookViewId="0" topLeftCell="A1">
      <selection activeCell="J49" sqref="J49"/>
    </sheetView>
  </sheetViews>
  <sheetFormatPr defaultColWidth="8.83203125" defaultRowHeight="11.25" outlineLevelCol="1"/>
  <cols>
    <col min="1" max="1" width="3.83203125" style="25" customWidth="1"/>
    <col min="2" max="2" width="7" style="23" customWidth="1"/>
    <col min="3" max="3" width="8.33203125" style="23" customWidth="1"/>
    <col min="4" max="5" width="7.16015625" style="23" customWidth="1"/>
    <col min="6" max="6" width="10" style="26" customWidth="1"/>
    <col min="7" max="7" width="9.83203125" style="23" customWidth="1"/>
    <col min="8" max="8" width="8" style="23" customWidth="1"/>
    <col min="9" max="9" width="7.83203125" style="26" customWidth="1"/>
    <col min="10" max="13" width="9.16015625" style="23" customWidth="1"/>
    <col min="14" max="14" width="9.83203125" style="23" customWidth="1"/>
    <col min="15" max="15" width="9.16015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ustomWidth="1"/>
  </cols>
  <sheetData>
    <row r="1" spans="1:9" ht="12.75" customHeight="1">
      <c r="A1" s="234" t="s">
        <v>96</v>
      </c>
      <c r="B1" s="156"/>
      <c r="C1" s="156"/>
      <c r="D1" s="155"/>
      <c r="E1" s="157"/>
      <c r="F1" s="155"/>
      <c r="G1" s="156"/>
      <c r="H1" s="156"/>
      <c r="I1" s="156"/>
    </row>
    <row r="2" spans="1:21" s="57" customFormat="1" ht="12.75" customHeight="1">
      <c r="A2" s="268">
        <f>'Pg 1 CofCap'!B5</f>
        <v>42004</v>
      </c>
      <c r="B2" s="158"/>
      <c r="C2" s="158"/>
      <c r="D2" s="158"/>
      <c r="E2" s="159"/>
      <c r="F2" s="158"/>
      <c r="G2" s="160"/>
      <c r="H2" s="159"/>
      <c r="I2" s="158"/>
      <c r="J2" s="199"/>
      <c r="K2" s="199"/>
      <c r="L2" s="199"/>
      <c r="M2" s="199"/>
      <c r="N2" s="199"/>
      <c r="O2" s="199"/>
      <c r="P2" s="199"/>
      <c r="Q2" s="199"/>
      <c r="R2" s="199"/>
      <c r="S2" s="199"/>
      <c r="T2" s="199"/>
      <c r="U2" s="199"/>
    </row>
    <row r="3" spans="1:21" s="57" customFormat="1" ht="12.75" customHeight="1">
      <c r="A3" s="268"/>
      <c r="B3" s="158"/>
      <c r="C3" s="158"/>
      <c r="D3" s="158"/>
      <c r="E3" s="159"/>
      <c r="F3" s="158"/>
      <c r="G3" s="160"/>
      <c r="H3" s="159"/>
      <c r="I3" s="158"/>
      <c r="J3" s="199"/>
      <c r="K3" s="199"/>
      <c r="L3" s="199"/>
      <c r="M3" s="199"/>
      <c r="N3" s="199"/>
      <c r="O3" s="199"/>
      <c r="P3" s="199"/>
      <c r="Q3" s="199"/>
      <c r="R3" s="199"/>
      <c r="S3" s="199"/>
      <c r="T3" s="199"/>
      <c r="U3" s="199"/>
    </row>
    <row r="4" spans="1:24" ht="10.5" customHeight="1">
      <c r="A4" s="180" t="s">
        <v>5</v>
      </c>
      <c r="B4" s="180" t="s">
        <v>27</v>
      </c>
      <c r="C4" s="180" t="s">
        <v>52</v>
      </c>
      <c r="D4" s="180" t="s">
        <v>64</v>
      </c>
      <c r="E4" s="180" t="s">
        <v>65</v>
      </c>
      <c r="F4" s="180" t="s">
        <v>66</v>
      </c>
      <c r="G4" s="180" t="s">
        <v>67</v>
      </c>
      <c r="H4" s="180" t="s">
        <v>68</v>
      </c>
      <c r="I4" s="180" t="s">
        <v>69</v>
      </c>
      <c r="J4" s="180" t="s">
        <v>72</v>
      </c>
      <c r="K4" s="180" t="s">
        <v>73</v>
      </c>
      <c r="L4" s="180" t="s">
        <v>74</v>
      </c>
      <c r="M4" s="180" t="s">
        <v>75</v>
      </c>
      <c r="N4" s="180" t="s">
        <v>76</v>
      </c>
      <c r="O4" s="180" t="s">
        <v>87</v>
      </c>
      <c r="P4" s="180" t="s">
        <v>88</v>
      </c>
      <c r="Q4" s="180" t="s">
        <v>89</v>
      </c>
      <c r="R4" s="180" t="s">
        <v>90</v>
      </c>
      <c r="S4" s="180" t="s">
        <v>91</v>
      </c>
      <c r="T4" s="180" t="s">
        <v>92</v>
      </c>
      <c r="U4" s="180" t="s">
        <v>170</v>
      </c>
      <c r="X4" s="483" t="s">
        <v>201</v>
      </c>
    </row>
    <row r="5" spans="1:25" ht="30.75">
      <c r="A5" s="369">
        <v>1</v>
      </c>
      <c r="B5" s="370" t="s">
        <v>127</v>
      </c>
      <c r="C5" s="370" t="s">
        <v>100</v>
      </c>
      <c r="D5" s="370" t="s">
        <v>57</v>
      </c>
      <c r="E5" s="370" t="s">
        <v>104</v>
      </c>
      <c r="F5" s="370" t="s">
        <v>117</v>
      </c>
      <c r="G5" s="370" t="s">
        <v>84</v>
      </c>
      <c r="H5" s="370" t="s">
        <v>94</v>
      </c>
      <c r="I5" s="370" t="s">
        <v>80</v>
      </c>
      <c r="J5" s="371">
        <v>41560</v>
      </c>
      <c r="K5" s="371">
        <v>41591</v>
      </c>
      <c r="L5" s="371">
        <v>41621</v>
      </c>
      <c r="M5" s="371">
        <f>'Pg 2 CapStructure'!E6</f>
        <v>41698</v>
      </c>
      <c r="N5" s="371">
        <f>'Pg 2 CapStructure'!F6</f>
        <v>41729</v>
      </c>
      <c r="O5" s="371">
        <f>'Pg 2 CapStructure'!G6</f>
        <v>41759</v>
      </c>
      <c r="P5" s="371">
        <f>'Pg 2 CapStructure'!H6</f>
        <v>41790</v>
      </c>
      <c r="Q5" s="371">
        <f>'Pg 2 CapStructure'!I6</f>
        <v>41820</v>
      </c>
      <c r="R5" s="371">
        <f>'Pg 2 CapStructure'!J6</f>
        <v>41851</v>
      </c>
      <c r="S5" s="371">
        <f>'Pg 2 CapStructure'!K6</f>
        <v>41882</v>
      </c>
      <c r="T5" s="371">
        <f>'Pg 2 CapStructure'!L6</f>
        <v>41912</v>
      </c>
      <c r="U5" s="371">
        <f>'Pg 2 CapStructure'!M6</f>
        <v>41943</v>
      </c>
      <c r="X5" s="484" t="s">
        <v>38</v>
      </c>
      <c r="Y5" s="484" t="s">
        <v>202</v>
      </c>
    </row>
    <row r="6" spans="1:24" ht="12.75">
      <c r="A6" s="134">
        <f>A5+1</f>
        <v>2</v>
      </c>
      <c r="B6" s="138" t="s">
        <v>22</v>
      </c>
      <c r="C6" s="284">
        <v>0.069</v>
      </c>
      <c r="D6" s="285">
        <v>34242</v>
      </c>
      <c r="E6" s="285">
        <v>41548</v>
      </c>
      <c r="F6" s="273">
        <f>ROUND(((+J6+U6)+(SUM(K6:T6)*2))/22,0)</f>
        <v>0</v>
      </c>
      <c r="G6" s="286">
        <v>98.82208</v>
      </c>
      <c r="H6" s="183">
        <f aca="true" t="shared" si="0" ref="H6:H27">ROUND(YIELD(D6,E6,C6,G6,100,2,2),4)</f>
        <v>0.0701</v>
      </c>
      <c r="I6" s="273">
        <f aca="true" t="shared" si="1" ref="I6:I27">ROUND(+H6*F6,0)</f>
        <v>0</v>
      </c>
      <c r="J6" s="273">
        <v>0</v>
      </c>
      <c r="K6" s="273">
        <v>0</v>
      </c>
      <c r="L6" s="273">
        <v>0</v>
      </c>
      <c r="M6" s="273">
        <v>0</v>
      </c>
      <c r="N6" s="273">
        <v>0</v>
      </c>
      <c r="O6" s="273">
        <v>0</v>
      </c>
      <c r="P6" s="273">
        <v>0</v>
      </c>
      <c r="Q6" s="273">
        <v>0</v>
      </c>
      <c r="R6" s="273">
        <v>0</v>
      </c>
      <c r="S6" s="273">
        <v>0</v>
      </c>
      <c r="T6" s="273">
        <v>0</v>
      </c>
      <c r="U6" s="273">
        <v>0</v>
      </c>
      <c r="X6" s="273">
        <f aca="true" t="shared" si="2" ref="X6:X27">H6*U6</f>
        <v>0</v>
      </c>
    </row>
    <row r="7" spans="1:24" ht="12.75">
      <c r="A7" s="134">
        <f>A6+1</f>
        <v>3</v>
      </c>
      <c r="B7" s="138" t="s">
        <v>23</v>
      </c>
      <c r="C7" s="284">
        <v>0.0735</v>
      </c>
      <c r="D7" s="285">
        <v>34953</v>
      </c>
      <c r="E7" s="285">
        <v>42258</v>
      </c>
      <c r="F7" s="273">
        <f aca="true" t="shared" si="3" ref="F7:F27">ROUND(((+J7+U7)+(SUM(K7:T7)*2))/22,0)</f>
        <v>10000000</v>
      </c>
      <c r="G7" s="286">
        <v>98.84387199999999</v>
      </c>
      <c r="H7" s="183">
        <f t="shared" si="0"/>
        <v>0.0746</v>
      </c>
      <c r="I7" s="273">
        <f t="shared" si="1"/>
        <v>746000</v>
      </c>
      <c r="J7" s="273">
        <v>10000000</v>
      </c>
      <c r="K7" s="273">
        <v>10000000</v>
      </c>
      <c r="L7" s="273">
        <v>10000000</v>
      </c>
      <c r="M7" s="273">
        <v>10000000</v>
      </c>
      <c r="N7" s="273">
        <v>10000000</v>
      </c>
      <c r="O7" s="273">
        <v>10000000</v>
      </c>
      <c r="P7" s="273">
        <v>10000000</v>
      </c>
      <c r="Q7" s="273">
        <v>10000000</v>
      </c>
      <c r="R7" s="273">
        <v>10000000</v>
      </c>
      <c r="S7" s="273">
        <v>10000000</v>
      </c>
      <c r="T7" s="273">
        <v>10000000</v>
      </c>
      <c r="U7" s="273">
        <v>10000000</v>
      </c>
      <c r="X7" s="273">
        <f t="shared" si="2"/>
        <v>746000</v>
      </c>
    </row>
    <row r="8" spans="1:25" s="27" customFormat="1" ht="12.75">
      <c r="A8" s="134">
        <f>A7+1</f>
        <v>4</v>
      </c>
      <c r="B8" s="138" t="s">
        <v>23</v>
      </c>
      <c r="C8" s="284">
        <v>0.0736</v>
      </c>
      <c r="D8" s="285">
        <v>34953</v>
      </c>
      <c r="E8" s="285">
        <v>42262</v>
      </c>
      <c r="F8" s="273">
        <f t="shared" si="3"/>
        <v>2000000</v>
      </c>
      <c r="G8" s="286">
        <v>98.84392</v>
      </c>
      <c r="H8" s="183">
        <f t="shared" si="0"/>
        <v>0.0747</v>
      </c>
      <c r="I8" s="273">
        <f t="shared" si="1"/>
        <v>149400</v>
      </c>
      <c r="J8" s="273">
        <v>2000000</v>
      </c>
      <c r="K8" s="273">
        <v>2000000</v>
      </c>
      <c r="L8" s="273">
        <v>2000000</v>
      </c>
      <c r="M8" s="273">
        <v>2000000</v>
      </c>
      <c r="N8" s="273">
        <v>2000000</v>
      </c>
      <c r="O8" s="273">
        <v>2000000</v>
      </c>
      <c r="P8" s="273">
        <v>2000000</v>
      </c>
      <c r="Q8" s="273">
        <v>2000000</v>
      </c>
      <c r="R8" s="273">
        <v>2000000</v>
      </c>
      <c r="S8" s="273">
        <v>2000000</v>
      </c>
      <c r="T8" s="273">
        <v>2000000</v>
      </c>
      <c r="U8" s="273">
        <v>2000000</v>
      </c>
      <c r="X8" s="273">
        <f t="shared" si="2"/>
        <v>149400</v>
      </c>
      <c r="Y8" s="23"/>
    </row>
    <row r="9" spans="1:25" s="27" customFormat="1" ht="12.75">
      <c r="A9" s="134">
        <f>A8+1</f>
        <v>5</v>
      </c>
      <c r="B9" s="138" t="s">
        <v>95</v>
      </c>
      <c r="C9" s="284">
        <v>0.05197</v>
      </c>
      <c r="D9" s="285">
        <v>38637</v>
      </c>
      <c r="E9" s="285">
        <v>42278</v>
      </c>
      <c r="F9" s="273">
        <f t="shared" si="3"/>
        <v>150000000</v>
      </c>
      <c r="G9" s="286">
        <v>99.19303999333334</v>
      </c>
      <c r="H9" s="183">
        <f t="shared" si="0"/>
        <v>0.053</v>
      </c>
      <c r="I9" s="273">
        <f>ROUND(+H9*F9,0)</f>
        <v>7950000</v>
      </c>
      <c r="J9" s="273">
        <v>150000000</v>
      </c>
      <c r="K9" s="273">
        <v>150000000</v>
      </c>
      <c r="L9" s="273">
        <v>150000000</v>
      </c>
      <c r="M9" s="273">
        <v>150000000</v>
      </c>
      <c r="N9" s="273">
        <v>150000000</v>
      </c>
      <c r="O9" s="273">
        <v>150000000</v>
      </c>
      <c r="P9" s="273">
        <v>150000000</v>
      </c>
      <c r="Q9" s="273">
        <v>150000000</v>
      </c>
      <c r="R9" s="273">
        <v>150000000</v>
      </c>
      <c r="S9" s="273">
        <v>150000000</v>
      </c>
      <c r="T9" s="273">
        <v>150000000</v>
      </c>
      <c r="U9" s="273">
        <v>150000000</v>
      </c>
      <c r="X9" s="273">
        <f t="shared" si="2"/>
        <v>7950000</v>
      </c>
      <c r="Y9" s="23"/>
    </row>
    <row r="10" spans="1:25" s="27" customFormat="1" ht="12.75">
      <c r="A10" s="134">
        <f aca="true" t="shared" si="4" ref="A10:A34">A9+1</f>
        <v>6</v>
      </c>
      <c r="B10" s="138" t="s">
        <v>95</v>
      </c>
      <c r="C10" s="284">
        <v>0.0675</v>
      </c>
      <c r="D10" s="285">
        <v>39836</v>
      </c>
      <c r="E10" s="285">
        <v>42384</v>
      </c>
      <c r="F10" s="273">
        <f t="shared" si="3"/>
        <v>250000000</v>
      </c>
      <c r="G10" s="286">
        <v>99.2399</v>
      </c>
      <c r="H10" s="183">
        <f t="shared" si="0"/>
        <v>0.0689</v>
      </c>
      <c r="I10" s="273">
        <f>ROUND(+H10*F10,0)</f>
        <v>17225000</v>
      </c>
      <c r="J10" s="273">
        <v>250000000</v>
      </c>
      <c r="K10" s="273">
        <v>250000000</v>
      </c>
      <c r="L10" s="273">
        <v>250000000</v>
      </c>
      <c r="M10" s="273">
        <v>250000000</v>
      </c>
      <c r="N10" s="273">
        <v>250000000</v>
      </c>
      <c r="O10" s="273">
        <v>250000000</v>
      </c>
      <c r="P10" s="273">
        <v>250000000</v>
      </c>
      <c r="Q10" s="273">
        <v>250000000</v>
      </c>
      <c r="R10" s="273">
        <v>250000000</v>
      </c>
      <c r="S10" s="273">
        <v>250000000</v>
      </c>
      <c r="T10" s="273">
        <v>250000000</v>
      </c>
      <c r="U10" s="273">
        <v>250000000</v>
      </c>
      <c r="X10" s="273">
        <f t="shared" si="2"/>
        <v>17225000</v>
      </c>
      <c r="Y10" s="23"/>
    </row>
    <row r="11" spans="1:24" s="27" customFormat="1" ht="12.75">
      <c r="A11" s="134">
        <f t="shared" si="4"/>
        <v>7</v>
      </c>
      <c r="B11" s="138" t="s">
        <v>21</v>
      </c>
      <c r="C11" s="284">
        <v>0.0674</v>
      </c>
      <c r="D11" s="285">
        <v>35961</v>
      </c>
      <c r="E11" s="285">
        <v>43266</v>
      </c>
      <c r="F11" s="273">
        <f t="shared" si="3"/>
        <v>200000000</v>
      </c>
      <c r="G11" s="286">
        <v>98.98509159000001</v>
      </c>
      <c r="H11" s="183">
        <f t="shared" si="0"/>
        <v>0.0683</v>
      </c>
      <c r="I11" s="273">
        <f t="shared" si="1"/>
        <v>13660000</v>
      </c>
      <c r="J11" s="273">
        <v>200000000</v>
      </c>
      <c r="K11" s="273">
        <v>200000000</v>
      </c>
      <c r="L11" s="273">
        <v>200000000</v>
      </c>
      <c r="M11" s="273">
        <v>200000000</v>
      </c>
      <c r="N11" s="273">
        <v>200000000</v>
      </c>
      <c r="O11" s="273">
        <v>200000000</v>
      </c>
      <c r="P11" s="273">
        <v>200000000</v>
      </c>
      <c r="Q11" s="273">
        <v>200000000</v>
      </c>
      <c r="R11" s="273">
        <v>200000000</v>
      </c>
      <c r="S11" s="273">
        <v>200000000</v>
      </c>
      <c r="T11" s="273">
        <v>200000000</v>
      </c>
      <c r="U11" s="273">
        <v>200000000</v>
      </c>
      <c r="X11" s="273">
        <f t="shared" si="2"/>
        <v>13660000</v>
      </c>
    </row>
    <row r="12" spans="1:25" s="28" customFormat="1" ht="12.75">
      <c r="A12" s="134">
        <f>A11+1</f>
        <v>8</v>
      </c>
      <c r="B12" s="138" t="s">
        <v>23</v>
      </c>
      <c r="C12" s="284">
        <v>0.0715</v>
      </c>
      <c r="D12" s="285">
        <v>35053</v>
      </c>
      <c r="E12" s="285">
        <v>46010</v>
      </c>
      <c r="F12" s="273">
        <f t="shared" si="3"/>
        <v>15000000</v>
      </c>
      <c r="G12" s="286">
        <v>99.211912</v>
      </c>
      <c r="H12" s="183">
        <f t="shared" si="0"/>
        <v>0.0721</v>
      </c>
      <c r="I12" s="273">
        <f t="shared" si="1"/>
        <v>1081500</v>
      </c>
      <c r="J12" s="273">
        <v>15000000</v>
      </c>
      <c r="K12" s="273">
        <v>15000000</v>
      </c>
      <c r="L12" s="273">
        <v>15000000</v>
      </c>
      <c r="M12" s="273">
        <v>15000000</v>
      </c>
      <c r="N12" s="273">
        <v>15000000</v>
      </c>
      <c r="O12" s="273">
        <v>15000000</v>
      </c>
      <c r="P12" s="273">
        <v>15000000</v>
      </c>
      <c r="Q12" s="273">
        <v>15000000</v>
      </c>
      <c r="R12" s="273">
        <v>15000000</v>
      </c>
      <c r="S12" s="273">
        <v>15000000</v>
      </c>
      <c r="T12" s="273">
        <v>15000000</v>
      </c>
      <c r="U12" s="273">
        <v>15000000</v>
      </c>
      <c r="X12" s="273">
        <f t="shared" si="2"/>
        <v>1081500</v>
      </c>
      <c r="Y12" s="27"/>
    </row>
    <row r="13" spans="1:24" s="28" customFormat="1" ht="12.75">
      <c r="A13" s="134">
        <f t="shared" si="4"/>
        <v>9</v>
      </c>
      <c r="B13" s="138" t="s">
        <v>23</v>
      </c>
      <c r="C13" s="284">
        <v>0.072</v>
      </c>
      <c r="D13" s="285">
        <v>35054</v>
      </c>
      <c r="E13" s="285">
        <v>46013</v>
      </c>
      <c r="F13" s="273">
        <f t="shared" si="3"/>
        <v>2000000</v>
      </c>
      <c r="G13" s="286">
        <v>99.2116</v>
      </c>
      <c r="H13" s="183">
        <f t="shared" si="0"/>
        <v>0.0726</v>
      </c>
      <c r="I13" s="273">
        <f t="shared" si="1"/>
        <v>145200</v>
      </c>
      <c r="J13" s="273">
        <v>2000000</v>
      </c>
      <c r="K13" s="273">
        <v>2000000</v>
      </c>
      <c r="L13" s="273">
        <v>2000000</v>
      </c>
      <c r="M13" s="273">
        <v>2000000</v>
      </c>
      <c r="N13" s="273">
        <v>2000000</v>
      </c>
      <c r="O13" s="273">
        <v>2000000</v>
      </c>
      <c r="P13" s="273">
        <v>2000000</v>
      </c>
      <c r="Q13" s="273">
        <v>2000000</v>
      </c>
      <c r="R13" s="273">
        <v>2000000</v>
      </c>
      <c r="S13" s="273">
        <v>2000000</v>
      </c>
      <c r="T13" s="273">
        <v>2000000</v>
      </c>
      <c r="U13" s="273">
        <v>2000000</v>
      </c>
      <c r="X13" s="273">
        <f t="shared" si="2"/>
        <v>145200</v>
      </c>
    </row>
    <row r="14" spans="1:24" s="28" customFormat="1" ht="12.75">
      <c r="A14" s="134">
        <f t="shared" si="4"/>
        <v>10</v>
      </c>
      <c r="B14" s="138" t="s">
        <v>21</v>
      </c>
      <c r="C14" s="284">
        <v>0.0702</v>
      </c>
      <c r="D14" s="285">
        <v>35786</v>
      </c>
      <c r="E14" s="285">
        <v>46722</v>
      </c>
      <c r="F14" s="273">
        <f t="shared" si="3"/>
        <v>300000000</v>
      </c>
      <c r="G14" s="286">
        <v>98.98573577666666</v>
      </c>
      <c r="H14" s="183">
        <f t="shared" si="0"/>
        <v>0.071</v>
      </c>
      <c r="I14" s="273">
        <f t="shared" si="1"/>
        <v>21300000</v>
      </c>
      <c r="J14" s="273">
        <v>300000000</v>
      </c>
      <c r="K14" s="273">
        <v>300000000</v>
      </c>
      <c r="L14" s="273">
        <v>300000000</v>
      </c>
      <c r="M14" s="273">
        <v>300000000</v>
      </c>
      <c r="N14" s="273">
        <v>300000000</v>
      </c>
      <c r="O14" s="273">
        <v>300000000</v>
      </c>
      <c r="P14" s="273">
        <v>300000000</v>
      </c>
      <c r="Q14" s="273">
        <v>300000000</v>
      </c>
      <c r="R14" s="273">
        <v>300000000</v>
      </c>
      <c r="S14" s="273">
        <v>300000000</v>
      </c>
      <c r="T14" s="273">
        <v>300000000</v>
      </c>
      <c r="U14" s="273">
        <v>300000000</v>
      </c>
      <c r="X14" s="273">
        <f t="shared" si="2"/>
        <v>21299999.999999996</v>
      </c>
    </row>
    <row r="15" spans="1:25" ht="12.75">
      <c r="A15" s="134">
        <f t="shared" si="4"/>
        <v>11</v>
      </c>
      <c r="B15" s="138" t="s">
        <v>22</v>
      </c>
      <c r="C15" s="284">
        <v>0.07</v>
      </c>
      <c r="D15" s="285">
        <v>36228</v>
      </c>
      <c r="E15" s="285">
        <v>47186</v>
      </c>
      <c r="F15" s="273">
        <f t="shared" si="3"/>
        <v>100000000</v>
      </c>
      <c r="G15" s="286">
        <v>99.04287054999999</v>
      </c>
      <c r="H15" s="183">
        <f t="shared" si="0"/>
        <v>0.0708</v>
      </c>
      <c r="I15" s="273">
        <f t="shared" si="1"/>
        <v>7080000</v>
      </c>
      <c r="J15" s="273">
        <v>100000000</v>
      </c>
      <c r="K15" s="273">
        <v>100000000</v>
      </c>
      <c r="L15" s="273">
        <v>100000000</v>
      </c>
      <c r="M15" s="273">
        <v>100000000</v>
      </c>
      <c r="N15" s="273">
        <v>100000000</v>
      </c>
      <c r="O15" s="273">
        <v>100000000</v>
      </c>
      <c r="P15" s="273">
        <v>100000000</v>
      </c>
      <c r="Q15" s="273">
        <v>100000000</v>
      </c>
      <c r="R15" s="273">
        <v>100000000</v>
      </c>
      <c r="S15" s="273">
        <v>100000000</v>
      </c>
      <c r="T15" s="273">
        <v>100000000</v>
      </c>
      <c r="U15" s="273">
        <v>100000000</v>
      </c>
      <c r="X15" s="273">
        <f t="shared" si="2"/>
        <v>7080000</v>
      </c>
      <c r="Y15" s="28"/>
    </row>
    <row r="16" spans="1:24" ht="12.75">
      <c r="A16" s="134">
        <f>A15+1</f>
        <v>12</v>
      </c>
      <c r="B16" s="287" t="s">
        <v>24</v>
      </c>
      <c r="C16" s="284">
        <v>0.039</v>
      </c>
      <c r="D16" s="288">
        <v>41417</v>
      </c>
      <c r="E16" s="289">
        <v>47908</v>
      </c>
      <c r="F16" s="273">
        <f t="shared" si="3"/>
        <v>138460000</v>
      </c>
      <c r="G16" s="286">
        <v>98.9391</v>
      </c>
      <c r="H16" s="183">
        <f t="shared" si="0"/>
        <v>0.0398</v>
      </c>
      <c r="I16" s="273">
        <f t="shared" si="1"/>
        <v>5510708</v>
      </c>
      <c r="J16" s="273">
        <v>138460000</v>
      </c>
      <c r="K16" s="273">
        <v>138460000</v>
      </c>
      <c r="L16" s="273">
        <v>138460000</v>
      </c>
      <c r="M16" s="273">
        <v>138460000</v>
      </c>
      <c r="N16" s="273">
        <v>138460000</v>
      </c>
      <c r="O16" s="273">
        <v>138460000</v>
      </c>
      <c r="P16" s="273">
        <v>138460000</v>
      </c>
      <c r="Q16" s="273">
        <v>138460000</v>
      </c>
      <c r="R16" s="273">
        <v>138460000</v>
      </c>
      <c r="S16" s="273">
        <v>138460000</v>
      </c>
      <c r="T16" s="273">
        <v>138460000</v>
      </c>
      <c r="U16" s="273">
        <v>138460000</v>
      </c>
      <c r="X16" s="273">
        <f t="shared" si="2"/>
        <v>5510708</v>
      </c>
    </row>
    <row r="17" spans="1:24" ht="12.75">
      <c r="A17" s="134">
        <f t="shared" si="4"/>
        <v>13</v>
      </c>
      <c r="B17" s="287" t="s">
        <v>24</v>
      </c>
      <c r="C17" s="284">
        <v>0.04</v>
      </c>
      <c r="D17" s="288">
        <v>41417</v>
      </c>
      <c r="E17" s="289">
        <v>47908</v>
      </c>
      <c r="F17" s="273">
        <f t="shared" si="3"/>
        <v>23400000</v>
      </c>
      <c r="G17" s="286">
        <v>98.9391</v>
      </c>
      <c r="H17" s="183">
        <f t="shared" si="0"/>
        <v>0.0408</v>
      </c>
      <c r="I17" s="273">
        <f t="shared" si="1"/>
        <v>954720</v>
      </c>
      <c r="J17" s="273">
        <v>23400000</v>
      </c>
      <c r="K17" s="273">
        <v>23400000</v>
      </c>
      <c r="L17" s="273">
        <v>23400000</v>
      </c>
      <c r="M17" s="273">
        <v>23400000</v>
      </c>
      <c r="N17" s="273">
        <v>23400000</v>
      </c>
      <c r="O17" s="273">
        <v>23400000</v>
      </c>
      <c r="P17" s="273">
        <v>23400000</v>
      </c>
      <c r="Q17" s="273">
        <v>23400000</v>
      </c>
      <c r="R17" s="273">
        <v>23400000</v>
      </c>
      <c r="S17" s="273">
        <v>23400000</v>
      </c>
      <c r="T17" s="273">
        <v>23400000</v>
      </c>
      <c r="U17" s="273">
        <v>23400000</v>
      </c>
      <c r="X17" s="273">
        <f t="shared" si="2"/>
        <v>954720.0000000001</v>
      </c>
    </row>
    <row r="18" spans="1:24" ht="12.75">
      <c r="A18" s="134">
        <f>A17+1</f>
        <v>14</v>
      </c>
      <c r="B18" s="138" t="s">
        <v>95</v>
      </c>
      <c r="C18" s="284">
        <v>0.05483</v>
      </c>
      <c r="D18" s="285">
        <v>38499</v>
      </c>
      <c r="E18" s="285">
        <v>49461</v>
      </c>
      <c r="F18" s="273">
        <f t="shared" si="3"/>
        <v>250000000</v>
      </c>
      <c r="G18" s="286">
        <v>84.886606836</v>
      </c>
      <c r="H18" s="183">
        <f t="shared" si="0"/>
        <v>0.0665</v>
      </c>
      <c r="I18" s="277">
        <f t="shared" si="1"/>
        <v>16625000</v>
      </c>
      <c r="J18" s="277">
        <v>250000000</v>
      </c>
      <c r="K18" s="277">
        <v>250000000</v>
      </c>
      <c r="L18" s="277">
        <v>250000000</v>
      </c>
      <c r="M18" s="277">
        <v>250000000</v>
      </c>
      <c r="N18" s="277">
        <v>250000000</v>
      </c>
      <c r="O18" s="277">
        <v>250000000</v>
      </c>
      <c r="P18" s="277">
        <v>250000000</v>
      </c>
      <c r="Q18" s="277">
        <v>250000000</v>
      </c>
      <c r="R18" s="277">
        <v>250000000</v>
      </c>
      <c r="S18" s="277">
        <v>250000000</v>
      </c>
      <c r="T18" s="277">
        <v>250000000</v>
      </c>
      <c r="U18" s="277">
        <v>250000000</v>
      </c>
      <c r="X18" s="273">
        <f t="shared" si="2"/>
        <v>16625000</v>
      </c>
    </row>
    <row r="19" spans="1:24" ht="12.75">
      <c r="A19" s="134">
        <f t="shared" si="4"/>
        <v>15</v>
      </c>
      <c r="B19" s="138" t="s">
        <v>95</v>
      </c>
      <c r="C19" s="284">
        <v>0.06724</v>
      </c>
      <c r="D19" s="285">
        <v>38898</v>
      </c>
      <c r="E19" s="285">
        <v>49841</v>
      </c>
      <c r="F19" s="273">
        <f t="shared" si="3"/>
        <v>250000000</v>
      </c>
      <c r="G19" s="286">
        <v>107.515271756</v>
      </c>
      <c r="H19" s="183">
        <f t="shared" si="0"/>
        <v>0.0617</v>
      </c>
      <c r="I19" s="277">
        <f t="shared" si="1"/>
        <v>15425000</v>
      </c>
      <c r="J19" s="277">
        <v>250000000</v>
      </c>
      <c r="K19" s="277">
        <v>250000000</v>
      </c>
      <c r="L19" s="277">
        <v>250000000</v>
      </c>
      <c r="M19" s="277">
        <v>250000000</v>
      </c>
      <c r="N19" s="277">
        <v>250000000</v>
      </c>
      <c r="O19" s="277">
        <v>250000000</v>
      </c>
      <c r="P19" s="277">
        <v>250000000</v>
      </c>
      <c r="Q19" s="277">
        <v>250000000</v>
      </c>
      <c r="R19" s="277">
        <v>250000000</v>
      </c>
      <c r="S19" s="277">
        <v>250000000</v>
      </c>
      <c r="T19" s="277">
        <v>250000000</v>
      </c>
      <c r="U19" s="277">
        <v>250000000</v>
      </c>
      <c r="X19" s="273">
        <f t="shared" si="2"/>
        <v>15425000</v>
      </c>
    </row>
    <row r="20" spans="1:24" ht="12.75">
      <c r="A20" s="134">
        <f t="shared" si="4"/>
        <v>16</v>
      </c>
      <c r="B20" s="138" t="s">
        <v>95</v>
      </c>
      <c r="C20" s="284">
        <v>0.06274</v>
      </c>
      <c r="D20" s="285">
        <v>38978</v>
      </c>
      <c r="E20" s="285">
        <v>50114</v>
      </c>
      <c r="F20" s="273">
        <f t="shared" si="3"/>
        <v>300000000</v>
      </c>
      <c r="G20" s="286">
        <v>98.8127</v>
      </c>
      <c r="H20" s="183">
        <f t="shared" si="0"/>
        <v>0.0636</v>
      </c>
      <c r="I20" s="277">
        <f t="shared" si="1"/>
        <v>19080000</v>
      </c>
      <c r="J20" s="277">
        <v>300000000</v>
      </c>
      <c r="K20" s="277">
        <v>300000000</v>
      </c>
      <c r="L20" s="277">
        <v>300000000</v>
      </c>
      <c r="M20" s="277">
        <v>300000000</v>
      </c>
      <c r="N20" s="277">
        <v>300000000</v>
      </c>
      <c r="O20" s="277">
        <v>300000000</v>
      </c>
      <c r="P20" s="277">
        <v>300000000</v>
      </c>
      <c r="Q20" s="277">
        <v>300000000</v>
      </c>
      <c r="R20" s="277">
        <v>300000000</v>
      </c>
      <c r="S20" s="277">
        <v>300000000</v>
      </c>
      <c r="T20" s="277">
        <v>300000000</v>
      </c>
      <c r="U20" s="277">
        <v>300000000</v>
      </c>
      <c r="X20" s="273">
        <f t="shared" si="2"/>
        <v>19080000</v>
      </c>
    </row>
    <row r="21" spans="1:24" ht="12.75">
      <c r="A21" s="134">
        <f t="shared" si="4"/>
        <v>17</v>
      </c>
      <c r="B21" s="138" t="s">
        <v>95</v>
      </c>
      <c r="C21" s="284">
        <v>0.05757</v>
      </c>
      <c r="D21" s="285">
        <v>40067</v>
      </c>
      <c r="E21" s="285">
        <v>51058</v>
      </c>
      <c r="F21" s="273">
        <f t="shared" si="3"/>
        <v>350000000</v>
      </c>
      <c r="G21" s="286">
        <v>98.9836</v>
      </c>
      <c r="H21" s="183">
        <f t="shared" si="0"/>
        <v>0.0583</v>
      </c>
      <c r="I21" s="277">
        <f t="shared" si="1"/>
        <v>20405000</v>
      </c>
      <c r="J21" s="277">
        <v>350000000</v>
      </c>
      <c r="K21" s="277">
        <v>350000000</v>
      </c>
      <c r="L21" s="277">
        <v>350000000</v>
      </c>
      <c r="M21" s="277">
        <v>350000000</v>
      </c>
      <c r="N21" s="277">
        <v>350000000</v>
      </c>
      <c r="O21" s="277">
        <v>350000000</v>
      </c>
      <c r="P21" s="277">
        <v>350000000</v>
      </c>
      <c r="Q21" s="277">
        <v>350000000</v>
      </c>
      <c r="R21" s="277">
        <v>350000000</v>
      </c>
      <c r="S21" s="277">
        <v>350000000</v>
      </c>
      <c r="T21" s="277">
        <v>350000000</v>
      </c>
      <c r="U21" s="277">
        <v>350000000</v>
      </c>
      <c r="X21" s="273">
        <f t="shared" si="2"/>
        <v>20405000</v>
      </c>
    </row>
    <row r="22" spans="1:24" ht="12.75">
      <c r="A22" s="134">
        <f t="shared" si="4"/>
        <v>18</v>
      </c>
      <c r="B22" s="138" t="s">
        <v>95</v>
      </c>
      <c r="C22" s="284">
        <v>0.05795</v>
      </c>
      <c r="D22" s="285">
        <v>40245</v>
      </c>
      <c r="E22" s="285">
        <v>51210</v>
      </c>
      <c r="F22" s="273">
        <f t="shared" si="3"/>
        <v>325000000</v>
      </c>
      <c r="G22" s="286">
        <v>98.9588</v>
      </c>
      <c r="H22" s="183">
        <f t="shared" si="0"/>
        <v>0.0587</v>
      </c>
      <c r="I22" s="277">
        <f t="shared" si="1"/>
        <v>19077500</v>
      </c>
      <c r="J22" s="277">
        <v>325000000</v>
      </c>
      <c r="K22" s="277">
        <v>325000000</v>
      </c>
      <c r="L22" s="277">
        <v>325000000</v>
      </c>
      <c r="M22" s="277">
        <v>325000000</v>
      </c>
      <c r="N22" s="277">
        <v>325000000</v>
      </c>
      <c r="O22" s="277">
        <v>325000000</v>
      </c>
      <c r="P22" s="277">
        <v>325000000</v>
      </c>
      <c r="Q22" s="277">
        <v>325000000</v>
      </c>
      <c r="R22" s="277">
        <v>325000000</v>
      </c>
      <c r="S22" s="277">
        <v>325000000</v>
      </c>
      <c r="T22" s="277">
        <v>325000000</v>
      </c>
      <c r="U22" s="277">
        <v>325000000</v>
      </c>
      <c r="X22" s="273">
        <f t="shared" si="2"/>
        <v>19077500</v>
      </c>
    </row>
    <row r="23" spans="1:24" ht="12.75">
      <c r="A23" s="134">
        <f t="shared" si="4"/>
        <v>19</v>
      </c>
      <c r="B23" s="138" t="s">
        <v>95</v>
      </c>
      <c r="C23" s="284">
        <v>0.05764</v>
      </c>
      <c r="D23" s="285">
        <v>40358</v>
      </c>
      <c r="E23" s="285">
        <v>51332</v>
      </c>
      <c r="F23" s="273">
        <f t="shared" si="3"/>
        <v>250000000</v>
      </c>
      <c r="G23" s="286">
        <v>98.9652</v>
      </c>
      <c r="H23" s="183">
        <f t="shared" si="0"/>
        <v>0.0584</v>
      </c>
      <c r="I23" s="277">
        <f t="shared" si="1"/>
        <v>14600000</v>
      </c>
      <c r="J23" s="277">
        <v>250000000</v>
      </c>
      <c r="K23" s="277">
        <v>250000000</v>
      </c>
      <c r="L23" s="277">
        <v>250000000</v>
      </c>
      <c r="M23" s="277">
        <v>250000000</v>
      </c>
      <c r="N23" s="277">
        <v>250000000</v>
      </c>
      <c r="O23" s="277">
        <v>250000000</v>
      </c>
      <c r="P23" s="277">
        <v>250000000</v>
      </c>
      <c r="Q23" s="277">
        <v>250000000</v>
      </c>
      <c r="R23" s="277">
        <v>250000000</v>
      </c>
      <c r="S23" s="277">
        <v>250000000</v>
      </c>
      <c r="T23" s="277">
        <v>250000000</v>
      </c>
      <c r="U23" s="277">
        <v>250000000</v>
      </c>
      <c r="X23" s="273">
        <f t="shared" si="2"/>
        <v>14600000</v>
      </c>
    </row>
    <row r="24" spans="1:24" ht="12.75">
      <c r="A24" s="134">
        <v>25</v>
      </c>
      <c r="B24" s="138" t="s">
        <v>95</v>
      </c>
      <c r="C24" s="284">
        <v>0.05638</v>
      </c>
      <c r="D24" s="285">
        <v>40627</v>
      </c>
      <c r="E24" s="285">
        <v>51606</v>
      </c>
      <c r="F24" s="273">
        <f t="shared" si="3"/>
        <v>300000000</v>
      </c>
      <c r="G24" s="286">
        <v>98.971</v>
      </c>
      <c r="H24" s="183">
        <f t="shared" si="0"/>
        <v>0.0571</v>
      </c>
      <c r="I24" s="277">
        <f t="shared" si="1"/>
        <v>17130000</v>
      </c>
      <c r="J24" s="277">
        <v>300000000</v>
      </c>
      <c r="K24" s="277">
        <v>300000000</v>
      </c>
      <c r="L24" s="277">
        <v>300000000</v>
      </c>
      <c r="M24" s="277">
        <v>300000000</v>
      </c>
      <c r="N24" s="277">
        <v>300000000</v>
      </c>
      <c r="O24" s="277">
        <v>300000000</v>
      </c>
      <c r="P24" s="277">
        <v>300000000</v>
      </c>
      <c r="Q24" s="277">
        <v>300000000</v>
      </c>
      <c r="R24" s="277">
        <v>300000000</v>
      </c>
      <c r="S24" s="277">
        <v>300000000</v>
      </c>
      <c r="T24" s="277">
        <v>300000000</v>
      </c>
      <c r="U24" s="277">
        <v>300000000</v>
      </c>
      <c r="X24" s="273">
        <f t="shared" si="2"/>
        <v>17130000</v>
      </c>
    </row>
    <row r="25" spans="1:24" ht="12.75">
      <c r="A25" s="134">
        <v>26</v>
      </c>
      <c r="B25" s="138" t="s">
        <v>95</v>
      </c>
      <c r="C25" s="284">
        <v>0.04434</v>
      </c>
      <c r="D25" s="285">
        <v>40863</v>
      </c>
      <c r="E25" s="285">
        <v>51820</v>
      </c>
      <c r="F25" s="273">
        <f t="shared" si="3"/>
        <v>250000000</v>
      </c>
      <c r="G25" s="286">
        <v>98.963</v>
      </c>
      <c r="H25" s="183">
        <f t="shared" si="0"/>
        <v>0.045</v>
      </c>
      <c r="I25" s="277">
        <f t="shared" si="1"/>
        <v>11250000</v>
      </c>
      <c r="J25" s="277">
        <v>250000000</v>
      </c>
      <c r="K25" s="277">
        <v>250000000</v>
      </c>
      <c r="L25" s="277">
        <v>250000000</v>
      </c>
      <c r="M25" s="277">
        <v>250000000</v>
      </c>
      <c r="N25" s="277">
        <v>250000000</v>
      </c>
      <c r="O25" s="277">
        <v>250000000</v>
      </c>
      <c r="P25" s="277">
        <v>250000000</v>
      </c>
      <c r="Q25" s="277">
        <v>250000000</v>
      </c>
      <c r="R25" s="277">
        <v>250000000</v>
      </c>
      <c r="S25" s="277">
        <v>250000000</v>
      </c>
      <c r="T25" s="277">
        <v>250000000</v>
      </c>
      <c r="U25" s="277">
        <v>250000000</v>
      </c>
      <c r="X25" s="273">
        <f t="shared" si="2"/>
        <v>11250000</v>
      </c>
    </row>
    <row r="26" spans="1:24" ht="12.75">
      <c r="A26" s="134">
        <v>27</v>
      </c>
      <c r="B26" s="138" t="s">
        <v>95</v>
      </c>
      <c r="C26" s="284">
        <v>0.047</v>
      </c>
      <c r="D26" s="285">
        <v>40869</v>
      </c>
      <c r="E26" s="285">
        <v>55472</v>
      </c>
      <c r="F26" s="273">
        <f t="shared" si="3"/>
        <v>45000000</v>
      </c>
      <c r="G26" s="286">
        <v>98.8639</v>
      </c>
      <c r="H26" s="183">
        <f t="shared" si="0"/>
        <v>0.0476</v>
      </c>
      <c r="I26" s="277">
        <f t="shared" si="1"/>
        <v>2142000</v>
      </c>
      <c r="J26" s="277">
        <v>45000000</v>
      </c>
      <c r="K26" s="277">
        <v>45000000</v>
      </c>
      <c r="L26" s="277">
        <v>45000000</v>
      </c>
      <c r="M26" s="277">
        <v>45000000</v>
      </c>
      <c r="N26" s="277">
        <v>45000000</v>
      </c>
      <c r="O26" s="277">
        <v>45000000</v>
      </c>
      <c r="P26" s="277">
        <v>45000000</v>
      </c>
      <c r="Q26" s="277">
        <v>45000000</v>
      </c>
      <c r="R26" s="277">
        <v>45000000</v>
      </c>
      <c r="S26" s="277">
        <v>45000000</v>
      </c>
      <c r="T26" s="277">
        <v>45000000</v>
      </c>
      <c r="U26" s="277">
        <v>45000000</v>
      </c>
      <c r="X26" s="273">
        <f t="shared" si="2"/>
        <v>2142000</v>
      </c>
    </row>
    <row r="27" spans="1:24" ht="12.75">
      <c r="A27" s="134">
        <v>28</v>
      </c>
      <c r="B27" s="138" t="s">
        <v>126</v>
      </c>
      <c r="C27" s="284">
        <v>0.06974</v>
      </c>
      <c r="D27" s="285">
        <v>39237</v>
      </c>
      <c r="E27" s="285">
        <v>42887</v>
      </c>
      <c r="F27" s="273">
        <f t="shared" si="3"/>
        <v>250000000</v>
      </c>
      <c r="G27" s="286">
        <v>98.2262</v>
      </c>
      <c r="H27" s="183">
        <f t="shared" si="0"/>
        <v>0.0723</v>
      </c>
      <c r="I27" s="277">
        <f t="shared" si="1"/>
        <v>18075000</v>
      </c>
      <c r="J27" s="273">
        <v>250000000</v>
      </c>
      <c r="K27" s="273">
        <v>250000000</v>
      </c>
      <c r="L27" s="273">
        <v>250000000</v>
      </c>
      <c r="M27" s="273">
        <v>250000000</v>
      </c>
      <c r="N27" s="273">
        <v>250000000</v>
      </c>
      <c r="O27" s="273">
        <v>250000000</v>
      </c>
      <c r="P27" s="273">
        <v>250000000</v>
      </c>
      <c r="Q27" s="273">
        <v>250000000</v>
      </c>
      <c r="R27" s="273">
        <v>250000000</v>
      </c>
      <c r="S27" s="273">
        <v>250000000</v>
      </c>
      <c r="T27" s="273">
        <v>250000000</v>
      </c>
      <c r="U27" s="273">
        <v>250000000</v>
      </c>
      <c r="X27" s="273">
        <f t="shared" si="2"/>
        <v>18075000</v>
      </c>
    </row>
    <row r="28" spans="1:24" ht="12.75">
      <c r="A28" s="134">
        <f t="shared" si="4"/>
        <v>29</v>
      </c>
      <c r="B28" s="138"/>
      <c r="C28" s="284"/>
      <c r="D28" s="285"/>
      <c r="E28" s="285"/>
      <c r="F28" s="273"/>
      <c r="G28" s="294"/>
      <c r="H28" s="183"/>
      <c r="I28" s="277"/>
      <c r="J28" s="273"/>
      <c r="K28" s="273"/>
      <c r="L28" s="273"/>
      <c r="M28" s="273"/>
      <c r="N28" s="273"/>
      <c r="O28" s="273"/>
      <c r="P28" s="273"/>
      <c r="Q28" s="273"/>
      <c r="R28" s="273"/>
      <c r="S28" s="273"/>
      <c r="T28" s="273"/>
      <c r="U28" s="273"/>
      <c r="X28" s="485">
        <f>SUM(X6:X27)</f>
        <v>229612028</v>
      </c>
    </row>
    <row r="29" spans="1:24" ht="13.5" thickBot="1">
      <c r="A29" s="134">
        <f t="shared" si="4"/>
        <v>30</v>
      </c>
      <c r="B29" s="138"/>
      <c r="C29" s="140" t="s">
        <v>116</v>
      </c>
      <c r="D29" s="285"/>
      <c r="E29" s="285"/>
      <c r="F29" s="273"/>
      <c r="G29" s="290"/>
      <c r="H29" s="183"/>
      <c r="I29" s="291">
        <f>'Pg 7 Reacquired Debt'!I28</f>
        <v>1870892.9999999998</v>
      </c>
      <c r="J29" s="231"/>
      <c r="K29" s="231"/>
      <c r="L29" s="231"/>
      <c r="M29" s="231"/>
      <c r="N29" s="231"/>
      <c r="O29" s="231"/>
      <c r="P29" s="231"/>
      <c r="Q29" s="231"/>
      <c r="R29" s="231"/>
      <c r="S29" s="231"/>
      <c r="T29" s="231"/>
      <c r="U29" s="231"/>
      <c r="X29" s="485">
        <f>I29</f>
        <v>1870892.9999999998</v>
      </c>
    </row>
    <row r="30" spans="1:25" ht="13.5" thickBot="1">
      <c r="A30" s="134">
        <f t="shared" si="4"/>
        <v>31</v>
      </c>
      <c r="B30" s="140" t="s">
        <v>129</v>
      </c>
      <c r="C30" s="284"/>
      <c r="D30" s="285"/>
      <c r="E30" s="285"/>
      <c r="F30" s="291">
        <f>SUM(F6:F29)</f>
        <v>3760860000</v>
      </c>
      <c r="G30" s="292"/>
      <c r="H30" s="216">
        <f>ROUND(+I30/F30,4)</f>
        <v>0.0616</v>
      </c>
      <c r="I30" s="295">
        <f aca="true" t="shared" si="5" ref="I30:U30">SUM(I6:I29)</f>
        <v>231482921</v>
      </c>
      <c r="J30" s="295">
        <f t="shared" si="5"/>
        <v>3760860000</v>
      </c>
      <c r="K30" s="295">
        <f t="shared" si="5"/>
        <v>3760860000</v>
      </c>
      <c r="L30" s="295">
        <f t="shared" si="5"/>
        <v>3760860000</v>
      </c>
      <c r="M30" s="295">
        <f t="shared" si="5"/>
        <v>3760860000</v>
      </c>
      <c r="N30" s="295">
        <f t="shared" si="5"/>
        <v>3760860000</v>
      </c>
      <c r="O30" s="295">
        <f t="shared" si="5"/>
        <v>3760860000</v>
      </c>
      <c r="P30" s="295">
        <f t="shared" si="5"/>
        <v>3760860000</v>
      </c>
      <c r="Q30" s="295">
        <f t="shared" si="5"/>
        <v>3760860000</v>
      </c>
      <c r="R30" s="295">
        <f t="shared" si="5"/>
        <v>3760860000</v>
      </c>
      <c r="S30" s="295">
        <f t="shared" si="5"/>
        <v>3760860000</v>
      </c>
      <c r="T30" s="295">
        <f t="shared" si="5"/>
        <v>3760860000</v>
      </c>
      <c r="U30" s="295">
        <f t="shared" si="5"/>
        <v>3760860000</v>
      </c>
      <c r="X30" s="295">
        <f>SUM(X28:X29)</f>
        <v>231482921</v>
      </c>
      <c r="Y30" s="486">
        <f>X30/U30</f>
        <v>0.061550528602500494</v>
      </c>
    </row>
    <row r="31" spans="1:24" ht="12.75">
      <c r="A31" s="134">
        <f t="shared" si="4"/>
        <v>32</v>
      </c>
      <c r="B31" s="138"/>
      <c r="C31" s="284"/>
      <c r="D31" s="285"/>
      <c r="E31" s="285"/>
      <c r="F31" s="293"/>
      <c r="G31" s="290"/>
      <c r="H31" s="246"/>
      <c r="I31" s="293"/>
      <c r="J31" s="508"/>
      <c r="K31" s="508"/>
      <c r="L31" s="508"/>
      <c r="M31" s="508"/>
      <c r="N31" s="508"/>
      <c r="O31" s="508"/>
      <c r="P31" s="508"/>
      <c r="Q31" s="508"/>
      <c r="R31" s="508"/>
      <c r="S31" s="508"/>
      <c r="T31" s="508"/>
      <c r="U31" s="508"/>
      <c r="X31" s="274">
        <f>H31*U31</f>
        <v>0</v>
      </c>
    </row>
    <row r="32" spans="1:24" ht="12.75">
      <c r="A32" s="134">
        <f t="shared" si="4"/>
        <v>33</v>
      </c>
      <c r="B32" s="140"/>
      <c r="C32" s="137"/>
      <c r="D32" s="137"/>
      <c r="E32" s="137"/>
      <c r="F32" s="293"/>
      <c r="G32" s="25"/>
      <c r="H32" s="246"/>
      <c r="I32" s="293"/>
      <c r="J32" s="351"/>
      <c r="K32" s="351"/>
      <c r="L32" s="351"/>
      <c r="M32" s="351"/>
      <c r="N32" s="351"/>
      <c r="O32" s="351"/>
      <c r="P32" s="351"/>
      <c r="Q32" s="351"/>
      <c r="R32" s="351"/>
      <c r="S32" s="351"/>
      <c r="T32" s="351"/>
      <c r="U32" s="351"/>
      <c r="X32" s="273">
        <f>I32</f>
        <v>0</v>
      </c>
    </row>
    <row r="33" spans="1:25" ht="12.75">
      <c r="A33" s="134">
        <f t="shared" si="4"/>
        <v>34</v>
      </c>
      <c r="B33" s="136" t="s">
        <v>85</v>
      </c>
      <c r="C33" s="137"/>
      <c r="D33" s="137"/>
      <c r="E33" s="137"/>
      <c r="F33" s="137"/>
      <c r="G33" s="137"/>
      <c r="H33" s="137"/>
      <c r="I33" s="137"/>
      <c r="X33" s="293"/>
      <c r="Y33" s="246"/>
    </row>
    <row r="34" spans="1:9" ht="12.75">
      <c r="A34" s="134">
        <f t="shared" si="4"/>
        <v>35</v>
      </c>
      <c r="B34" s="136" t="s">
        <v>93</v>
      </c>
      <c r="C34" s="137"/>
      <c r="D34" s="137"/>
      <c r="E34" s="137"/>
      <c r="F34" s="137"/>
      <c r="G34" s="139"/>
      <c r="H34" s="137"/>
      <c r="I34" s="137"/>
    </row>
    <row r="35" spans="1:9" ht="12.75">
      <c r="A35" s="134"/>
      <c r="B35" s="136"/>
      <c r="C35" s="137"/>
      <c r="D35" s="137"/>
      <c r="E35" s="137"/>
      <c r="F35" s="137"/>
      <c r="G35" s="139"/>
      <c r="H35" s="137"/>
      <c r="I35" s="137"/>
    </row>
    <row r="36" spans="1:55" ht="12.75">
      <c r="A36" s="134"/>
      <c r="B36" s="135"/>
      <c r="C36" s="135"/>
      <c r="D36" s="135"/>
      <c r="E36" s="327" t="str">
        <f>IF((F30-'Pg 2 CapStructure'!Q16)&gt;1,"Total LTD ERROR",IF((F30-'Pg 2 CapStructure'!Q16)&lt;-1,"Total LTD ERROR",""))</f>
        <v>Total LTD ERROR</v>
      </c>
      <c r="G36" s="135"/>
      <c r="H36" s="296"/>
      <c r="I36" s="297"/>
      <c r="J36" s="298"/>
      <c r="K36" s="298"/>
      <c r="L36" s="298"/>
      <c r="M36" s="298"/>
      <c r="N36" s="298"/>
      <c r="O36" s="298"/>
      <c r="P36" s="298"/>
      <c r="Q36" s="298"/>
      <c r="R36" s="298"/>
      <c r="S36" s="298"/>
      <c r="T36" s="298"/>
      <c r="U36" s="29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row>
    <row r="37" spans="1:21" ht="12.75">
      <c r="A37" s="44"/>
      <c r="B37" s="299"/>
      <c r="C37" s="299"/>
      <c r="D37" s="299"/>
      <c r="E37" s="299"/>
      <c r="F37" s="272"/>
      <c r="G37" s="299"/>
      <c r="H37" s="137"/>
      <c r="I37" s="179"/>
      <c r="J37" s="300"/>
      <c r="K37" s="300"/>
      <c r="L37" s="300"/>
      <c r="M37" s="138"/>
      <c r="N37" s="138"/>
      <c r="O37" s="138"/>
      <c r="P37" s="138"/>
      <c r="Q37" s="138"/>
      <c r="R37" s="138"/>
      <c r="S37" s="138"/>
      <c r="T37" s="138"/>
      <c r="U37" s="138"/>
    </row>
    <row r="38" spans="1:21" ht="12.75">
      <c r="A38" s="44"/>
      <c r="B38" s="299"/>
      <c r="C38" s="299"/>
      <c r="D38" s="299"/>
      <c r="E38" s="299"/>
      <c r="F38" s="271"/>
      <c r="G38" s="299"/>
      <c r="H38" s="135"/>
      <c r="I38" s="297"/>
      <c r="J38" s="274"/>
      <c r="K38" s="274"/>
      <c r="L38" s="274"/>
      <c r="M38" s="274"/>
      <c r="N38" s="274"/>
      <c r="O38" s="274"/>
      <c r="P38" s="274"/>
      <c r="Q38" s="274"/>
      <c r="R38" s="274"/>
      <c r="S38" s="274"/>
      <c r="T38" s="274"/>
      <c r="U38" s="274"/>
    </row>
    <row r="39" spans="1:21" ht="12.75">
      <c r="A39" s="44"/>
      <c r="B39" s="28"/>
      <c r="C39" s="28"/>
      <c r="D39" s="28"/>
      <c r="E39" s="28"/>
      <c r="F39" s="272"/>
      <c r="G39" s="28"/>
      <c r="H39" s="28"/>
      <c r="I39" s="45"/>
      <c r="J39" s="221">
        <f aca="true" t="shared" si="6" ref="J39:U39">IF(J38&lt;&gt;0,"ERROR","")</f>
      </c>
      <c r="K39" s="221">
        <f t="shared" si="6"/>
      </c>
      <c r="L39" s="221">
        <f t="shared" si="6"/>
      </c>
      <c r="M39" s="221">
        <f t="shared" si="6"/>
      </c>
      <c r="N39" s="221">
        <f t="shared" si="6"/>
      </c>
      <c r="O39" s="221">
        <f t="shared" si="6"/>
      </c>
      <c r="P39" s="221">
        <f t="shared" si="6"/>
      </c>
      <c r="Q39" s="221">
        <f t="shared" si="6"/>
      </c>
      <c r="R39" s="221">
        <f t="shared" si="6"/>
      </c>
      <c r="S39" s="221">
        <f t="shared" si="6"/>
      </c>
      <c r="T39" s="221">
        <f t="shared" si="6"/>
      </c>
      <c r="U39" s="44">
        <f t="shared" si="6"/>
      </c>
    </row>
    <row r="40" spans="1:8" ht="12.75">
      <c r="A40" s="44"/>
      <c r="B40" s="28"/>
      <c r="C40" s="28"/>
      <c r="D40" s="28"/>
      <c r="E40" s="28"/>
      <c r="F40" s="45"/>
      <c r="G40" s="28"/>
      <c r="H40" s="183"/>
    </row>
    <row r="41" spans="1:9" ht="12.75">
      <c r="A41" s="46"/>
      <c r="B41" s="47"/>
      <c r="C41" s="48"/>
      <c r="D41" s="49"/>
      <c r="E41" s="49"/>
      <c r="F41" s="262"/>
      <c r="G41" s="51"/>
      <c r="H41" s="183"/>
      <c r="I41" s="97"/>
    </row>
    <row r="42" spans="1:9" ht="12.75">
      <c r="A42" s="46"/>
      <c r="B42" s="47"/>
      <c r="C42" s="48"/>
      <c r="D42" s="49"/>
      <c r="E42" s="49"/>
      <c r="F42" s="50"/>
      <c r="G42" s="51"/>
      <c r="H42" s="52"/>
      <c r="I42" s="53"/>
    </row>
    <row r="43" spans="1:9" ht="12.75">
      <c r="A43" s="46"/>
      <c r="B43" s="47"/>
      <c r="C43" s="48"/>
      <c r="D43" s="49"/>
      <c r="E43" s="49"/>
      <c r="F43" s="50"/>
      <c r="G43" s="51"/>
      <c r="H43" s="52"/>
      <c r="I43" s="53"/>
    </row>
    <row r="44" spans="1:9" ht="12.75" hidden="1">
      <c r="A44" s="54"/>
      <c r="B44" s="28"/>
      <c r="C44" s="28"/>
      <c r="D44" s="28"/>
      <c r="E44" s="28"/>
      <c r="F44" s="45"/>
      <c r="G44" s="28"/>
      <c r="H44" s="55"/>
      <c r="I44" s="45"/>
    </row>
    <row r="45" spans="1:9" ht="12.75" hidden="1">
      <c r="A45" s="54"/>
      <c r="B45" s="28"/>
      <c r="C45" s="28"/>
      <c r="D45" s="28"/>
      <c r="E45" s="28"/>
      <c r="F45" s="45"/>
      <c r="G45" s="28"/>
      <c r="H45" s="56"/>
      <c r="I45" s="45"/>
    </row>
    <row r="46" spans="1:9" ht="12.75" hidden="1">
      <c r="A46" s="54"/>
      <c r="B46" s="28"/>
      <c r="C46" s="28"/>
      <c r="D46" s="28"/>
      <c r="E46" s="28"/>
      <c r="F46" s="45"/>
      <c r="G46" s="28"/>
      <c r="H46" s="28"/>
      <c r="I46" s="45"/>
    </row>
    <row r="47" spans="1:9" ht="12.75">
      <c r="A47" s="46"/>
      <c r="B47" s="47"/>
      <c r="C47" s="48"/>
      <c r="D47" s="49"/>
      <c r="E47" s="49"/>
      <c r="F47" s="50"/>
      <c r="G47" s="51"/>
      <c r="H47" s="52"/>
      <c r="I47" s="53"/>
    </row>
    <row r="48" spans="1:9" ht="12.75">
      <c r="A48" s="46"/>
      <c r="B48" s="47"/>
      <c r="C48" s="48"/>
      <c r="D48" s="49"/>
      <c r="E48" s="49"/>
      <c r="F48" s="50"/>
      <c r="G48" s="51"/>
      <c r="H48" s="52"/>
      <c r="I48" s="53"/>
    </row>
    <row r="49" spans="1:9" ht="12.75">
      <c r="A49" s="54"/>
      <c r="B49" s="28"/>
      <c r="C49" s="28"/>
      <c r="D49" s="28"/>
      <c r="E49" s="28"/>
      <c r="F49" s="45"/>
      <c r="G49" s="28"/>
      <c r="H49" s="28"/>
      <c r="I49" s="45"/>
    </row>
    <row r="50" spans="1:9" ht="12.75">
      <c r="A50" s="54"/>
      <c r="B50" s="28"/>
      <c r="C50" s="28"/>
      <c r="D50" s="28"/>
      <c r="E50" s="28"/>
      <c r="F50" s="45"/>
      <c r="G50" s="28"/>
      <c r="H50" s="28"/>
      <c r="I50" s="45"/>
    </row>
    <row r="51" spans="1:9" ht="12.75">
      <c r="A51" s="54"/>
      <c r="B51" s="28"/>
      <c r="C51" s="28"/>
      <c r="D51" s="28"/>
      <c r="E51" s="28"/>
      <c r="F51" s="45"/>
      <c r="G51" s="28"/>
      <c r="H51" s="28"/>
      <c r="I51" s="45"/>
    </row>
    <row r="52" spans="1:9" ht="12.75">
      <c r="A52" s="54"/>
      <c r="B52" s="28"/>
      <c r="C52" s="28"/>
      <c r="D52" s="28"/>
      <c r="E52" s="28"/>
      <c r="F52" s="45"/>
      <c r="G52" s="28"/>
      <c r="H52" s="28"/>
      <c r="I52" s="45"/>
    </row>
    <row r="53" spans="1:9" ht="12.75">
      <c r="A53" s="54"/>
      <c r="B53" s="28"/>
      <c r="C53" s="28"/>
      <c r="D53" s="28"/>
      <c r="E53" s="28"/>
      <c r="F53" s="45"/>
      <c r="G53" s="28"/>
      <c r="H53" s="28"/>
      <c r="I53" s="45"/>
    </row>
    <row r="54" spans="1:9" ht="12.75">
      <c r="A54" s="54"/>
      <c r="B54" s="28"/>
      <c r="C54" s="28"/>
      <c r="D54" s="28"/>
      <c r="E54" s="28"/>
      <c r="F54" s="45"/>
      <c r="G54" s="28"/>
      <c r="H54" s="28"/>
      <c r="I54" s="45"/>
    </row>
    <row r="55" spans="1:9" ht="12.75">
      <c r="A55" s="54"/>
      <c r="B55" s="28"/>
      <c r="C55" s="28"/>
      <c r="D55" s="28"/>
      <c r="E55" s="28"/>
      <c r="F55" s="45"/>
      <c r="G55" s="28"/>
      <c r="H55" s="28"/>
      <c r="I55" s="45"/>
    </row>
    <row r="56" spans="1:9" ht="12.75">
      <c r="A56" s="54"/>
      <c r="B56" s="28"/>
      <c r="C56" s="28"/>
      <c r="D56" s="28"/>
      <c r="E56" s="28"/>
      <c r="F56" s="45"/>
      <c r="G56" s="28"/>
      <c r="H56" s="28"/>
      <c r="I56" s="45"/>
    </row>
    <row r="57" spans="1:9" ht="12.75">
      <c r="A57" s="54"/>
      <c r="B57" s="28"/>
      <c r="C57" s="28"/>
      <c r="D57" s="28"/>
      <c r="E57" s="28"/>
      <c r="F57" s="45"/>
      <c r="G57" s="28"/>
      <c r="H57" s="28"/>
      <c r="I57" s="45"/>
    </row>
    <row r="58" spans="1:9" ht="12.75">
      <c r="A58" s="44"/>
      <c r="B58" s="28"/>
      <c r="C58" s="47"/>
      <c r="D58" s="28"/>
      <c r="E58" s="28"/>
      <c r="F58" s="45"/>
      <c r="G58" s="28"/>
      <c r="H58" s="28"/>
      <c r="I58" s="45"/>
    </row>
    <row r="59" spans="3:5" ht="12.75">
      <c r="C59" s="24"/>
      <c r="E59" s="30"/>
    </row>
    <row r="60" ht="12.75">
      <c r="C60" s="2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45"/>
  <sheetViews>
    <sheetView zoomScalePageLayoutView="0" workbookViewId="0" topLeftCell="A1">
      <selection activeCell="J49" sqref="J49"/>
    </sheetView>
  </sheetViews>
  <sheetFormatPr defaultColWidth="11.5" defaultRowHeight="11.25"/>
  <cols>
    <col min="1" max="1" width="3.83203125" style="16" customWidth="1"/>
    <col min="2" max="2" width="37.33203125" style="16" customWidth="1"/>
    <col min="3" max="3" width="18.16015625" style="16" customWidth="1"/>
    <col min="4" max="4" width="13.5" style="16" customWidth="1"/>
    <col min="5" max="5" width="13.16015625" style="16" customWidth="1"/>
    <col min="6" max="6" width="13.5" style="16" customWidth="1"/>
    <col min="7" max="7" width="11.5" style="16" customWidth="1"/>
    <col min="8" max="8" width="13.83203125" style="16" customWidth="1"/>
    <col min="9" max="9" width="11.16015625" style="16" customWidth="1"/>
    <col min="10" max="10" width="8.5" style="16" customWidth="1"/>
    <col min="11" max="11" width="9" style="16" customWidth="1"/>
    <col min="12" max="12" width="8.66015625" style="16" customWidth="1"/>
    <col min="13" max="16384" width="11.5" style="16" customWidth="1"/>
  </cols>
  <sheetData>
    <row r="1" spans="2:6" ht="15.75">
      <c r="B1" s="352" t="s">
        <v>4</v>
      </c>
      <c r="C1" s="352"/>
      <c r="D1" s="352"/>
      <c r="E1" s="352"/>
      <c r="F1" s="352"/>
    </row>
    <row r="2" spans="1:6" ht="12.75">
      <c r="A2" s="104"/>
      <c r="B2" s="17"/>
      <c r="C2" s="17"/>
      <c r="D2" s="17"/>
      <c r="E2" s="17"/>
      <c r="F2" s="17"/>
    </row>
    <row r="3" spans="2:6" ht="15.75">
      <c r="B3" s="353" t="s">
        <v>6</v>
      </c>
      <c r="C3" s="353"/>
      <c r="D3" s="353"/>
      <c r="E3" s="353"/>
      <c r="F3" s="353"/>
    </row>
    <row r="4" spans="2:12" ht="15.75">
      <c r="B4" s="354" t="s">
        <v>58</v>
      </c>
      <c r="C4" s="354"/>
      <c r="D4" s="354"/>
      <c r="E4" s="354"/>
      <c r="F4" s="354"/>
      <c r="H4" s="239"/>
      <c r="L4" s="242"/>
    </row>
    <row r="5" spans="1:12" ht="12.75">
      <c r="A5" s="105"/>
      <c r="B5" s="267">
        <f>'Pg 1 CofCap'!B5</f>
        <v>42004</v>
      </c>
      <c r="C5" s="267"/>
      <c r="D5" s="267"/>
      <c r="E5" s="267"/>
      <c r="F5" s="267"/>
      <c r="H5" s="239"/>
      <c r="L5" s="242"/>
    </row>
    <row r="6" spans="1:12" ht="12.75">
      <c r="A6" s="18"/>
      <c r="C6" s="19"/>
      <c r="H6" s="239"/>
      <c r="L6" s="242"/>
    </row>
    <row r="7" spans="1:12" ht="18">
      <c r="A7" s="18"/>
      <c r="B7" s="522" t="s">
        <v>233</v>
      </c>
      <c r="C7" s="523"/>
      <c r="D7" s="523"/>
      <c r="E7" s="523"/>
      <c r="F7" s="524"/>
      <c r="H7" s="239"/>
      <c r="L7" s="242"/>
    </row>
    <row r="8" spans="1:12" ht="15.75">
      <c r="A8" s="18"/>
      <c r="B8" s="525" t="s">
        <v>234</v>
      </c>
      <c r="C8" s="526"/>
      <c r="D8" s="526"/>
      <c r="E8" s="526"/>
      <c r="F8" s="527"/>
      <c r="H8" s="239"/>
      <c r="L8" s="242"/>
    </row>
    <row r="9" spans="1:12" ht="12.75">
      <c r="A9" s="194">
        <v>1</v>
      </c>
      <c r="B9" s="129" t="s">
        <v>5</v>
      </c>
      <c r="C9" s="129" t="s">
        <v>27</v>
      </c>
      <c r="D9" s="129" t="s">
        <v>52</v>
      </c>
      <c r="E9" s="129" t="s">
        <v>64</v>
      </c>
      <c r="F9" s="129" t="s">
        <v>65</v>
      </c>
      <c r="H9" s="239"/>
      <c r="L9" s="242"/>
    </row>
    <row r="10" spans="1:12" ht="12.75">
      <c r="A10" s="194">
        <f aca="true" t="shared" si="0" ref="A10:A24">+A9+1</f>
        <v>2</v>
      </c>
      <c r="B10" s="105"/>
      <c r="C10" s="105"/>
      <c r="D10" s="105"/>
      <c r="E10" s="105"/>
      <c r="F10" s="105"/>
      <c r="H10" s="239"/>
      <c r="L10" s="242"/>
    </row>
    <row r="11" spans="1:12" ht="12.75">
      <c r="A11" s="194">
        <f t="shared" si="0"/>
        <v>3</v>
      </c>
      <c r="B11" s="106" t="s">
        <v>2</v>
      </c>
      <c r="C11" s="107"/>
      <c r="D11" s="107"/>
      <c r="E11" s="107"/>
      <c r="F11" s="107" t="s">
        <v>7</v>
      </c>
      <c r="H11" s="239"/>
      <c r="L11" s="242"/>
    </row>
    <row r="12" spans="1:12" ht="12.75">
      <c r="A12" s="194">
        <f t="shared" si="0"/>
        <v>4</v>
      </c>
      <c r="B12" s="107"/>
      <c r="C12" s="108"/>
      <c r="D12" s="107"/>
      <c r="E12" s="107"/>
      <c r="F12" s="108" t="s">
        <v>8</v>
      </c>
      <c r="H12" s="239"/>
      <c r="L12" s="242"/>
    </row>
    <row r="13" spans="1:12" ht="12.75">
      <c r="A13" s="194">
        <f t="shared" si="0"/>
        <v>5</v>
      </c>
      <c r="B13" s="109" t="s">
        <v>9</v>
      </c>
      <c r="C13" s="109" t="s">
        <v>79</v>
      </c>
      <c r="D13" s="109" t="s">
        <v>10</v>
      </c>
      <c r="E13" s="109" t="s">
        <v>11</v>
      </c>
      <c r="F13" s="109" t="s">
        <v>12</v>
      </c>
      <c r="H13" s="239"/>
      <c r="L13" s="242"/>
    </row>
    <row r="14" spans="1:12" ht="12.75">
      <c r="A14" s="194">
        <f t="shared" si="0"/>
        <v>6</v>
      </c>
      <c r="B14" s="110"/>
      <c r="C14" s="110"/>
      <c r="D14" s="110"/>
      <c r="E14" s="110"/>
      <c r="F14" s="110"/>
      <c r="H14" s="239"/>
      <c r="L14" s="242"/>
    </row>
    <row r="15" spans="1:12" ht="12.75">
      <c r="A15" s="194">
        <f t="shared" si="0"/>
        <v>7</v>
      </c>
      <c r="B15" s="111" t="s">
        <v>13</v>
      </c>
      <c r="C15" s="167">
        <f>'Pg 1 CofCap'!C14</f>
        <v>53168409</v>
      </c>
      <c r="D15" s="572">
        <f>'Pg 1 CofCap'!D14</f>
        <v>0.0072</v>
      </c>
      <c r="E15" s="359" t="e">
        <f>'A2  STD Cost Rate-Prior Fac'!F23</f>
        <v>#REF!</v>
      </c>
      <c r="F15" s="182" t="e">
        <f>ROUND(D15*E15,5)</f>
        <v>#REF!</v>
      </c>
      <c r="L15" s="239"/>
    </row>
    <row r="16" spans="1:12" ht="12.75">
      <c r="A16" s="194">
        <f t="shared" si="0"/>
        <v>8</v>
      </c>
      <c r="B16" s="110"/>
      <c r="C16" s="169"/>
      <c r="D16" s="182"/>
      <c r="E16" s="168"/>
      <c r="F16" s="182"/>
      <c r="L16" s="239"/>
    </row>
    <row r="17" spans="1:12" ht="12.75">
      <c r="A17" s="194">
        <f t="shared" si="0"/>
        <v>9</v>
      </c>
      <c r="B17" s="111" t="s">
        <v>14</v>
      </c>
      <c r="C17" s="169">
        <f>'Pg 1 CofCap'!C16</f>
        <v>3760846609</v>
      </c>
      <c r="D17" s="528">
        <f>'Pg 1 CofCap'!D16</f>
        <v>0.511</v>
      </c>
      <c r="E17" s="170">
        <f>'Pg 1 CofCap'!E16</f>
        <v>0.0616</v>
      </c>
      <c r="F17" s="182">
        <f>ROUND(D17*E17,5)</f>
        <v>0.03148</v>
      </c>
      <c r="L17" s="239"/>
    </row>
    <row r="18" spans="1:12" ht="12.75">
      <c r="A18" s="194">
        <f t="shared" si="0"/>
        <v>10</v>
      </c>
      <c r="B18" s="112"/>
      <c r="C18" s="169"/>
      <c r="D18" s="182"/>
      <c r="E18" s="172"/>
      <c r="F18" s="367"/>
      <c r="H18" s="529"/>
      <c r="I18" s="529"/>
      <c r="J18" s="529"/>
      <c r="K18" s="529"/>
      <c r="L18" s="529"/>
    </row>
    <row r="19" spans="1:12" ht="12.75">
      <c r="A19" s="194">
        <f t="shared" si="0"/>
        <v>11</v>
      </c>
      <c r="B19" s="111" t="s">
        <v>15</v>
      </c>
      <c r="C19" s="173">
        <f>'Pg 1 CofCap'!C18</f>
        <v>3546722659</v>
      </c>
      <c r="D19" s="345">
        <f>'Pg 1 CofCap'!D18</f>
        <v>0.4818</v>
      </c>
      <c r="E19" s="530">
        <f>'Pg 1 CofCap'!E18</f>
        <v>0.098</v>
      </c>
      <c r="F19" s="368">
        <f>ROUND(D19*E19,5)</f>
        <v>0.04722</v>
      </c>
      <c r="H19" s="253"/>
      <c r="I19" s="253"/>
      <c r="J19" s="254"/>
      <c r="K19" s="255"/>
      <c r="L19" s="170"/>
    </row>
    <row r="20" spans="1:12" ht="12.75">
      <c r="A20" s="194">
        <f t="shared" si="0"/>
        <v>12</v>
      </c>
      <c r="B20" s="112"/>
      <c r="C20" s="170"/>
      <c r="D20" s="174"/>
      <c r="E20" s="175"/>
      <c r="F20" s="170"/>
      <c r="H20" s="253"/>
      <c r="I20" s="253"/>
      <c r="J20" s="254"/>
      <c r="K20" s="255"/>
      <c r="L20" s="170"/>
    </row>
    <row r="21" spans="1:12" ht="12.75">
      <c r="A21" s="194">
        <f t="shared" si="0"/>
        <v>13</v>
      </c>
      <c r="B21" s="111" t="s">
        <v>16</v>
      </c>
      <c r="C21" s="176">
        <f>ROUND(SUM(C15:C19),2)</f>
        <v>7360737677</v>
      </c>
      <c r="D21" s="245">
        <f>SUM(D15:D19)</f>
        <v>1</v>
      </c>
      <c r="E21" s="177"/>
      <c r="F21" s="228" t="e">
        <f>ROUND(SUM(F15:F19),5)</f>
        <v>#REF!</v>
      </c>
      <c r="H21" s="113"/>
      <c r="I21" s="113"/>
      <c r="J21" s="254"/>
      <c r="K21" s="170"/>
      <c r="L21" s="256"/>
    </row>
    <row r="22" spans="1:10" ht="12.75">
      <c r="A22" s="194">
        <f t="shared" si="0"/>
        <v>14</v>
      </c>
      <c r="B22" s="105"/>
      <c r="C22" s="113"/>
      <c r="D22" s="113"/>
      <c r="E22" s="113"/>
      <c r="F22" s="113"/>
      <c r="H22" s="105"/>
      <c r="I22" s="105"/>
      <c r="J22" s="105"/>
    </row>
    <row r="23" spans="1:6" ht="12.75">
      <c r="A23" s="194">
        <f t="shared" si="0"/>
        <v>15</v>
      </c>
      <c r="B23" s="105"/>
      <c r="C23" s="105"/>
      <c r="D23" s="105"/>
      <c r="E23" s="141"/>
      <c r="F23" s="105"/>
    </row>
    <row r="24" spans="1:7" ht="12.75">
      <c r="A24" s="194">
        <f t="shared" si="0"/>
        <v>16</v>
      </c>
      <c r="B24" s="111" t="s">
        <v>235</v>
      </c>
      <c r="C24" s="105"/>
      <c r="D24" s="105"/>
      <c r="E24" s="105"/>
      <c r="F24" s="105"/>
      <c r="G24" s="243"/>
    </row>
    <row r="25" spans="1:6" ht="12.75">
      <c r="A25" s="15"/>
      <c r="B25" s="105"/>
      <c r="C25" s="105"/>
      <c r="D25" s="105"/>
      <c r="E25" s="105"/>
      <c r="F25" s="105"/>
    </row>
    <row r="26" spans="1:6" ht="12.75">
      <c r="A26" s="15"/>
      <c r="B26" s="105"/>
      <c r="C26" s="169"/>
      <c r="D26" s="105"/>
      <c r="E26" s="105"/>
      <c r="F26" s="105"/>
    </row>
    <row r="27" spans="1:6" ht="12.75">
      <c r="A27" s="15"/>
      <c r="B27" s="105"/>
      <c r="C27" s="169"/>
      <c r="D27" s="105"/>
      <c r="E27" s="105"/>
      <c r="F27" s="105"/>
    </row>
    <row r="28" spans="1:6" ht="12.75">
      <c r="A28" s="15"/>
      <c r="B28" s="105"/>
      <c r="C28" s="169"/>
      <c r="D28" s="105"/>
      <c r="E28" s="105"/>
      <c r="F28" s="105"/>
    </row>
    <row r="29" spans="1:6" ht="12.75">
      <c r="A29" s="15"/>
      <c r="B29" s="105"/>
      <c r="D29" s="105"/>
      <c r="E29" s="105"/>
      <c r="F29" s="105"/>
    </row>
    <row r="30" spans="1:6" ht="12.75">
      <c r="A30" s="15"/>
      <c r="B30" s="105"/>
      <c r="C30" s="195"/>
      <c r="D30" s="105"/>
      <c r="E30" s="105"/>
      <c r="F30" s="105"/>
    </row>
    <row r="31" spans="1:6" ht="12.75">
      <c r="A31" s="15"/>
      <c r="B31" s="105"/>
      <c r="C31" s="105"/>
      <c r="D31" s="105"/>
      <c r="E31" s="105"/>
      <c r="F31" s="105"/>
    </row>
    <row r="32" spans="1:6" ht="12.75">
      <c r="A32" s="15"/>
      <c r="B32" s="105"/>
      <c r="C32" s="105"/>
      <c r="D32" s="105"/>
      <c r="E32" s="105"/>
      <c r="F32" s="105"/>
    </row>
    <row r="33" spans="2:6" ht="12.75">
      <c r="B33" s="105"/>
      <c r="C33" s="105"/>
      <c r="D33" s="105"/>
      <c r="E33" s="105"/>
      <c r="F33" s="105"/>
    </row>
    <row r="34" spans="2:6" ht="12.75">
      <c r="B34" s="105"/>
      <c r="C34" s="105"/>
      <c r="D34" s="105"/>
      <c r="E34" s="105"/>
      <c r="F34" s="105"/>
    </row>
    <row r="37" spans="3:4" ht="12.75">
      <c r="C37" s="20"/>
      <c r="D37" s="21"/>
    </row>
    <row r="38" ht="12.75">
      <c r="D38" s="21"/>
    </row>
    <row r="39" spans="3:4" ht="12.75">
      <c r="C39" s="20"/>
      <c r="D39" s="21"/>
    </row>
    <row r="40" spans="3:4" ht="12.75">
      <c r="C40" s="20"/>
      <c r="D40" s="21"/>
    </row>
    <row r="41" spans="3:4" ht="12.75">
      <c r="C41" s="20"/>
      <c r="D41" s="21"/>
    </row>
    <row r="42" spans="3:4" ht="12.75">
      <c r="C42" s="20"/>
      <c r="D42" s="21"/>
    </row>
    <row r="43" ht="12.75">
      <c r="D43" s="21"/>
    </row>
    <row r="44" spans="3:4" ht="12.75">
      <c r="C44" s="20"/>
      <c r="D44" s="21"/>
    </row>
    <row r="45" ht="12.75">
      <c r="D45" s="22"/>
    </row>
  </sheetData>
  <sheetProtection/>
  <printOptions horizontalCentered="1"/>
  <pageMargins left="0.6" right="0.75" top="0.75" bottom="0.72" header="0.5" footer="0.34"/>
  <pageSetup horizontalDpi="600" verticalDpi="600" orientation="landscape" r:id="rId3"/>
  <headerFooter alignWithMargins="0">
    <oddFooter>&amp;C&amp;A&amp;R&amp;8                   &amp;F</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107"/>
  <sheetViews>
    <sheetView zoomScalePageLayoutView="0" workbookViewId="0" topLeftCell="A1">
      <selection activeCell="J49" sqref="J49"/>
    </sheetView>
  </sheetViews>
  <sheetFormatPr defaultColWidth="11.5" defaultRowHeight="11.2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ustomWidth="1"/>
  </cols>
  <sheetData>
    <row r="1" spans="2:7" ht="21">
      <c r="B1" s="531" t="s">
        <v>236</v>
      </c>
      <c r="C1" s="531"/>
      <c r="D1" s="531"/>
      <c r="E1" s="531"/>
      <c r="F1" s="531"/>
      <c r="G1" s="532"/>
    </row>
    <row r="2" spans="1:8" ht="12.75">
      <c r="A2" s="3" t="s">
        <v>2</v>
      </c>
      <c r="B2" s="4"/>
      <c r="C2" s="4"/>
      <c r="D2" s="4"/>
      <c r="E2" s="4"/>
      <c r="F2" s="4"/>
      <c r="G2" s="4"/>
      <c r="H2" s="4"/>
    </row>
    <row r="3" spans="1:6" ht="15.75">
      <c r="A3" s="34"/>
      <c r="B3" s="342" t="s">
        <v>25</v>
      </c>
      <c r="C3" s="202"/>
      <c r="D3" s="202"/>
      <c r="E3" s="202"/>
      <c r="F3" s="202"/>
    </row>
    <row r="4" spans="1:6" ht="15.75">
      <c r="A4" s="34"/>
      <c r="B4" s="342" t="s">
        <v>37</v>
      </c>
      <c r="C4" s="202"/>
      <c r="D4" s="202"/>
      <c r="E4" s="202"/>
      <c r="F4" s="202"/>
    </row>
    <row r="5" spans="2:6" ht="15.75" customHeight="1">
      <c r="B5" s="343">
        <f>'Pg 1 CofCap'!B5</f>
        <v>42004</v>
      </c>
      <c r="C5" s="203"/>
      <c r="D5" s="203"/>
      <c r="E5" s="203"/>
      <c r="F5" s="203"/>
    </row>
    <row r="6" ht="12.75">
      <c r="A6" s="3" t="s">
        <v>2</v>
      </c>
    </row>
    <row r="7" spans="1:3" ht="12.75">
      <c r="A7" s="3" t="s">
        <v>2</v>
      </c>
      <c r="C7" s="5" t="s">
        <v>2</v>
      </c>
    </row>
    <row r="8" spans="1:7" ht="12.75">
      <c r="A8" s="3">
        <v>1</v>
      </c>
      <c r="B8" s="69" t="s">
        <v>5</v>
      </c>
      <c r="C8" s="69" t="s">
        <v>27</v>
      </c>
      <c r="D8" s="69" t="s">
        <v>52</v>
      </c>
      <c r="E8" s="69" t="s">
        <v>64</v>
      </c>
      <c r="F8" s="69" t="s">
        <v>65</v>
      </c>
      <c r="G8" s="67"/>
    </row>
    <row r="9" spans="1:7" ht="12.75">
      <c r="A9" s="3">
        <f aca="true" t="shared" si="0" ref="A9:A28">A8+1</f>
        <v>2</v>
      </c>
      <c r="B9" s="68"/>
      <c r="C9" s="69"/>
      <c r="D9" s="68"/>
      <c r="E9" s="68"/>
      <c r="F9" s="68"/>
      <c r="G9" s="67"/>
    </row>
    <row r="10" spans="1:7" ht="12.75">
      <c r="A10" s="3">
        <f t="shared" si="0"/>
        <v>3</v>
      </c>
      <c r="B10" s="68"/>
      <c r="C10" s="69" t="s">
        <v>53</v>
      </c>
      <c r="D10" s="69" t="s">
        <v>38</v>
      </c>
      <c r="E10" s="69" t="s">
        <v>18</v>
      </c>
      <c r="F10" s="69" t="s">
        <v>11</v>
      </c>
      <c r="G10" s="67"/>
    </row>
    <row r="11" spans="1:7" ht="12.75">
      <c r="A11" s="3">
        <f t="shared" si="0"/>
        <v>4</v>
      </c>
      <c r="B11" s="70" t="s">
        <v>9</v>
      </c>
      <c r="C11" s="70" t="s">
        <v>78</v>
      </c>
      <c r="D11" s="70" t="s">
        <v>19</v>
      </c>
      <c r="E11" s="70" t="s">
        <v>20</v>
      </c>
      <c r="F11" s="70" t="s">
        <v>19</v>
      </c>
      <c r="G11" s="67"/>
    </row>
    <row r="12" spans="1:7" ht="12.75">
      <c r="A12" s="3">
        <f t="shared" si="0"/>
        <v>5</v>
      </c>
      <c r="B12" s="71"/>
      <c r="C12" s="72"/>
      <c r="D12" s="72"/>
      <c r="E12" s="73"/>
      <c r="F12" s="72"/>
      <c r="G12" s="67"/>
    </row>
    <row r="13" spans="1:7" ht="12.75">
      <c r="A13" s="3">
        <f t="shared" si="0"/>
        <v>6</v>
      </c>
      <c r="B13" s="71" t="s">
        <v>36</v>
      </c>
      <c r="C13" s="76">
        <f>'A3  STD Int &amp; Fees-Prior Fac'!C11</f>
        <v>18879452.02</v>
      </c>
      <c r="D13" s="212">
        <f>IF(E13=0,"NA",(E13/C13))</f>
        <v>0.0034647610497754266</v>
      </c>
      <c r="E13" s="76">
        <f>'A3  STD Int &amp; Fees-Prior Fac'!D11</f>
        <v>65412.79</v>
      </c>
      <c r="F13" s="74"/>
      <c r="G13" s="75"/>
    </row>
    <row r="14" spans="1:7" ht="12.75">
      <c r="A14" s="3">
        <f t="shared" si="0"/>
        <v>7</v>
      </c>
      <c r="B14" s="67" t="s">
        <v>115</v>
      </c>
      <c r="C14" s="76">
        <f>'A3  STD Int &amp; Fees-Prior Fac'!C12</f>
        <v>29122264.872054804</v>
      </c>
      <c r="D14" s="212" t="e">
        <f>IF(E14=0,"NA",(E14/C14))</f>
        <v>#REF!</v>
      </c>
      <c r="E14" s="76" t="e">
        <f>'A3  STD Int &amp; Fees-Prior Fac'!D12</f>
        <v>#REF!</v>
      </c>
      <c r="F14" s="74"/>
      <c r="G14" s="75"/>
    </row>
    <row r="15" spans="1:7" ht="12.75">
      <c r="A15" s="3">
        <f t="shared" si="0"/>
        <v>8</v>
      </c>
      <c r="B15" s="67" t="s">
        <v>149</v>
      </c>
      <c r="C15" s="76" t="e">
        <f>'A3  STD Int &amp; Fees-Prior Fac'!C13</f>
        <v>#REF!</v>
      </c>
      <c r="D15" s="212" t="e">
        <f>IF(E15=0,"NA",(E15/C15))</f>
        <v>#REF!</v>
      </c>
      <c r="E15" s="76" t="e">
        <f>'A3  STD Int &amp; Fees-Prior Fac'!D13</f>
        <v>#REF!</v>
      </c>
      <c r="F15" s="74"/>
      <c r="G15" s="75"/>
    </row>
    <row r="16" spans="1:7" ht="12.75">
      <c r="A16" s="3">
        <f t="shared" si="0"/>
        <v>9</v>
      </c>
      <c r="B16" s="67" t="s">
        <v>150</v>
      </c>
      <c r="C16" s="76" t="e">
        <f>'A3  STD Int &amp; Fees-Prior Fac'!C14</f>
        <v>#REF!</v>
      </c>
      <c r="D16" s="212" t="e">
        <f>IF(E16=0,"NA",(E16/C16))</f>
        <v>#REF!</v>
      </c>
      <c r="E16" s="76" t="e">
        <f>'A3  STD Int &amp; Fees-Prior Fac'!D14</f>
        <v>#REF!</v>
      </c>
      <c r="F16" s="74"/>
      <c r="G16" s="75"/>
    </row>
    <row r="17" spans="1:7" ht="12.75">
      <c r="A17" s="3">
        <f t="shared" si="0"/>
        <v>10</v>
      </c>
      <c r="B17" s="335" t="s">
        <v>157</v>
      </c>
      <c r="C17" s="337" t="e">
        <f>SUM(C13:C16)</f>
        <v>#REF!</v>
      </c>
      <c r="D17" s="338" t="e">
        <f>IF(E17=0,"NA",(E17/C17))</f>
        <v>#REF!</v>
      </c>
      <c r="E17" s="336" t="e">
        <f>SUM(E13:E16)</f>
        <v>#REF!</v>
      </c>
      <c r="F17" s="74"/>
      <c r="G17" s="75"/>
    </row>
    <row r="18" spans="1:7" ht="12.75">
      <c r="A18" s="3">
        <f t="shared" si="0"/>
        <v>11</v>
      </c>
      <c r="B18" s="67"/>
      <c r="C18" s="86"/>
      <c r="D18" s="213"/>
      <c r="E18" s="77"/>
      <c r="F18" s="67"/>
      <c r="G18" s="75"/>
    </row>
    <row r="19" spans="1:7" ht="12.75">
      <c r="A19" s="3">
        <f t="shared" si="0"/>
        <v>12</v>
      </c>
      <c r="B19" s="71" t="s">
        <v>54</v>
      </c>
      <c r="C19" s="87"/>
      <c r="D19" s="88"/>
      <c r="E19" s="358" t="e">
        <f>'A3  STD Int &amp; Fees-Prior Fac'!H16</f>
        <v>#REF!</v>
      </c>
      <c r="F19" s="192" t="s">
        <v>77</v>
      </c>
      <c r="G19" s="75"/>
    </row>
    <row r="20" spans="1:7" ht="12.75">
      <c r="A20" s="3">
        <f t="shared" si="0"/>
        <v>13</v>
      </c>
      <c r="B20" s="71"/>
      <c r="C20" s="78"/>
      <c r="D20" s="79"/>
      <c r="E20" s="83"/>
      <c r="F20" s="74"/>
      <c r="G20" s="75"/>
    </row>
    <row r="21" spans="1:7" ht="12.75">
      <c r="A21" s="3">
        <f t="shared" si="0"/>
        <v>14</v>
      </c>
      <c r="B21" s="71" t="s">
        <v>55</v>
      </c>
      <c r="C21" s="78"/>
      <c r="D21" s="79"/>
      <c r="E21" s="358">
        <f>-'A4  STD Amort-Prior Fac'!E25</f>
        <v>293659.07999999996</v>
      </c>
      <c r="F21" s="192"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7" t="e">
        <f>E23/C23</f>
        <v>#REF!</v>
      </c>
      <c r="G23" s="75"/>
    </row>
    <row r="24" spans="1:7" ht="12.75">
      <c r="A24" s="3">
        <f t="shared" si="0"/>
        <v>17</v>
      </c>
      <c r="B24" s="67"/>
      <c r="C24" s="67"/>
      <c r="D24" s="67"/>
      <c r="E24" s="67"/>
      <c r="F24" s="67"/>
      <c r="G24" s="75"/>
    </row>
    <row r="25" spans="1:7" ht="12.75">
      <c r="A25" s="3">
        <f t="shared" si="0"/>
        <v>18</v>
      </c>
      <c r="E25" s="10"/>
      <c r="F25" s="9"/>
      <c r="G25" s="10"/>
    </row>
    <row r="26" spans="1:7" ht="12.75">
      <c r="A26" s="3">
        <f t="shared" si="0"/>
        <v>19</v>
      </c>
      <c r="B26" s="132" t="s">
        <v>176</v>
      </c>
      <c r="C26" s="533"/>
      <c r="D26" s="533"/>
      <c r="E26" s="533"/>
      <c r="F26" s="71"/>
      <c r="G26" s="10"/>
    </row>
    <row r="27" spans="1:7" ht="12.75">
      <c r="A27" s="3">
        <f t="shared" si="0"/>
        <v>20</v>
      </c>
      <c r="B27" s="132" t="s">
        <v>237</v>
      </c>
      <c r="C27" s="533"/>
      <c r="D27" s="533"/>
      <c r="E27" s="533"/>
      <c r="F27" s="71"/>
      <c r="G27" s="10"/>
    </row>
    <row r="28" spans="1:7" ht="12.75">
      <c r="A28" s="3">
        <f t="shared" si="0"/>
        <v>21</v>
      </c>
      <c r="B28" s="132" t="s">
        <v>238</v>
      </c>
      <c r="C28" s="71"/>
      <c r="D28" s="71"/>
      <c r="E28" s="71"/>
      <c r="F28" s="71"/>
      <c r="G28" s="10"/>
    </row>
    <row r="29" spans="1:7" ht="12.75">
      <c r="A29" s="3"/>
      <c r="B29" s="132"/>
      <c r="E29" s="10"/>
      <c r="F29" s="9"/>
      <c r="G29" s="10"/>
    </row>
    <row r="30" spans="1:2" ht="12.75">
      <c r="A30" s="3"/>
      <c r="B30" s="132"/>
    </row>
    <row r="31" spans="1:2" ht="12.75">
      <c r="A31" s="3"/>
      <c r="B31" s="8"/>
    </row>
    <row r="32" spans="1:2" ht="12.75">
      <c r="A32" s="3"/>
      <c r="B32" s="8"/>
    </row>
    <row r="33" ht="12.75">
      <c r="A33" s="3" t="s">
        <v>2</v>
      </c>
    </row>
    <row r="34" ht="12.75" customHeight="1">
      <c r="A34" s="11"/>
    </row>
    <row r="35" spans="1:7" ht="12.75">
      <c r="A35" s="3" t="s">
        <v>2</v>
      </c>
      <c r="E35" s="10"/>
      <c r="F35" s="9"/>
      <c r="G35" s="10"/>
    </row>
    <row r="36" spans="1:7" ht="12.75">
      <c r="A36" s="3" t="s">
        <v>2</v>
      </c>
      <c r="E36" s="10"/>
      <c r="F36" s="9"/>
      <c r="G36" s="10"/>
    </row>
    <row r="37" spans="5:7" ht="12.75">
      <c r="E37" s="10"/>
      <c r="F37" s="9"/>
      <c r="G37" s="10"/>
    </row>
    <row r="41" spans="4:7" ht="12.75">
      <c r="D41" s="12"/>
      <c r="E41" s="10"/>
      <c r="F41" s="9"/>
      <c r="G41" s="10"/>
    </row>
    <row r="42" spans="4:7" ht="12.75">
      <c r="D42" s="12"/>
      <c r="E42" s="10"/>
      <c r="F42" s="9"/>
      <c r="G42" s="10"/>
    </row>
    <row r="43" spans="4:7" ht="12.75">
      <c r="D43" s="12"/>
      <c r="E43" s="10"/>
      <c r="F43" s="9"/>
      <c r="G43" s="10"/>
    </row>
    <row r="44" spans="4:7" ht="12.75">
      <c r="D44" s="12"/>
      <c r="E44" s="10"/>
      <c r="F44" s="9"/>
      <c r="G44" s="10"/>
    </row>
    <row r="45" ht="12.75">
      <c r="E45" s="10"/>
    </row>
    <row r="46" spans="5:7" ht="12.75">
      <c r="E46" s="10"/>
      <c r="G46" s="10"/>
    </row>
    <row r="55" ht="12.75">
      <c r="B55" s="12"/>
    </row>
    <row r="56" ht="12.75">
      <c r="B56" s="8"/>
    </row>
    <row r="73" ht="12.75">
      <c r="F73" s="9"/>
    </row>
    <row r="84" ht="12.75">
      <c r="D84" s="12"/>
    </row>
    <row r="86" ht="12.75">
      <c r="D86" s="12"/>
    </row>
    <row r="89" ht="12.75">
      <c r="D89" s="12"/>
    </row>
    <row r="90" ht="12.75">
      <c r="D90" s="12"/>
    </row>
    <row r="95" ht="12.75">
      <c r="D95" s="12"/>
    </row>
    <row r="96" ht="12.75">
      <c r="D96" s="12"/>
    </row>
    <row r="103" ht="12.75">
      <c r="C103" s="13"/>
    </row>
    <row r="104" ht="12.75">
      <c r="C104" s="14"/>
    </row>
    <row r="106" ht="12.75">
      <c r="C106" s="13"/>
    </row>
    <row r="107" ht="12.75">
      <c r="C107" s="9"/>
    </row>
  </sheetData>
  <sheetProtection/>
  <printOptions horizontalCentered="1"/>
  <pageMargins left="0.75" right="0.75" top="0.65" bottom="0.63" header="0.5" footer="0.31"/>
  <pageSetup fitToHeight="1" fitToWidth="1" horizontalDpi="600" verticalDpi="600" orientation="landscape" r:id="rId1"/>
  <headerFooter alignWithMargins="0">
    <oddFooter>&amp;C&amp;A&amp;R&amp;8&amp;F</oddFooter>
  </headerFooter>
</worksheet>
</file>

<file path=xl/worksheets/sheet15.xml><?xml version="1.0" encoding="utf-8"?>
<worksheet xmlns="http://schemas.openxmlformats.org/spreadsheetml/2006/main" xmlns:r="http://schemas.openxmlformats.org/officeDocument/2006/relationships">
  <dimension ref="A1:O41"/>
  <sheetViews>
    <sheetView zoomScalePageLayoutView="0" workbookViewId="0" topLeftCell="A1">
      <selection activeCell="J49" sqref="J49"/>
    </sheetView>
  </sheetViews>
  <sheetFormatPr defaultColWidth="9.33203125" defaultRowHeight="11.25"/>
  <cols>
    <col min="1" max="1" width="5.16015625" style="0" customWidth="1"/>
    <col min="2" max="2" width="24.66015625" style="0" customWidth="1"/>
    <col min="3" max="3" width="16.16015625" style="0" customWidth="1"/>
    <col min="4" max="4" width="15.16015625" style="0" customWidth="1"/>
    <col min="5" max="5" width="11.83203125" style="0" customWidth="1"/>
    <col min="6" max="6" width="15" style="0" customWidth="1"/>
    <col min="7" max="7" width="14.33203125" style="0" customWidth="1"/>
    <col min="8" max="8" width="14.83203125" style="0" customWidth="1"/>
    <col min="9" max="10" width="12.83203125" style="0" customWidth="1"/>
    <col min="11" max="11" width="5.83203125" style="0" customWidth="1"/>
    <col min="12" max="12" width="8.5" style="0" customWidth="1"/>
    <col min="13" max="13" width="10" style="0" customWidth="1"/>
    <col min="14" max="14" width="11.16015625" style="0" customWidth="1"/>
    <col min="15" max="15" width="11.5" style="0" customWidth="1"/>
  </cols>
  <sheetData>
    <row r="1" spans="1:15" ht="20.25">
      <c r="A1" s="35"/>
      <c r="B1" s="36" t="s">
        <v>46</v>
      </c>
      <c r="C1" s="36"/>
      <c r="D1" s="35"/>
      <c r="E1" s="534" t="s">
        <v>236</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7">
        <f>'Pg 1 CofCap'!B5</f>
        <v>42004</v>
      </c>
      <c r="C3" s="258"/>
      <c r="D3" s="259"/>
      <c r="E3" s="259"/>
      <c r="F3" s="259"/>
      <c r="G3" s="260"/>
      <c r="H3" s="260"/>
      <c r="I3" s="260"/>
      <c r="J3" s="260"/>
      <c r="K3" s="35"/>
      <c r="L3" s="35"/>
      <c r="N3" s="35"/>
      <c r="O3" s="35"/>
    </row>
    <row r="4" spans="1:15" ht="12">
      <c r="A4" s="35"/>
      <c r="B4" s="36"/>
      <c r="C4" s="43"/>
      <c r="D4" s="35"/>
      <c r="E4" s="35"/>
      <c r="F4" s="35"/>
      <c r="G4" s="35"/>
      <c r="H4" s="35"/>
      <c r="I4" s="35"/>
      <c r="J4" s="35"/>
      <c r="K4" s="35"/>
      <c r="L4" s="35"/>
      <c r="N4" s="35"/>
      <c r="O4" s="35"/>
    </row>
    <row r="5" spans="1:15" ht="13.5" thickBot="1">
      <c r="A5" s="193">
        <v>1</v>
      </c>
      <c r="B5" s="360" t="s">
        <v>5</v>
      </c>
      <c r="C5" s="360" t="s">
        <v>27</v>
      </c>
      <c r="D5" s="360" t="s">
        <v>52</v>
      </c>
      <c r="E5" s="360" t="s">
        <v>64</v>
      </c>
      <c r="F5" s="360" t="s">
        <v>65</v>
      </c>
      <c r="G5" s="360" t="s">
        <v>66</v>
      </c>
      <c r="H5" s="360" t="s">
        <v>67</v>
      </c>
      <c r="I5" s="360" t="s">
        <v>68</v>
      </c>
      <c r="J5" s="360" t="s">
        <v>69</v>
      </c>
      <c r="K5" s="69"/>
      <c r="L5" s="69"/>
      <c r="N5" s="35"/>
      <c r="O5" s="35"/>
    </row>
    <row r="6" spans="1:15" ht="12">
      <c r="A6" s="193">
        <f aca="true" t="shared" si="0" ref="A6:A40">+A5+1</f>
        <v>2</v>
      </c>
      <c r="B6" s="361" t="s">
        <v>121</v>
      </c>
      <c r="C6" s="362"/>
      <c r="D6" s="362"/>
      <c r="E6" s="362"/>
      <c r="F6" s="362"/>
      <c r="G6" s="362"/>
      <c r="H6" s="151"/>
      <c r="I6" s="151"/>
      <c r="J6" s="151"/>
      <c r="K6" s="363"/>
      <c r="M6" s="35"/>
      <c r="N6" s="35"/>
      <c r="O6" s="35"/>
    </row>
    <row r="7" spans="1:15" ht="12">
      <c r="A7" s="193">
        <f t="shared" si="0"/>
        <v>3</v>
      </c>
      <c r="B7" s="535"/>
      <c r="C7" s="207"/>
      <c r="D7" s="207"/>
      <c r="E7" s="207"/>
      <c r="F7" s="207"/>
      <c r="G7" s="207"/>
      <c r="H7" s="89"/>
      <c r="I7" s="89"/>
      <c r="J7" s="89"/>
      <c r="K7" s="153"/>
      <c r="M7" s="35"/>
      <c r="N7" s="35"/>
      <c r="O7" s="35"/>
    </row>
    <row r="8" spans="1:15" ht="12">
      <c r="A8" s="193">
        <f t="shared" si="0"/>
        <v>4</v>
      </c>
      <c r="B8" s="206"/>
      <c r="C8" s="207"/>
      <c r="D8" s="396" t="s">
        <v>239</v>
      </c>
      <c r="E8" s="214" t="s">
        <v>240</v>
      </c>
      <c r="F8" s="214" t="s">
        <v>241</v>
      </c>
      <c r="G8" s="397" t="s">
        <v>239</v>
      </c>
      <c r="H8" s="38"/>
      <c r="I8" s="38"/>
      <c r="J8" s="38"/>
      <c r="K8" s="364" t="s">
        <v>2</v>
      </c>
      <c r="L8" s="35"/>
      <c r="M8" s="276"/>
      <c r="N8" s="35"/>
      <c r="O8" s="35"/>
    </row>
    <row r="9" spans="1:15" ht="12">
      <c r="A9" s="193">
        <f t="shared" si="0"/>
        <v>5</v>
      </c>
      <c r="B9" s="206"/>
      <c r="C9" s="214" t="s">
        <v>50</v>
      </c>
      <c r="D9" s="214" t="s">
        <v>114</v>
      </c>
      <c r="E9" s="214" t="s">
        <v>50</v>
      </c>
      <c r="F9" s="214" t="s">
        <v>242</v>
      </c>
      <c r="G9" s="214" t="s">
        <v>50</v>
      </c>
      <c r="H9" s="214" t="s">
        <v>131</v>
      </c>
      <c r="I9" s="38"/>
      <c r="J9" s="38"/>
      <c r="K9" s="364"/>
      <c r="L9" s="205"/>
      <c r="M9" s="35"/>
      <c r="N9" s="35"/>
      <c r="O9" s="35"/>
    </row>
    <row r="10" spans="1:15" ht="12">
      <c r="A10" s="193">
        <f t="shared" si="0"/>
        <v>6</v>
      </c>
      <c r="B10" s="206"/>
      <c r="C10" s="215" t="s">
        <v>151</v>
      </c>
      <c r="D10" s="215" t="s">
        <v>38</v>
      </c>
      <c r="E10" s="215" t="s">
        <v>99</v>
      </c>
      <c r="F10" s="215" t="s">
        <v>251</v>
      </c>
      <c r="G10" s="215" t="s">
        <v>99</v>
      </c>
      <c r="H10" s="215" t="s">
        <v>152</v>
      </c>
      <c r="I10" s="40"/>
      <c r="J10" s="38"/>
      <c r="K10" s="364"/>
      <c r="L10" s="205"/>
      <c r="M10" s="240"/>
      <c r="N10" s="35"/>
      <c r="O10" s="35"/>
    </row>
    <row r="11" spans="1:15" ht="12">
      <c r="A11" s="193">
        <f t="shared" si="0"/>
        <v>7</v>
      </c>
      <c r="B11" s="206" t="s">
        <v>36</v>
      </c>
      <c r="C11" s="261">
        <f>'Pg 4 STD OS &amp; Comm Fees'!C11</f>
        <v>18879452.02</v>
      </c>
      <c r="D11" s="261">
        <f>G11*C11</f>
        <v>65412.79</v>
      </c>
      <c r="E11" s="269">
        <f>'Pg 4 STD OS &amp; Comm Fees'!E11</f>
        <v>0.0034647610497754266</v>
      </c>
      <c r="F11" s="269">
        <v>0</v>
      </c>
      <c r="G11" s="269">
        <f>SUM(E11:F11)</f>
        <v>0.0034647610497754266</v>
      </c>
      <c r="H11" s="536">
        <v>0</v>
      </c>
      <c r="I11" s="355"/>
      <c r="J11" s="38"/>
      <c r="K11" s="364"/>
      <c r="L11" s="35"/>
      <c r="M11" s="204"/>
      <c r="N11" s="35"/>
      <c r="O11" s="35"/>
    </row>
    <row r="12" spans="1:15" ht="12">
      <c r="A12" s="193">
        <f t="shared" si="0"/>
        <v>8</v>
      </c>
      <c r="B12" s="206" t="s">
        <v>115</v>
      </c>
      <c r="C12" s="261">
        <f>'Pg 4 STD OS &amp; Comm Fees'!C12</f>
        <v>29122264.872054804</v>
      </c>
      <c r="D12" s="261" t="e">
        <f>G12*C12</f>
        <v>#REF!</v>
      </c>
      <c r="E12" s="269">
        <f>'Pg 4 STD OS &amp; Comm Fees'!E12</f>
        <v>0.0062385743843754535</v>
      </c>
      <c r="F12" s="269">
        <v>0</v>
      </c>
      <c r="G12" s="269" t="e">
        <f>(D11+D13+D14)/(C11+C13+C14)</f>
        <v>#REF!</v>
      </c>
      <c r="H12" s="536">
        <v>0</v>
      </c>
      <c r="I12" s="355"/>
      <c r="J12" s="38"/>
      <c r="K12" s="364"/>
      <c r="L12" s="35"/>
      <c r="M12" s="204"/>
      <c r="N12" s="35"/>
      <c r="O12" s="35"/>
    </row>
    <row r="13" spans="1:15" ht="12">
      <c r="A13" s="193">
        <f t="shared" si="0"/>
        <v>9</v>
      </c>
      <c r="B13" s="206" t="s">
        <v>243</v>
      </c>
      <c r="C13" s="261" t="e">
        <f>'Pg 4 STD OS &amp; Comm Fees'!#REF!</f>
        <v>#REF!</v>
      </c>
      <c r="D13" s="261" t="e">
        <f>G13*C13</f>
        <v>#REF!</v>
      </c>
      <c r="E13" s="269" t="e">
        <f>'Pg 4 STD OS &amp; Comm Fees'!#REF!</f>
        <v>#REF!</v>
      </c>
      <c r="F13" s="269">
        <f>$C$38</f>
        <v>-0.0032500000000000003</v>
      </c>
      <c r="G13" s="269" t="e">
        <f>SUM(E13:F13)</f>
        <v>#REF!</v>
      </c>
      <c r="H13" s="211" t="e">
        <f>J23</f>
        <v>#REF!</v>
      </c>
      <c r="I13" s="355"/>
      <c r="J13" s="38"/>
      <c r="K13" s="364"/>
      <c r="L13" s="35"/>
      <c r="M13" s="204"/>
      <c r="N13" s="35"/>
      <c r="O13" s="35"/>
    </row>
    <row r="14" spans="1:15" ht="12">
      <c r="A14" s="193">
        <f t="shared" si="0"/>
        <v>10</v>
      </c>
      <c r="B14" s="206" t="s">
        <v>243</v>
      </c>
      <c r="C14" s="261" t="e">
        <f>'Pg 4 STD OS &amp; Comm Fees'!#REF!</f>
        <v>#REF!</v>
      </c>
      <c r="D14" s="261" t="e">
        <f>G14*C14</f>
        <v>#REF!</v>
      </c>
      <c r="E14" s="269" t="e">
        <f>'Pg 4 STD OS &amp; Comm Fees'!#REF!</f>
        <v>#REF!</v>
      </c>
      <c r="F14" s="269">
        <f>$C$38</f>
        <v>-0.0032500000000000003</v>
      </c>
      <c r="G14" s="269" t="e">
        <f>SUM(E14:F14)</f>
        <v>#REF!</v>
      </c>
      <c r="H14" s="211">
        <f>J24</f>
        <v>253472.222222</v>
      </c>
      <c r="I14" s="355"/>
      <c r="J14" s="38"/>
      <c r="K14" s="364"/>
      <c r="L14" s="35"/>
      <c r="M14" s="204"/>
      <c r="N14" s="35"/>
      <c r="O14" s="35"/>
    </row>
    <row r="15" spans="1:15" ht="12">
      <c r="A15" s="193">
        <f t="shared" si="0"/>
        <v>11</v>
      </c>
      <c r="B15" s="206" t="s">
        <v>159</v>
      </c>
      <c r="C15" s="261"/>
      <c r="D15" s="261"/>
      <c r="E15" s="269"/>
      <c r="F15" s="269"/>
      <c r="G15" s="269"/>
      <c r="H15" s="211">
        <f>J30</f>
        <v>32232.73980694444</v>
      </c>
      <c r="I15" s="355"/>
      <c r="J15" s="38"/>
      <c r="K15" s="364"/>
      <c r="L15" s="35"/>
      <c r="M15" s="204"/>
      <c r="N15" s="35"/>
      <c r="O15" s="35"/>
    </row>
    <row r="16" spans="1:15" ht="12">
      <c r="A16" s="193">
        <f t="shared" si="0"/>
        <v>12</v>
      </c>
      <c r="B16" s="340" t="s">
        <v>163</v>
      </c>
      <c r="C16" s="537" t="e">
        <f>SUM(C11:C15)</f>
        <v>#REF!</v>
      </c>
      <c r="D16" s="539" t="e">
        <f>SUM(D11:D15)</f>
        <v>#REF!</v>
      </c>
      <c r="E16" s="538">
        <f>'[4]Pg 4 STD OS &amp; Comm Fees'!E16</f>
        <v>0.011564749125603244</v>
      </c>
      <c r="F16" s="269"/>
      <c r="G16" s="538" t="e">
        <f>D16/C16</f>
        <v>#REF!</v>
      </c>
      <c r="H16" s="539" t="e">
        <f>SUM(H11:H15)</f>
        <v>#REF!</v>
      </c>
      <c r="I16" s="38"/>
      <c r="J16" s="38"/>
      <c r="K16" s="364"/>
      <c r="L16" s="35"/>
      <c r="M16" s="35"/>
      <c r="N16" s="35"/>
      <c r="O16" s="35"/>
    </row>
    <row r="17" spans="1:15" ht="12">
      <c r="A17" s="193">
        <f t="shared" si="0"/>
        <v>13</v>
      </c>
      <c r="B17" s="206"/>
      <c r="C17" s="208"/>
      <c r="D17" s="209"/>
      <c r="E17" s="207"/>
      <c r="F17" s="208"/>
      <c r="G17" s="38"/>
      <c r="H17" s="38"/>
      <c r="I17" s="38"/>
      <c r="J17" s="38"/>
      <c r="K17" s="364"/>
      <c r="L17" s="35"/>
      <c r="M17" s="35"/>
      <c r="N17" s="35"/>
      <c r="O17" s="35"/>
    </row>
    <row r="18" spans="1:15" ht="12.75" thickBot="1">
      <c r="A18" s="193">
        <f t="shared" si="0"/>
        <v>14</v>
      </c>
      <c r="B18" s="357"/>
      <c r="C18" s="210"/>
      <c r="D18" s="210"/>
      <c r="E18" s="210"/>
      <c r="F18" s="210"/>
      <c r="G18" s="365"/>
      <c r="H18" s="365"/>
      <c r="I18" s="365"/>
      <c r="J18" s="365"/>
      <c r="K18" s="366"/>
      <c r="L18" s="38"/>
      <c r="M18" s="35"/>
      <c r="N18" s="35"/>
      <c r="O18" s="35"/>
    </row>
    <row r="19" spans="1:15" ht="12">
      <c r="A19" s="193">
        <f t="shared" si="0"/>
        <v>15</v>
      </c>
      <c r="B19" s="598" t="s">
        <v>97</v>
      </c>
      <c r="C19" s="599"/>
      <c r="D19" s="151"/>
      <c r="E19" s="151"/>
      <c r="F19" s="151"/>
      <c r="G19" s="151"/>
      <c r="H19" s="185"/>
      <c r="I19" s="185"/>
      <c r="J19" s="185"/>
      <c r="K19" s="148"/>
      <c r="L19" s="38" t="s">
        <v>2</v>
      </c>
      <c r="M19" s="35"/>
      <c r="N19" s="35"/>
      <c r="O19" s="35"/>
    </row>
    <row r="20" spans="1:15" ht="12">
      <c r="A20" s="193">
        <f t="shared" si="0"/>
        <v>16</v>
      </c>
      <c r="B20" s="596" t="s">
        <v>106</v>
      </c>
      <c r="C20" s="597"/>
      <c r="D20" s="38"/>
      <c r="E20" s="38"/>
      <c r="F20" s="38"/>
      <c r="G20" s="241" t="s">
        <v>156</v>
      </c>
      <c r="H20" s="241" t="s">
        <v>156</v>
      </c>
      <c r="I20" s="42"/>
      <c r="J20" s="42"/>
      <c r="K20" s="153"/>
      <c r="L20" s="38"/>
      <c r="M20" s="35"/>
      <c r="N20" s="35"/>
      <c r="O20" s="35"/>
    </row>
    <row r="21" spans="1:15" ht="12">
      <c r="A21" s="193">
        <f t="shared" si="0"/>
        <v>17</v>
      </c>
      <c r="B21" s="186"/>
      <c r="C21" s="184"/>
      <c r="D21" s="38"/>
      <c r="E21" s="38"/>
      <c r="F21" s="38"/>
      <c r="G21" s="220" t="s">
        <v>154</v>
      </c>
      <c r="H21" s="220" t="s">
        <v>155</v>
      </c>
      <c r="I21" s="42"/>
      <c r="J21" s="42"/>
      <c r="K21" s="153"/>
      <c r="L21" s="38"/>
      <c r="M21" s="35"/>
      <c r="N21" s="35"/>
      <c r="O21" s="35"/>
    </row>
    <row r="22" spans="1:15" ht="12">
      <c r="A22" s="193">
        <f t="shared" si="0"/>
        <v>18</v>
      </c>
      <c r="B22" s="540" t="s">
        <v>244</v>
      </c>
      <c r="C22" s="39" t="s">
        <v>48</v>
      </c>
      <c r="D22" s="39" t="s">
        <v>49</v>
      </c>
      <c r="E22" s="40" t="s">
        <v>51</v>
      </c>
      <c r="F22" s="40" t="s">
        <v>131</v>
      </c>
      <c r="G22" s="40" t="s">
        <v>153</v>
      </c>
      <c r="H22" s="40" t="s">
        <v>131</v>
      </c>
      <c r="I22" s="40" t="s">
        <v>60</v>
      </c>
      <c r="J22" s="40" t="s">
        <v>61</v>
      </c>
      <c r="K22" s="187"/>
      <c r="L22" s="38"/>
      <c r="M22" s="35"/>
      <c r="N22" s="35"/>
      <c r="O22" s="35"/>
    </row>
    <row r="23" spans="1:15" ht="12">
      <c r="A23" s="193">
        <f t="shared" si="0"/>
        <v>19</v>
      </c>
      <c r="B23" s="206" t="s">
        <v>245</v>
      </c>
      <c r="C23" s="541">
        <v>40178</v>
      </c>
      <c r="D23" s="541">
        <v>40543</v>
      </c>
      <c r="E23" s="356">
        <f>D23-C23</f>
        <v>365</v>
      </c>
      <c r="F23" s="542">
        <v>500000000</v>
      </c>
      <c r="G23" s="261" t="e">
        <f>(C13+C14)/2</f>
        <v>#REF!</v>
      </c>
      <c r="H23" s="261" t="e">
        <f>F23-G23</f>
        <v>#REF!</v>
      </c>
      <c r="I23" s="269">
        <v>0.00125</v>
      </c>
      <c r="J23" s="211" t="e">
        <f>ROUND(H23*I23*E23/360,6)</f>
        <v>#REF!</v>
      </c>
      <c r="K23" s="153"/>
      <c r="L23" s="38"/>
      <c r="M23" s="35"/>
      <c r="N23" s="35"/>
      <c r="O23" s="35"/>
    </row>
    <row r="24" spans="1:15" ht="12">
      <c r="A24" s="193">
        <f t="shared" si="0"/>
        <v>20</v>
      </c>
      <c r="B24" s="206" t="s">
        <v>246</v>
      </c>
      <c r="C24" s="541">
        <v>40178</v>
      </c>
      <c r="D24" s="541">
        <v>40543</v>
      </c>
      <c r="E24" s="356">
        <f>D24-C24</f>
        <v>365</v>
      </c>
      <c r="F24" s="542">
        <v>200000000</v>
      </c>
      <c r="G24" s="261" t="e">
        <f>(C13+C14)/2</f>
        <v>#REF!</v>
      </c>
      <c r="H24" s="573" t="s">
        <v>258</v>
      </c>
      <c r="I24" s="269">
        <v>0.00125</v>
      </c>
      <c r="J24" s="211">
        <f>ROUND(F24*I24*E24/360,6)</f>
        <v>253472.222222</v>
      </c>
      <c r="K24" s="153"/>
      <c r="L24" s="38"/>
      <c r="M24" s="35"/>
      <c r="N24" s="35"/>
      <c r="O24" s="35"/>
    </row>
    <row r="25" spans="1:15" ht="12">
      <c r="A25" s="193">
        <f t="shared" si="0"/>
        <v>21</v>
      </c>
      <c r="B25" s="265" t="s">
        <v>130</v>
      </c>
      <c r="C25" s="41"/>
      <c r="D25" s="278"/>
      <c r="E25" s="356"/>
      <c r="F25" s="543"/>
      <c r="I25" s="278"/>
      <c r="J25" s="544" t="e">
        <f>SUM(J23:J24)</f>
        <v>#REF!</v>
      </c>
      <c r="K25" s="188"/>
      <c r="L25" s="38"/>
      <c r="M25" s="35"/>
      <c r="N25" s="35"/>
      <c r="O25" s="35"/>
    </row>
    <row r="26" spans="1:15" ht="12">
      <c r="A26" s="193">
        <f t="shared" si="0"/>
        <v>22</v>
      </c>
      <c r="B26" s="244"/>
      <c r="C26" s="41"/>
      <c r="D26" s="278"/>
      <c r="E26" s="545"/>
      <c r="F26" s="40"/>
      <c r="G26" s="278"/>
      <c r="H26" s="546"/>
      <c r="I26" s="546"/>
      <c r="J26" s="546"/>
      <c r="K26" s="188"/>
      <c r="L26" s="38"/>
      <c r="M26" s="35"/>
      <c r="N26" s="35"/>
      <c r="O26" s="35"/>
    </row>
    <row r="27" spans="1:15" ht="12">
      <c r="A27" s="193">
        <f t="shared" si="0"/>
        <v>23</v>
      </c>
      <c r="B27" s="264" t="s">
        <v>132</v>
      </c>
      <c r="C27" s="282"/>
      <c r="F27" s="40" t="s">
        <v>177</v>
      </c>
      <c r="G27" s="40" t="s">
        <v>51</v>
      </c>
      <c r="H27" s="40" t="s">
        <v>160</v>
      </c>
      <c r="I27" s="278"/>
      <c r="J27" s="281"/>
      <c r="K27" s="188"/>
      <c r="L27" s="38"/>
      <c r="M27" s="35"/>
      <c r="N27" s="35"/>
      <c r="O27" s="35"/>
    </row>
    <row r="28" spans="1:15" ht="12">
      <c r="A28" s="193">
        <f t="shared" si="0"/>
        <v>24</v>
      </c>
      <c r="B28" s="265" t="s">
        <v>161</v>
      </c>
      <c r="C28" s="283"/>
      <c r="F28" s="416" t="s">
        <v>181</v>
      </c>
      <c r="G28" s="356">
        <v>365</v>
      </c>
      <c r="H28" s="261">
        <f>'Pg 4 STD OS &amp; Comm Fees'!H27</f>
        <v>4405024.616438356</v>
      </c>
      <c r="I28" s="547">
        <v>0.0065</v>
      </c>
      <c r="J28" s="261">
        <f>(I28*H28)*(G28/360)</f>
        <v>29030.335840277774</v>
      </c>
      <c r="K28" s="188"/>
      <c r="L28" s="38"/>
      <c r="M28" s="35"/>
      <c r="N28" s="35"/>
      <c r="O28" s="35"/>
    </row>
    <row r="29" spans="1:15" ht="12.75" customHeight="1">
      <c r="A29" s="193">
        <f t="shared" si="0"/>
        <v>25</v>
      </c>
      <c r="B29" s="265" t="s">
        <v>179</v>
      </c>
      <c r="C29" s="283"/>
      <c r="F29" s="416" t="s">
        <v>180</v>
      </c>
      <c r="G29" s="356">
        <v>365</v>
      </c>
      <c r="H29" s="261">
        <f>'Pg 4 STD OS &amp; Comm Fees'!H28</f>
        <v>485928.52602739725</v>
      </c>
      <c r="I29" s="547">
        <v>0.0065</v>
      </c>
      <c r="J29" s="261">
        <f>(I29*H29)*(G29/360)</f>
        <v>3202.4039666666663</v>
      </c>
      <c r="K29" s="153"/>
      <c r="L29" s="38"/>
      <c r="M29" s="35"/>
      <c r="N29" s="35"/>
      <c r="O29" s="35"/>
    </row>
    <row r="30" spans="1:15" ht="12.75" customHeight="1" thickBot="1">
      <c r="A30" s="193">
        <f t="shared" si="0"/>
        <v>26</v>
      </c>
      <c r="B30" s="339" t="s">
        <v>162</v>
      </c>
      <c r="C30" s="283"/>
      <c r="D30" s="283"/>
      <c r="E30" s="378"/>
      <c r="F30" s="379"/>
      <c r="G30" s="356"/>
      <c r="H30" s="42"/>
      <c r="I30" s="42"/>
      <c r="J30" s="380">
        <f>SUM(J28:J29)</f>
        <v>32232.73980694444</v>
      </c>
      <c r="K30" s="153"/>
      <c r="L30" s="38"/>
      <c r="M30" s="35"/>
      <c r="N30" s="35"/>
      <c r="O30" s="35"/>
    </row>
    <row r="31" spans="1:15" ht="12.75" customHeight="1" thickTop="1">
      <c r="A31" s="193">
        <f t="shared" si="0"/>
        <v>27</v>
      </c>
      <c r="B31" s="265"/>
      <c r="C31" s="161"/>
      <c r="D31" s="161"/>
      <c r="E31" s="161"/>
      <c r="F31" s="331"/>
      <c r="G31" s="332"/>
      <c r="H31" s="42"/>
      <c r="I31" s="42"/>
      <c r="J31" s="42"/>
      <c r="K31" s="153"/>
      <c r="L31" s="38"/>
      <c r="M31" s="35"/>
      <c r="N31" s="35"/>
      <c r="O31" s="35"/>
    </row>
    <row r="32" spans="1:11" ht="12">
      <c r="A32" s="193">
        <f t="shared" si="0"/>
        <v>28</v>
      </c>
      <c r="B32" s="186"/>
      <c r="C32" s="184"/>
      <c r="D32" s="184"/>
      <c r="E32" s="89"/>
      <c r="F32" s="89"/>
      <c r="G32" s="89"/>
      <c r="H32" s="149"/>
      <c r="I32" s="149"/>
      <c r="J32" s="149"/>
      <c r="K32" s="153"/>
    </row>
    <row r="33" spans="1:11" ht="12" thickBot="1">
      <c r="A33" s="193">
        <f t="shared" si="0"/>
        <v>29</v>
      </c>
      <c r="B33" s="127" t="s">
        <v>83</v>
      </c>
      <c r="C33" s="190"/>
      <c r="D33" s="190"/>
      <c r="E33" s="154"/>
      <c r="F33" s="154"/>
      <c r="G33" s="154"/>
      <c r="H33" s="191"/>
      <c r="I33" s="191"/>
      <c r="J33" s="191"/>
      <c r="K33" s="189"/>
    </row>
    <row r="34" spans="1:11" ht="12">
      <c r="A34" s="193">
        <f t="shared" si="0"/>
        <v>30</v>
      </c>
      <c r="B34" s="548" t="s">
        <v>247</v>
      </c>
      <c r="C34" s="151"/>
      <c r="D34" s="151"/>
      <c r="E34" s="151"/>
      <c r="F34" s="151"/>
      <c r="G34" s="151"/>
      <c r="H34" s="151"/>
      <c r="I34" s="151"/>
      <c r="J34" s="151"/>
      <c r="K34" s="363"/>
    </row>
    <row r="35" spans="1:11" ht="11.25">
      <c r="A35" s="193">
        <f t="shared" si="0"/>
        <v>31</v>
      </c>
      <c r="B35" s="549"/>
      <c r="C35" s="89"/>
      <c r="D35" s="89"/>
      <c r="E35" s="89"/>
      <c r="F35" s="89"/>
      <c r="G35" s="89"/>
      <c r="H35" s="89"/>
      <c r="I35" s="89"/>
      <c r="J35" s="89"/>
      <c r="K35" s="153"/>
    </row>
    <row r="36" spans="1:11" ht="11.25">
      <c r="A36" s="193">
        <f t="shared" si="0"/>
        <v>32</v>
      </c>
      <c r="B36" s="549" t="s">
        <v>248</v>
      </c>
      <c r="C36" s="550">
        <v>0.00525</v>
      </c>
      <c r="D36" s="89"/>
      <c r="E36" s="89"/>
      <c r="F36" s="89"/>
      <c r="G36" s="89"/>
      <c r="H36" s="89"/>
      <c r="I36" s="89"/>
      <c r="J36" s="89"/>
      <c r="K36" s="153"/>
    </row>
    <row r="37" spans="1:11" ht="11.25">
      <c r="A37" s="193">
        <f t="shared" si="0"/>
        <v>33</v>
      </c>
      <c r="B37" s="549" t="s">
        <v>249</v>
      </c>
      <c r="C37" s="550">
        <v>0.0085</v>
      </c>
      <c r="D37" s="89"/>
      <c r="E37" s="89"/>
      <c r="F37" s="89"/>
      <c r="G37" s="89"/>
      <c r="H37" s="89"/>
      <c r="I37" s="89"/>
      <c r="J37" s="89"/>
      <c r="K37" s="153"/>
    </row>
    <row r="38" spans="1:11" ht="12">
      <c r="A38" s="193">
        <f t="shared" si="0"/>
        <v>34</v>
      </c>
      <c r="B38" s="551" t="s">
        <v>250</v>
      </c>
      <c r="C38" s="552">
        <f>C36-C37</f>
        <v>-0.0032500000000000003</v>
      </c>
      <c r="D38" s="38" t="s">
        <v>252</v>
      </c>
      <c r="E38" s="89"/>
      <c r="F38" s="89"/>
      <c r="G38" s="89"/>
      <c r="H38" s="89"/>
      <c r="I38" s="89"/>
      <c r="J38" s="89"/>
      <c r="K38" s="153"/>
    </row>
    <row r="39" spans="1:11" ht="9.75">
      <c r="A39" s="193">
        <f t="shared" si="0"/>
        <v>35</v>
      </c>
      <c r="B39" s="152"/>
      <c r="C39" s="89"/>
      <c r="D39" s="89"/>
      <c r="E39" s="89"/>
      <c r="F39" s="89"/>
      <c r="G39" s="89"/>
      <c r="H39" s="89"/>
      <c r="I39" s="89"/>
      <c r="J39" s="89"/>
      <c r="K39" s="153"/>
    </row>
    <row r="40" spans="1:11" ht="10.5" thickBot="1">
      <c r="A40" s="193">
        <f t="shared" si="0"/>
        <v>36</v>
      </c>
      <c r="B40" s="553"/>
      <c r="C40" s="154"/>
      <c r="D40" s="154"/>
      <c r="E40" s="154"/>
      <c r="F40" s="154"/>
      <c r="G40" s="154"/>
      <c r="H40" s="154"/>
      <c r="I40" s="154"/>
      <c r="J40" s="154"/>
      <c r="K40" s="189"/>
    </row>
    <row r="41" ht="9.75">
      <c r="A41" s="193"/>
    </row>
  </sheetData>
  <sheetProtection/>
  <mergeCells count="2">
    <mergeCell ref="B20:C20"/>
    <mergeCell ref="B19:C19"/>
  </mergeCells>
  <printOptions/>
  <pageMargins left="0.5" right="0.5" top="0.51" bottom="0.96" header="0.29" footer="0.28"/>
  <pageSetup horizontalDpi="600" verticalDpi="600" orientation="landscape" r:id="rId3"/>
  <headerFooter alignWithMargins="0">
    <oddFooter>&amp;C&amp;A&amp;R&amp;8&amp;F</oddFooter>
  </headerFooter>
  <legacyDrawing r:id="rId2"/>
</worksheet>
</file>

<file path=xl/worksheets/sheet16.xml><?xml version="1.0" encoding="utf-8"?>
<worksheet xmlns="http://schemas.openxmlformats.org/spreadsheetml/2006/main" xmlns:r="http://schemas.openxmlformats.org/officeDocument/2006/relationships">
  <dimension ref="A1:H50"/>
  <sheetViews>
    <sheetView zoomScalePageLayoutView="0" workbookViewId="0" topLeftCell="A1">
      <selection activeCell="J49" sqref="J49"/>
    </sheetView>
  </sheetViews>
  <sheetFormatPr defaultColWidth="9.33203125" defaultRowHeight="11.25"/>
  <cols>
    <col min="1" max="1" width="4.83203125" style="0" customWidth="1"/>
    <col min="2" max="2" width="44.16015625" style="0" customWidth="1"/>
    <col min="3" max="3" width="16.66015625" style="0" customWidth="1"/>
    <col min="4" max="4" width="16.83203125" style="0" customWidth="1"/>
    <col min="5" max="5" width="15.66015625" style="0" customWidth="1"/>
    <col min="6" max="7" width="12" style="126" customWidth="1"/>
  </cols>
  <sheetData>
    <row r="1" spans="2:3" ht="20.25">
      <c r="B1" s="36" t="s">
        <v>46</v>
      </c>
      <c r="C1" s="534" t="s">
        <v>236</v>
      </c>
    </row>
    <row r="2" spans="1:2" ht="16.5" customHeight="1">
      <c r="A2" s="89"/>
      <c r="B2" s="128" t="s">
        <v>105</v>
      </c>
    </row>
    <row r="3" spans="1:2" ht="15" customHeight="1">
      <c r="A3" s="89"/>
      <c r="B3" s="328">
        <f>'Pg 1 CofCap'!B5</f>
        <v>42004</v>
      </c>
    </row>
    <row r="4" spans="1:2" ht="9.75">
      <c r="A4" s="554"/>
      <c r="B4" s="555"/>
    </row>
    <row r="5" spans="1:5" ht="9.75">
      <c r="A5" s="129" t="s">
        <v>5</v>
      </c>
      <c r="B5" s="129" t="s">
        <v>27</v>
      </c>
      <c r="C5" s="129" t="s">
        <v>52</v>
      </c>
      <c r="D5" s="129" t="s">
        <v>64</v>
      </c>
      <c r="E5" s="129" t="s">
        <v>65</v>
      </c>
    </row>
    <row r="6" spans="2:5" ht="11.25" customHeight="1">
      <c r="B6" s="556"/>
      <c r="C6" s="556"/>
      <c r="D6" s="556"/>
      <c r="E6" s="556"/>
    </row>
    <row r="7" spans="1:4" ht="11.25" customHeight="1">
      <c r="A7" s="193"/>
      <c r="B7" s="163"/>
      <c r="C7" s="557" t="s">
        <v>253</v>
      </c>
      <c r="D7" s="557" t="s">
        <v>253</v>
      </c>
    </row>
    <row r="8" spans="1:4" ht="11.25" customHeight="1">
      <c r="A8" s="193">
        <v>1</v>
      </c>
      <c r="B8" s="163" t="s">
        <v>9</v>
      </c>
      <c r="C8" s="558" t="s">
        <v>254</v>
      </c>
      <c r="D8" s="559" t="s">
        <v>255</v>
      </c>
    </row>
    <row r="9" spans="1:5" ht="11.25" customHeight="1">
      <c r="A9" s="193">
        <f aca="true" t="shared" si="0" ref="A9:A25">A8+1</f>
        <v>2</v>
      </c>
      <c r="B9" s="163"/>
      <c r="C9" s="558" t="s">
        <v>256</v>
      </c>
      <c r="D9" s="559" t="s">
        <v>257</v>
      </c>
      <c r="E9" s="560" t="s">
        <v>168</v>
      </c>
    </row>
    <row r="10" spans="1:5" ht="11.25" customHeight="1">
      <c r="A10" s="193">
        <f t="shared" si="0"/>
        <v>3</v>
      </c>
      <c r="B10" s="561" t="s">
        <v>148</v>
      </c>
      <c r="C10" s="562">
        <v>18100400</v>
      </c>
      <c r="D10" s="562">
        <v>18100583</v>
      </c>
      <c r="E10" s="562" t="s">
        <v>169</v>
      </c>
    </row>
    <row r="11" spans="1:4" ht="11.25" customHeight="1">
      <c r="A11" s="193">
        <f t="shared" si="0"/>
        <v>4</v>
      </c>
      <c r="B11" s="561"/>
      <c r="C11" s="563"/>
      <c r="D11" s="161"/>
    </row>
    <row r="12" spans="1:5" ht="9.75">
      <c r="A12" s="193">
        <f t="shared" si="0"/>
        <v>5</v>
      </c>
      <c r="B12" s="564">
        <v>40209</v>
      </c>
      <c r="C12" s="300">
        <v>-5627.69</v>
      </c>
      <c r="D12" s="300">
        <v>-18843.9</v>
      </c>
      <c r="E12" s="565"/>
    </row>
    <row r="13" spans="1:5" ht="9.75">
      <c r="A13" s="193">
        <f t="shared" si="0"/>
        <v>6</v>
      </c>
      <c r="B13" s="564">
        <v>40237</v>
      </c>
      <c r="C13" s="300">
        <v>-5627.69</v>
      </c>
      <c r="D13" s="300">
        <v>-18843.9</v>
      </c>
      <c r="E13" s="565"/>
    </row>
    <row r="14" spans="1:5" ht="9.75">
      <c r="A14" s="193">
        <f t="shared" si="0"/>
        <v>7</v>
      </c>
      <c r="B14" s="564">
        <v>40268</v>
      </c>
      <c r="C14" s="300">
        <v>-5627.69</v>
      </c>
      <c r="D14" s="300">
        <v>-18843.9</v>
      </c>
      <c r="E14" s="565"/>
    </row>
    <row r="15" spans="1:5" ht="9.75">
      <c r="A15" s="193">
        <f t="shared" si="0"/>
        <v>8</v>
      </c>
      <c r="B15" s="564">
        <v>40298</v>
      </c>
      <c r="C15" s="300">
        <v>-5627.69</v>
      </c>
      <c r="D15" s="300">
        <v>-18843.9</v>
      </c>
      <c r="E15" s="565"/>
    </row>
    <row r="16" spans="1:8" ht="9.75">
      <c r="A16" s="193">
        <f t="shared" si="0"/>
        <v>9</v>
      </c>
      <c r="B16" s="564">
        <v>40329</v>
      </c>
      <c r="C16" s="300">
        <v>-5627.69</v>
      </c>
      <c r="D16" s="300">
        <v>-18843.9</v>
      </c>
      <c r="E16" s="565"/>
      <c r="H16" s="341"/>
    </row>
    <row r="17" spans="1:5" ht="9.75">
      <c r="A17" s="193">
        <f t="shared" si="0"/>
        <v>10</v>
      </c>
      <c r="B17" s="564">
        <v>40359</v>
      </c>
      <c r="C17" s="300">
        <v>-5627.69</v>
      </c>
      <c r="D17" s="300">
        <v>-18843.9</v>
      </c>
      <c r="E17" s="565"/>
    </row>
    <row r="18" spans="1:5" ht="9.75">
      <c r="A18" s="193">
        <f t="shared" si="0"/>
        <v>11</v>
      </c>
      <c r="B18" s="564">
        <v>40390</v>
      </c>
      <c r="C18" s="300">
        <v>-5627.69</v>
      </c>
      <c r="D18" s="300">
        <v>-18843.9</v>
      </c>
      <c r="E18" s="565"/>
    </row>
    <row r="19" spans="1:5" ht="9.75">
      <c r="A19" s="193">
        <f t="shared" si="0"/>
        <v>12</v>
      </c>
      <c r="B19" s="564">
        <v>40421</v>
      </c>
      <c r="C19" s="300">
        <v>-5627.69</v>
      </c>
      <c r="D19" s="300">
        <v>-18843.9</v>
      </c>
      <c r="E19" s="565"/>
    </row>
    <row r="20" spans="1:5" ht="9.75">
      <c r="A20" s="193">
        <f t="shared" si="0"/>
        <v>13</v>
      </c>
      <c r="B20" s="564">
        <v>40451</v>
      </c>
      <c r="C20" s="300">
        <v>-5627.69</v>
      </c>
      <c r="D20" s="300">
        <v>-18843.9</v>
      </c>
      <c r="E20" s="565"/>
    </row>
    <row r="21" spans="1:5" ht="9.75">
      <c r="A21" s="193">
        <f t="shared" si="0"/>
        <v>14</v>
      </c>
      <c r="B21" s="564">
        <v>40482</v>
      </c>
      <c r="C21" s="300">
        <v>-5627.69</v>
      </c>
      <c r="D21" s="300">
        <v>-18843.9</v>
      </c>
      <c r="E21" s="565"/>
    </row>
    <row r="22" spans="1:5" ht="9.75">
      <c r="A22" s="193">
        <f t="shared" si="0"/>
        <v>15</v>
      </c>
      <c r="B22" s="564">
        <v>40512</v>
      </c>
      <c r="C22" s="300">
        <v>-5627.69</v>
      </c>
      <c r="D22" s="300">
        <v>-18843.9</v>
      </c>
      <c r="E22" s="565"/>
    </row>
    <row r="23" spans="1:5" ht="9.75">
      <c r="A23" s="193">
        <f t="shared" si="0"/>
        <v>16</v>
      </c>
      <c r="B23" s="564">
        <v>40543</v>
      </c>
      <c r="C23" s="300">
        <v>-5627.69</v>
      </c>
      <c r="D23" s="300">
        <v>-18843.9</v>
      </c>
      <c r="E23" s="565"/>
    </row>
    <row r="24" spans="1:5" ht="10.5" thickBot="1">
      <c r="A24" s="193">
        <f t="shared" si="0"/>
        <v>17</v>
      </c>
      <c r="B24" s="564"/>
      <c r="C24" s="566"/>
      <c r="D24" s="566"/>
      <c r="E24" s="567"/>
    </row>
    <row r="25" spans="1:5" ht="10.5" thickBot="1">
      <c r="A25" s="193">
        <f t="shared" si="0"/>
        <v>18</v>
      </c>
      <c r="B25" s="568" t="s">
        <v>174</v>
      </c>
      <c r="C25" s="569">
        <f>SUM(C12:C24)</f>
        <v>-67532.28000000001</v>
      </c>
      <c r="D25" s="569">
        <f>SUM(D12:D24)</f>
        <v>-226126.79999999996</v>
      </c>
      <c r="E25" s="570">
        <f>SUM(C25:D25)</f>
        <v>-293659.07999999996</v>
      </c>
    </row>
    <row r="26" spans="1:5" ht="9.75">
      <c r="A26" s="193"/>
      <c r="B26" s="278"/>
      <c r="C26" s="571"/>
      <c r="D26" s="571"/>
      <c r="E26" s="567"/>
    </row>
    <row r="27" spans="1:2" ht="9.75">
      <c r="A27" s="193"/>
      <c r="B27" s="224"/>
    </row>
    <row r="28" spans="1:3" ht="9.75">
      <c r="A28" s="193"/>
      <c r="C28" s="126"/>
    </row>
    <row r="29" spans="1:4" ht="9.75">
      <c r="A29" s="193"/>
      <c r="C29" s="126"/>
      <c r="D29" s="126"/>
    </row>
    <row r="30" spans="1:2" ht="9.75">
      <c r="A30" s="193"/>
      <c r="B30" s="161"/>
    </row>
    <row r="31" ht="9.75">
      <c r="A31" s="193"/>
    </row>
    <row r="32" ht="9.75">
      <c r="A32" s="193"/>
    </row>
    <row r="33" spans="1:2" ht="9.75">
      <c r="A33" s="193"/>
      <c r="B33" s="222"/>
    </row>
    <row r="34" ht="9.75">
      <c r="A34" s="193"/>
    </row>
    <row r="35" ht="9.75">
      <c r="A35" s="193"/>
    </row>
    <row r="36" ht="9.75">
      <c r="A36" s="193"/>
    </row>
    <row r="37" ht="9.75">
      <c r="A37" s="193"/>
    </row>
    <row r="38" spans="1:2" ht="9.75">
      <c r="A38" s="193"/>
      <c r="B38" s="161"/>
    </row>
    <row r="39" ht="9.75">
      <c r="A39" s="193"/>
    </row>
    <row r="40" ht="9.75">
      <c r="A40" s="193"/>
    </row>
    <row r="41" spans="1:2" ht="9.75">
      <c r="A41" s="193"/>
      <c r="B41" s="224"/>
    </row>
    <row r="42" ht="9.75">
      <c r="A42" s="193"/>
    </row>
    <row r="43" ht="9.75">
      <c r="A43" s="193"/>
    </row>
    <row r="44" ht="9.75">
      <c r="A44" s="193"/>
    </row>
    <row r="45" ht="9.75">
      <c r="A45" s="193"/>
    </row>
    <row r="46" ht="9.75">
      <c r="A46" s="193"/>
    </row>
    <row r="47" ht="9.75">
      <c r="A47" s="193"/>
    </row>
    <row r="48" spans="1:2" ht="9.75">
      <c r="A48" s="193"/>
      <c r="B48" s="162"/>
    </row>
    <row r="49" spans="1:2" ht="9.75">
      <c r="A49" s="193"/>
      <c r="B49" s="162"/>
    </row>
    <row r="50" spans="1:2" ht="9.75">
      <c r="A50" s="193"/>
      <c r="B50" s="224"/>
    </row>
  </sheetData>
  <sheetProtection/>
  <printOptions/>
  <pageMargins left="0.79" right="0.67" top="0.56" bottom="0.44" header="0.23" footer="0.17"/>
  <pageSetup horizontalDpi="600" verticalDpi="600" orientation="landscape" r:id="rId1"/>
  <headerFooter alignWithMargins="0">
    <oddFooter>&amp;C&amp;A&amp;R&amp;F</oddFooter>
  </headerFooter>
</worksheet>
</file>

<file path=xl/worksheets/sheet2.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D16" sqref="D16"/>
    </sheetView>
  </sheetViews>
  <sheetFormatPr defaultColWidth="11.5" defaultRowHeight="11.25"/>
  <cols>
    <col min="1" max="1" width="3.83203125" style="16" customWidth="1"/>
    <col min="2" max="2" width="37.33203125" style="16" customWidth="1"/>
    <col min="3" max="3" width="18.16015625" style="16" customWidth="1"/>
    <col min="4" max="4" width="13.5" style="16" customWidth="1"/>
    <col min="5" max="5" width="13.16015625" style="16" customWidth="1"/>
    <col min="6" max="6" width="13.5" style="16" customWidth="1"/>
    <col min="7" max="7" width="11.5" style="16" customWidth="1"/>
    <col min="8" max="8" width="13.83203125" style="16" customWidth="1"/>
    <col min="9" max="9" width="11.16015625" style="16" customWidth="1"/>
    <col min="10" max="10" width="8.5" style="16" customWidth="1"/>
    <col min="11" max="11" width="9" style="16" customWidth="1"/>
    <col min="12" max="12" width="8.66015625" style="16" customWidth="1"/>
    <col min="13" max="16384" width="11.5" style="16" customWidth="1"/>
  </cols>
  <sheetData>
    <row r="1" spans="2:6" ht="15">
      <c r="B1" s="352" t="s">
        <v>4</v>
      </c>
      <c r="C1" s="352"/>
      <c r="D1" s="352"/>
      <c r="E1" s="352"/>
      <c r="F1" s="352"/>
    </row>
    <row r="2" spans="1:6" ht="12.75">
      <c r="A2" s="104"/>
      <c r="B2" s="17"/>
      <c r="C2" s="17"/>
      <c r="D2" s="17"/>
      <c r="E2" s="17"/>
      <c r="F2" s="17"/>
    </row>
    <row r="3" spans="2:6" ht="15">
      <c r="B3" s="353" t="s">
        <v>6</v>
      </c>
      <c r="C3" s="353"/>
      <c r="D3" s="353"/>
      <c r="E3" s="353"/>
      <c r="F3" s="353"/>
    </row>
    <row r="4" spans="2:12" ht="15">
      <c r="B4" s="354" t="s">
        <v>58</v>
      </c>
      <c r="C4" s="354"/>
      <c r="D4" s="354"/>
      <c r="E4" s="354"/>
      <c r="F4" s="354"/>
      <c r="H4" s="239"/>
      <c r="L4" s="242"/>
    </row>
    <row r="5" spans="1:12" ht="12.75">
      <c r="A5" s="105"/>
      <c r="B5" s="257">
        <v>42004</v>
      </c>
      <c r="C5" s="257"/>
      <c r="D5" s="257"/>
      <c r="E5" s="257"/>
      <c r="F5" s="257"/>
      <c r="H5" s="239"/>
      <c r="L5" s="242"/>
    </row>
    <row r="6" spans="1:12" ht="12.75">
      <c r="A6" s="18"/>
      <c r="C6" s="19"/>
      <c r="H6" s="239"/>
      <c r="L6" s="242"/>
    </row>
    <row r="7" spans="1:12" ht="12.75">
      <c r="A7" s="18"/>
      <c r="B7" s="105"/>
      <c r="C7" s="105"/>
      <c r="D7" s="105"/>
      <c r="E7" s="105"/>
      <c r="F7" s="105"/>
      <c r="H7" s="239"/>
      <c r="L7" s="242"/>
    </row>
    <row r="8" spans="1:12" ht="12.75">
      <c r="A8" s="194">
        <v>1</v>
      </c>
      <c r="B8" s="129" t="s">
        <v>5</v>
      </c>
      <c r="C8" s="129" t="s">
        <v>27</v>
      </c>
      <c r="D8" s="129" t="s">
        <v>52</v>
      </c>
      <c r="E8" s="129" t="s">
        <v>64</v>
      </c>
      <c r="F8" s="129" t="s">
        <v>65</v>
      </c>
      <c r="H8" s="239"/>
      <c r="L8" s="242"/>
    </row>
    <row r="9" spans="1:12" ht="12.75">
      <c r="A9" s="194">
        <f>+A8+1</f>
        <v>2</v>
      </c>
      <c r="B9" s="105"/>
      <c r="C9" s="105"/>
      <c r="D9" s="105"/>
      <c r="E9" s="105"/>
      <c r="F9" s="105"/>
      <c r="H9" s="239"/>
      <c r="L9" s="242"/>
    </row>
    <row r="10" spans="1:12" ht="12.75">
      <c r="A10" s="194">
        <f aca="true" t="shared" si="0" ref="A10:A23">+A9+1</f>
        <v>3</v>
      </c>
      <c r="B10" s="106" t="s">
        <v>2</v>
      </c>
      <c r="C10" s="107"/>
      <c r="D10" s="107"/>
      <c r="E10" s="107"/>
      <c r="F10" s="107" t="s">
        <v>7</v>
      </c>
      <c r="H10" s="239"/>
      <c r="L10" s="242"/>
    </row>
    <row r="11" spans="1:12" ht="12.75">
      <c r="A11" s="194">
        <f t="shared" si="0"/>
        <v>4</v>
      </c>
      <c r="B11" s="107"/>
      <c r="C11" s="108"/>
      <c r="D11" s="107"/>
      <c r="E11" s="107"/>
      <c r="F11" s="108" t="s">
        <v>8</v>
      </c>
      <c r="H11" s="239"/>
      <c r="L11" s="242"/>
    </row>
    <row r="12" spans="1:12" ht="12.75">
      <c r="A12" s="194">
        <f t="shared" si="0"/>
        <v>5</v>
      </c>
      <c r="B12" s="109" t="s">
        <v>9</v>
      </c>
      <c r="C12" s="109" t="s">
        <v>79</v>
      </c>
      <c r="D12" s="109" t="s">
        <v>10</v>
      </c>
      <c r="E12" s="109" t="s">
        <v>11</v>
      </c>
      <c r="F12" s="109" t="s">
        <v>12</v>
      </c>
      <c r="H12" s="239"/>
      <c r="L12" s="242"/>
    </row>
    <row r="13" spans="1:12" ht="12.75">
      <c r="A13" s="194">
        <f t="shared" si="0"/>
        <v>6</v>
      </c>
      <c r="B13" s="110"/>
      <c r="C13" s="110"/>
      <c r="D13" s="110"/>
      <c r="E13" s="110"/>
      <c r="F13" s="110"/>
      <c r="H13" s="239"/>
      <c r="L13" s="242"/>
    </row>
    <row r="14" spans="1:12" ht="12.75">
      <c r="A14" s="194">
        <f t="shared" si="0"/>
        <v>7</v>
      </c>
      <c r="B14" s="111" t="s">
        <v>13</v>
      </c>
      <c r="C14" s="167">
        <f>'Pg 2 CapStructure'!Q10</f>
        <v>53168409</v>
      </c>
      <c r="D14" s="182">
        <f>ROUND(C14/$C$20,4)</f>
        <v>0.0072</v>
      </c>
      <c r="E14" s="359">
        <f>'Pg 3 STD Cost Rate'!F22</f>
        <v>0.054604360644492284</v>
      </c>
      <c r="F14" s="182">
        <f>ROUND(D14*E14,5)</f>
        <v>0.00039</v>
      </c>
      <c r="L14" s="239"/>
    </row>
    <row r="15" spans="1:12" ht="12.75">
      <c r="A15" s="194">
        <f t="shared" si="0"/>
        <v>8</v>
      </c>
      <c r="B15" s="110"/>
      <c r="C15" s="169"/>
      <c r="D15" s="182"/>
      <c r="E15" s="168"/>
      <c r="F15" s="182"/>
      <c r="L15" s="239"/>
    </row>
    <row r="16" spans="1:12" ht="12.75">
      <c r="A16" s="194">
        <f t="shared" si="0"/>
        <v>9</v>
      </c>
      <c r="B16" s="111" t="s">
        <v>14</v>
      </c>
      <c r="C16" s="169">
        <f>'Pg 2 CapStructure'!Q16</f>
        <v>3760846609</v>
      </c>
      <c r="D16" s="385">
        <f>ROUND(C16/$C$20,4)+0.0001</f>
        <v>0.511</v>
      </c>
      <c r="E16" s="170">
        <f>'Pg 6 LTD Cost '!H29</f>
        <v>0.0616</v>
      </c>
      <c r="F16" s="182">
        <f>ROUND(D16*E16,5)</f>
        <v>0.03148</v>
      </c>
      <c r="L16" s="239"/>
    </row>
    <row r="17" spans="1:12" ht="12.75">
      <c r="A17" s="194">
        <f t="shared" si="0"/>
        <v>10</v>
      </c>
      <c r="B17" s="112"/>
      <c r="C17" s="171"/>
      <c r="D17" s="182"/>
      <c r="E17" s="172"/>
      <c r="F17" s="367"/>
      <c r="H17" s="251"/>
      <c r="I17" s="196"/>
      <c r="J17" s="196"/>
      <c r="K17" s="196"/>
      <c r="L17" s="252"/>
    </row>
    <row r="18" spans="1:12" ht="12.75">
      <c r="A18" s="194">
        <f t="shared" si="0"/>
        <v>11</v>
      </c>
      <c r="B18" s="111" t="s">
        <v>15</v>
      </c>
      <c r="C18" s="173">
        <f>'Pg 2 CapStructure'!Q20</f>
        <v>3546722659</v>
      </c>
      <c r="D18" s="345">
        <f>ROUND(C18/$C$20,4)</f>
        <v>0.4818</v>
      </c>
      <c r="E18" s="580">
        <v>0.098</v>
      </c>
      <c r="F18" s="368">
        <f>ROUND(D18*E18,5)</f>
        <v>0.04722</v>
      </c>
      <c r="H18" s="253"/>
      <c r="I18" s="253"/>
      <c r="J18" s="254"/>
      <c r="K18" s="255"/>
      <c r="L18" s="170"/>
    </row>
    <row r="19" spans="1:12" ht="12.75">
      <c r="A19" s="194">
        <f t="shared" si="0"/>
        <v>12</v>
      </c>
      <c r="B19" s="112"/>
      <c r="C19" s="170"/>
      <c r="D19" s="174"/>
      <c r="E19" s="175"/>
      <c r="F19" s="170"/>
      <c r="H19" s="253"/>
      <c r="I19" s="253"/>
      <c r="J19" s="254"/>
      <c r="K19" s="255"/>
      <c r="L19" s="170"/>
    </row>
    <row r="20" spans="1:12" ht="12.75">
      <c r="A20" s="194">
        <f t="shared" si="0"/>
        <v>13</v>
      </c>
      <c r="B20" s="111" t="s">
        <v>16</v>
      </c>
      <c r="C20" s="176">
        <f>ROUND(SUM(C14:C18),2)</f>
        <v>7360737677</v>
      </c>
      <c r="D20" s="245">
        <f>SUM(D14:D18)</f>
        <v>1</v>
      </c>
      <c r="E20" s="177"/>
      <c r="F20" s="228">
        <f>ROUND(SUM(F14:F18),5)</f>
        <v>0.07909</v>
      </c>
      <c r="H20" s="113"/>
      <c r="I20" s="113"/>
      <c r="J20" s="254"/>
      <c r="K20" s="170"/>
      <c r="L20" s="256"/>
    </row>
    <row r="21" spans="1:10" ht="12.75">
      <c r="A21" s="194">
        <f t="shared" si="0"/>
        <v>14</v>
      </c>
      <c r="B21" s="105"/>
      <c r="C21" s="113"/>
      <c r="D21" s="113"/>
      <c r="E21" s="113"/>
      <c r="F21" s="113"/>
      <c r="H21" s="105"/>
      <c r="I21" s="105"/>
      <c r="J21" s="105"/>
    </row>
    <row r="22" spans="1:6" ht="12.75">
      <c r="A22" s="194">
        <f t="shared" si="0"/>
        <v>15</v>
      </c>
      <c r="B22" s="105"/>
      <c r="C22" s="105"/>
      <c r="D22" s="105"/>
      <c r="E22" s="141"/>
      <c r="F22" s="105"/>
    </row>
    <row r="23" spans="1:7" ht="12.75">
      <c r="A23" s="194">
        <f t="shared" si="0"/>
        <v>16</v>
      </c>
      <c r="B23" s="384" t="s">
        <v>178</v>
      </c>
      <c r="C23" s="105"/>
      <c r="D23" s="105"/>
      <c r="E23" s="105"/>
      <c r="F23" s="105"/>
      <c r="G23" s="243"/>
    </row>
    <row r="24" spans="1:6" ht="12.75">
      <c r="A24" s="15"/>
      <c r="B24" s="105"/>
      <c r="C24" s="105"/>
      <c r="D24" s="105"/>
      <c r="E24" s="105"/>
      <c r="F24" s="105"/>
    </row>
    <row r="25" spans="1:6" ht="12.75">
      <c r="A25" s="15"/>
      <c r="B25" s="105"/>
      <c r="C25" s="169"/>
      <c r="D25" s="105"/>
      <c r="E25" s="105"/>
      <c r="F25" s="105"/>
    </row>
    <row r="26" spans="1:6" ht="12.75">
      <c r="A26" s="15"/>
      <c r="B26" s="105"/>
      <c r="C26" s="169"/>
      <c r="D26" s="105"/>
      <c r="E26" s="105"/>
      <c r="F26" s="105"/>
    </row>
    <row r="27" spans="1:6" ht="12.75">
      <c r="A27" s="15"/>
      <c r="B27" s="105"/>
      <c r="C27" s="169"/>
      <c r="D27" s="105"/>
      <c r="E27" s="105"/>
      <c r="F27" s="105"/>
    </row>
    <row r="28" spans="1:6" ht="12.75">
      <c r="A28" s="15"/>
      <c r="B28" s="105"/>
      <c r="D28" s="105"/>
      <c r="E28" s="105"/>
      <c r="F28" s="105"/>
    </row>
    <row r="29" spans="1:6" ht="12.75">
      <c r="A29" s="15"/>
      <c r="B29" s="105"/>
      <c r="C29" s="195"/>
      <c r="D29" s="105"/>
      <c r="E29" s="105"/>
      <c r="F29" s="105"/>
    </row>
    <row r="30" spans="1:6" ht="12.75">
      <c r="A30" s="15"/>
      <c r="B30" s="105"/>
      <c r="C30" s="105"/>
      <c r="D30" s="105"/>
      <c r="E30" s="105"/>
      <c r="F30" s="105"/>
    </row>
    <row r="31" spans="1:6" ht="12.75">
      <c r="A31" s="15"/>
      <c r="B31" s="105"/>
      <c r="C31" s="105"/>
      <c r="D31" s="105"/>
      <c r="E31" s="105"/>
      <c r="F31" s="105"/>
    </row>
    <row r="32" spans="2:6" ht="12.75">
      <c r="B32" s="105"/>
      <c r="C32" s="105"/>
      <c r="D32" s="105"/>
      <c r="E32" s="105"/>
      <c r="F32" s="105"/>
    </row>
    <row r="33" spans="2:6" ht="12.75">
      <c r="B33" s="105"/>
      <c r="C33" s="105"/>
      <c r="D33" s="105"/>
      <c r="E33" s="105"/>
      <c r="F33" s="105"/>
    </row>
    <row r="36" spans="3:4" ht="12.75">
      <c r="C36" s="20"/>
      <c r="D36" s="21"/>
    </row>
    <row r="37" ht="12.75">
      <c r="D37" s="21"/>
    </row>
    <row r="38" spans="3:4" ht="12.75">
      <c r="C38" s="20"/>
      <c r="D38" s="21"/>
    </row>
    <row r="39" spans="3:4" ht="12.75">
      <c r="C39" s="20"/>
      <c r="D39" s="21"/>
    </row>
    <row r="40" spans="3:4" ht="12.75">
      <c r="C40" s="20"/>
      <c r="D40" s="21"/>
    </row>
    <row r="41" spans="3:4" ht="12.75">
      <c r="C41" s="20"/>
      <c r="D41" s="21"/>
    </row>
    <row r="42" ht="12.75">
      <c r="D42" s="21"/>
    </row>
    <row r="43" spans="3:4" ht="12.75">
      <c r="C43" s="20"/>
      <c r="D43" s="21"/>
    </row>
    <row r="44" ht="12.75">
      <c r="D44" s="22"/>
    </row>
  </sheetData>
  <sheetProtection/>
  <printOptions horizontalCentered="1"/>
  <pageMargins left="0.6" right="0.75" top="0.75" bottom="0.62" header="0.5" footer="0.28"/>
  <pageSetup horizontalDpi="600" verticalDpi="600" orientation="landscape" scale="110" r:id="rId1"/>
  <headerFooter alignWithMargins="0">
    <oddFooter>&amp;C&amp;A&amp;R                  &amp;F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B675"/>
  <sheetViews>
    <sheetView tabSelected="1" zoomScale="120" zoomScaleNormal="120" zoomScalePageLayoutView="0" workbookViewId="0" topLeftCell="A1">
      <pane xSplit="2" ySplit="6" topLeftCell="C7" activePane="bottomRight" state="frozen"/>
      <selection pane="topLeft" activeCell="D16" sqref="D16"/>
      <selection pane="topRight" activeCell="D16" sqref="D16"/>
      <selection pane="bottomLeft" activeCell="D16" sqref="D16"/>
      <selection pane="bottomRight" activeCell="D16" sqref="D16"/>
    </sheetView>
  </sheetViews>
  <sheetFormatPr defaultColWidth="15.83203125" defaultRowHeight="11.25"/>
  <cols>
    <col min="1" max="1" width="3.33203125" style="1" customWidth="1"/>
    <col min="2" max="2" width="32.33203125" style="1" customWidth="1"/>
    <col min="3" max="16" width="10.16015625" style="2" customWidth="1"/>
    <col min="17" max="17" width="10.83203125" style="1" customWidth="1"/>
    <col min="18" max="18" width="10.33203125" style="1" customWidth="1"/>
    <col min="19" max="19" width="13" style="1" customWidth="1"/>
    <col min="20" max="21" width="10.33203125" style="1" customWidth="1"/>
    <col min="22" max="22" width="16.33203125" style="1" bestFit="1" customWidth="1"/>
    <col min="23" max="32" width="8.83203125" style="1" customWidth="1"/>
    <col min="33" max="33" width="10.16015625" style="1" customWidth="1"/>
    <col min="34" max="16384" width="15.83203125" style="1" customWidth="1"/>
  </cols>
  <sheetData>
    <row r="1" spans="2:17" ht="12.75">
      <c r="B1" s="145" t="s">
        <v>0</v>
      </c>
      <c r="C1" s="146"/>
      <c r="D1" s="146"/>
      <c r="E1" s="146"/>
      <c r="F1" s="146"/>
      <c r="G1" s="146"/>
      <c r="H1" s="146"/>
      <c r="I1" s="146"/>
      <c r="J1" s="146"/>
      <c r="K1" s="146"/>
      <c r="L1" s="146"/>
      <c r="M1" s="146"/>
      <c r="N1" s="146"/>
      <c r="O1" s="146"/>
      <c r="P1" s="146"/>
      <c r="Q1" s="147"/>
    </row>
    <row r="2" spans="2:17" ht="12.75">
      <c r="B2" s="145" t="s">
        <v>35</v>
      </c>
      <c r="C2" s="146"/>
      <c r="D2" s="146"/>
      <c r="E2" s="146"/>
      <c r="F2" s="146"/>
      <c r="G2" s="146"/>
      <c r="H2" s="146"/>
      <c r="I2" s="146"/>
      <c r="J2" s="146"/>
      <c r="K2" s="146"/>
      <c r="L2" s="146"/>
      <c r="M2" s="146"/>
      <c r="N2" s="146"/>
      <c r="O2" s="146"/>
      <c r="P2" s="146"/>
      <c r="Q2" s="147"/>
    </row>
    <row r="3" spans="2:17" ht="12.75" customHeight="1">
      <c r="B3" s="595" t="s">
        <v>300</v>
      </c>
      <c r="C3" s="595"/>
      <c r="D3" s="595"/>
      <c r="E3" s="595"/>
      <c r="F3" s="595"/>
      <c r="G3" s="595"/>
      <c r="H3" s="595"/>
      <c r="I3" s="595"/>
      <c r="J3" s="595"/>
      <c r="K3" s="595"/>
      <c r="L3" s="595"/>
      <c r="M3" s="595"/>
      <c r="N3" s="595"/>
      <c r="O3" s="595"/>
      <c r="P3" s="595"/>
      <c r="Q3" s="595"/>
    </row>
    <row r="4" spans="2:17" ht="12.75">
      <c r="B4" s="594" t="s">
        <v>59</v>
      </c>
      <c r="C4" s="594"/>
      <c r="D4" s="594"/>
      <c r="E4" s="594"/>
      <c r="F4" s="594"/>
      <c r="G4" s="594"/>
      <c r="H4" s="594"/>
      <c r="I4" s="594"/>
      <c r="J4" s="594"/>
      <c r="K4" s="594"/>
      <c r="L4" s="594"/>
      <c r="M4" s="594"/>
      <c r="N4" s="594"/>
      <c r="O4" s="594"/>
      <c r="P4" s="594"/>
      <c r="Q4" s="594"/>
    </row>
    <row r="5" spans="1:17" ht="12.75">
      <c r="A5" s="131">
        <v>1</v>
      </c>
      <c r="B5" s="129" t="s">
        <v>5</v>
      </c>
      <c r="C5" s="317" t="s">
        <v>27</v>
      </c>
      <c r="D5" s="317" t="s">
        <v>52</v>
      </c>
      <c r="E5" s="317" t="s">
        <v>64</v>
      </c>
      <c r="F5" s="317" t="s">
        <v>65</v>
      </c>
      <c r="G5" s="317" t="s">
        <v>66</v>
      </c>
      <c r="H5" s="317" t="s">
        <v>67</v>
      </c>
      <c r="I5" s="317" t="s">
        <v>68</v>
      </c>
      <c r="J5" s="129" t="s">
        <v>69</v>
      </c>
      <c r="K5" s="129" t="s">
        <v>71</v>
      </c>
      <c r="L5" s="129" t="s">
        <v>72</v>
      </c>
      <c r="M5" s="129" t="s">
        <v>73</v>
      </c>
      <c r="N5" s="129" t="s">
        <v>74</v>
      </c>
      <c r="O5" s="129" t="s">
        <v>75</v>
      </c>
      <c r="P5" s="129"/>
      <c r="Q5" s="129" t="s">
        <v>76</v>
      </c>
    </row>
    <row r="6" spans="1:53" ht="34.5" customHeight="1">
      <c r="A6" s="131">
        <f>+A5+1</f>
        <v>2</v>
      </c>
      <c r="B6" s="103" t="s">
        <v>1</v>
      </c>
      <c r="C6" s="199">
        <v>41639</v>
      </c>
      <c r="D6" s="199">
        <v>41670</v>
      </c>
      <c r="E6" s="199">
        <v>41698</v>
      </c>
      <c r="F6" s="199">
        <v>41729</v>
      </c>
      <c r="G6" s="199">
        <v>41759</v>
      </c>
      <c r="H6" s="199">
        <v>41790</v>
      </c>
      <c r="I6" s="199">
        <v>41820</v>
      </c>
      <c r="J6" s="199">
        <v>41851</v>
      </c>
      <c r="K6" s="199">
        <v>41882</v>
      </c>
      <c r="L6" s="199">
        <v>41912</v>
      </c>
      <c r="M6" s="199">
        <v>41943</v>
      </c>
      <c r="N6" s="199">
        <v>41973</v>
      </c>
      <c r="O6" s="199">
        <v>41974</v>
      </c>
      <c r="P6" s="199"/>
      <c r="Q6" s="124" t="s">
        <v>113</v>
      </c>
      <c r="R6" s="102"/>
      <c r="S6" s="90"/>
      <c r="T6" s="101"/>
      <c r="U6" s="101"/>
      <c r="V6" s="101"/>
      <c r="W6" s="101"/>
      <c r="X6" s="101"/>
      <c r="Y6" s="101"/>
      <c r="Z6" s="101"/>
      <c r="AA6" s="101"/>
      <c r="AB6" s="101"/>
      <c r="AC6" s="101"/>
      <c r="AD6" s="101"/>
      <c r="AE6" s="101"/>
      <c r="AF6" s="90"/>
      <c r="AG6" s="90"/>
      <c r="AH6" s="90"/>
      <c r="AI6" s="90"/>
      <c r="AJ6" s="90"/>
      <c r="AK6" s="90"/>
      <c r="AL6" s="90"/>
      <c r="AM6" s="90"/>
      <c r="AN6" s="90"/>
      <c r="AO6" s="90"/>
      <c r="AP6" s="90"/>
      <c r="AQ6" s="90"/>
      <c r="AR6" s="90"/>
      <c r="AS6" s="90"/>
      <c r="AT6" s="90"/>
      <c r="AU6" s="90"/>
      <c r="AV6" s="90"/>
      <c r="AW6" s="90"/>
      <c r="AX6" s="90"/>
      <c r="AY6" s="90"/>
      <c r="AZ6" s="90"/>
      <c r="BA6" s="90"/>
    </row>
    <row r="7" spans="1:53" ht="12.75">
      <c r="A7" s="131">
        <f>+A6+1</f>
        <v>3</v>
      </c>
      <c r="B7" s="143" t="s">
        <v>36</v>
      </c>
      <c r="C7" s="386">
        <v>162000000</v>
      </c>
      <c r="D7" s="386">
        <v>83000000</v>
      </c>
      <c r="E7" s="386"/>
      <c r="F7" s="386">
        <v>0</v>
      </c>
      <c r="G7" s="386">
        <v>0</v>
      </c>
      <c r="H7" s="386">
        <v>0</v>
      </c>
      <c r="I7" s="386">
        <v>0</v>
      </c>
      <c r="J7" s="386">
        <v>0</v>
      </c>
      <c r="K7" s="386">
        <v>0</v>
      </c>
      <c r="L7" s="386">
        <v>0</v>
      </c>
      <c r="M7" s="386">
        <f>12000000+10000000</f>
        <v>22000000</v>
      </c>
      <c r="N7" s="386">
        <f>20000000+15000000</f>
        <v>35000000</v>
      </c>
      <c r="O7" s="386">
        <v>85000000</v>
      </c>
      <c r="P7" s="386"/>
      <c r="Q7" s="164">
        <f>ROUND(((C7+O7)+(SUM(D7:N7)*2))/24,0)</f>
        <v>21958333</v>
      </c>
      <c r="R7" s="102"/>
      <c r="S7" s="576"/>
      <c r="T7" s="576"/>
      <c r="U7" s="101"/>
      <c r="V7" s="101"/>
      <c r="W7" s="101"/>
      <c r="X7" s="101"/>
      <c r="Y7" s="101"/>
      <c r="Z7" s="101"/>
      <c r="AA7" s="101"/>
      <c r="AB7" s="101"/>
      <c r="AC7" s="101"/>
      <c r="AD7" s="101"/>
      <c r="AE7" s="101"/>
      <c r="AF7" s="90"/>
      <c r="AG7" s="90"/>
      <c r="AH7" s="90"/>
      <c r="AI7" s="90"/>
      <c r="AJ7" s="90"/>
      <c r="AK7" s="90"/>
      <c r="AL7" s="90"/>
      <c r="AM7" s="90"/>
      <c r="AN7" s="90"/>
      <c r="AO7" s="90"/>
      <c r="AP7" s="90"/>
      <c r="AQ7" s="90"/>
      <c r="AR7" s="90"/>
      <c r="AS7" s="90"/>
      <c r="AT7" s="90"/>
      <c r="AU7" s="90"/>
      <c r="AV7" s="90"/>
      <c r="AW7" s="90"/>
      <c r="AX7" s="90"/>
      <c r="AY7" s="90"/>
      <c r="AZ7" s="90"/>
      <c r="BA7" s="90"/>
    </row>
    <row r="8" spans="1:53" ht="12.75">
      <c r="A8" s="131">
        <f>+A7+1</f>
        <v>4</v>
      </c>
      <c r="B8" s="143" t="s">
        <v>173</v>
      </c>
      <c r="C8" s="386">
        <v>29597785</v>
      </c>
      <c r="D8" s="386">
        <v>29597785</v>
      </c>
      <c r="E8" s="386">
        <v>29597785</v>
      </c>
      <c r="F8" s="386">
        <v>29597785</v>
      </c>
      <c r="G8" s="386">
        <v>28932785</v>
      </c>
      <c r="H8" s="386">
        <v>28932785</v>
      </c>
      <c r="I8" s="386">
        <v>28932785</v>
      </c>
      <c r="J8" s="386">
        <v>28932785</v>
      </c>
      <c r="K8" s="386">
        <v>28932785</v>
      </c>
      <c r="L8" s="386">
        <v>28932785</v>
      </c>
      <c r="M8" s="386">
        <v>28932785</v>
      </c>
      <c r="N8" s="386">
        <v>28932785</v>
      </c>
      <c r="O8" s="386">
        <v>28932785</v>
      </c>
      <c r="P8" s="386"/>
      <c r="Q8" s="164">
        <f>ROUND(((C8+O8)+(SUM(D8:N8)*2))/24,0)</f>
        <v>29126743</v>
      </c>
      <c r="R8" s="575"/>
      <c r="S8" s="576"/>
      <c r="T8" s="576"/>
      <c r="U8" s="101"/>
      <c r="V8" s="101"/>
      <c r="W8" s="101"/>
      <c r="X8" s="101"/>
      <c r="Y8" s="101"/>
      <c r="Z8" s="101"/>
      <c r="AA8" s="101"/>
      <c r="AB8" s="101"/>
      <c r="AC8" s="101"/>
      <c r="AD8" s="101"/>
      <c r="AE8" s="101"/>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1">
        <f>+A8+1</f>
        <v>5</v>
      </c>
      <c r="B9" s="143" t="s">
        <v>158</v>
      </c>
      <c r="C9" s="386"/>
      <c r="D9" s="386">
        <v>0</v>
      </c>
      <c r="E9" s="386">
        <v>0</v>
      </c>
      <c r="F9" s="386">
        <v>0</v>
      </c>
      <c r="G9" s="386"/>
      <c r="H9" s="386"/>
      <c r="I9" s="386"/>
      <c r="J9" s="386"/>
      <c r="K9" s="386"/>
      <c r="L9" s="386">
        <v>25000000</v>
      </c>
      <c r="M9" s="386"/>
      <c r="N9" s="386"/>
      <c r="O9" s="386"/>
      <c r="P9" s="386"/>
      <c r="Q9" s="164">
        <f>ROUND(((C9+O9)+(SUM(D9:N9)*2))/24,0)</f>
        <v>2083333</v>
      </c>
      <c r="R9" s="102"/>
      <c r="T9" s="576"/>
      <c r="U9" s="101"/>
      <c r="V9" s="101"/>
      <c r="W9" s="101"/>
      <c r="X9" s="101"/>
      <c r="Y9" s="101"/>
      <c r="Z9" s="101"/>
      <c r="AA9" s="101"/>
      <c r="AB9" s="101"/>
      <c r="AC9" s="101"/>
      <c r="AD9" s="101"/>
      <c r="AE9" s="101"/>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1">
        <f>+A9+1</f>
        <v>6</v>
      </c>
      <c r="B10" s="144" t="s">
        <v>30</v>
      </c>
      <c r="C10" s="373">
        <f aca="true" t="shared" si="0" ref="C10:J10">SUM(C7:C9)</f>
        <v>191597785</v>
      </c>
      <c r="D10" s="373">
        <f t="shared" si="0"/>
        <v>112597785</v>
      </c>
      <c r="E10" s="373">
        <f t="shared" si="0"/>
        <v>29597785</v>
      </c>
      <c r="F10" s="373">
        <f t="shared" si="0"/>
        <v>29597785</v>
      </c>
      <c r="G10" s="373">
        <f t="shared" si="0"/>
        <v>28932785</v>
      </c>
      <c r="H10" s="373">
        <f t="shared" si="0"/>
        <v>28932785</v>
      </c>
      <c r="I10" s="373">
        <f t="shared" si="0"/>
        <v>28932785</v>
      </c>
      <c r="J10" s="373">
        <f t="shared" si="0"/>
        <v>28932785</v>
      </c>
      <c r="K10" s="373">
        <f>SUM(K7:K9)</f>
        <v>28932785</v>
      </c>
      <c r="L10" s="373">
        <f>SUM(L7:L9)</f>
        <v>53932785</v>
      </c>
      <c r="M10" s="373">
        <f>SUM(M7:M9)</f>
        <v>50932785</v>
      </c>
      <c r="N10" s="373">
        <f>SUM(N7:N9)</f>
        <v>63932785</v>
      </c>
      <c r="O10" s="373">
        <f>SUM(O7:O9)</f>
        <v>113932785</v>
      </c>
      <c r="P10" s="201"/>
      <c r="Q10" s="219">
        <f>SUM(Q7:Q9)</f>
        <v>53168409</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75" customHeight="1" thickBot="1">
      <c r="A11" s="131"/>
      <c r="B11" s="142"/>
      <c r="C11" s="372"/>
      <c r="D11" s="372"/>
      <c r="E11" s="372"/>
      <c r="F11" s="372"/>
      <c r="G11" s="372"/>
      <c r="H11" s="372"/>
      <c r="I11" s="372"/>
      <c r="J11" s="372"/>
      <c r="K11" s="372"/>
      <c r="L11" s="372"/>
      <c r="M11" s="372"/>
      <c r="N11" s="372"/>
      <c r="O11" s="372"/>
      <c r="P11" s="372"/>
      <c r="Q11" s="164"/>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1">
        <f>+A10+1</f>
        <v>7</v>
      </c>
      <c r="B12" s="144" t="s">
        <v>128</v>
      </c>
      <c r="C12" s="387">
        <f>3510860000-13642</f>
        <v>3510846358</v>
      </c>
      <c r="D12" s="387">
        <f>3510860000-13600</f>
        <v>3510846400</v>
      </c>
      <c r="E12" s="387">
        <f>3510860000-13558</f>
        <v>3510846442</v>
      </c>
      <c r="F12" s="387">
        <f>3510860000-13516</f>
        <v>3510846484</v>
      </c>
      <c r="G12" s="387">
        <f>3510860000-13474</f>
        <v>3510846526</v>
      </c>
      <c r="H12" s="387">
        <f>3510860000-13432</f>
        <v>3510846568</v>
      </c>
      <c r="I12" s="387">
        <f>3510860000-13391</f>
        <v>3510846609</v>
      </c>
      <c r="J12" s="387">
        <f>3510860000-13349</f>
        <v>3510846651</v>
      </c>
      <c r="K12" s="387">
        <f>3510860000-13307</f>
        <v>3510846693</v>
      </c>
      <c r="L12" s="387">
        <f>3510860000-13265</f>
        <v>3510846735</v>
      </c>
      <c r="M12" s="387">
        <f>3510860000-13223</f>
        <v>3510846777</v>
      </c>
      <c r="N12" s="387">
        <f>3510860000-13181</f>
        <v>3510846819</v>
      </c>
      <c r="O12" s="387">
        <f>3510860000-13140</f>
        <v>3510846860</v>
      </c>
      <c r="P12" s="387"/>
      <c r="Q12" s="219">
        <f>ROUND(((C12+O12)+(SUM(D12:N12)*2))/24,0)</f>
        <v>3510846609</v>
      </c>
      <c r="R12" s="97"/>
      <c r="S12" s="576"/>
      <c r="T12" s="576"/>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1"/>
      <c r="B13" s="144"/>
      <c r="C13" s="388"/>
      <c r="D13" s="388"/>
      <c r="E13" s="388"/>
      <c r="F13" s="388"/>
      <c r="G13" s="388"/>
      <c r="H13" s="388"/>
      <c r="I13" s="388"/>
      <c r="J13" s="388"/>
      <c r="K13" s="388"/>
      <c r="L13" s="388"/>
      <c r="M13" s="388"/>
      <c r="N13" s="388"/>
      <c r="O13" s="388"/>
      <c r="P13" s="388"/>
      <c r="Q13" s="165"/>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1">
        <f>+A12+1</f>
        <v>8</v>
      </c>
      <c r="B14" s="144" t="s">
        <v>122</v>
      </c>
      <c r="C14" s="388">
        <v>250000000</v>
      </c>
      <c r="D14" s="388">
        <v>250000000</v>
      </c>
      <c r="E14" s="388">
        <v>250000000</v>
      </c>
      <c r="F14" s="388">
        <v>250000000</v>
      </c>
      <c r="G14" s="388">
        <v>250000000</v>
      </c>
      <c r="H14" s="388">
        <v>250000000</v>
      </c>
      <c r="I14" s="388">
        <v>250000000</v>
      </c>
      <c r="J14" s="388">
        <v>250000000</v>
      </c>
      <c r="K14" s="388">
        <v>250000000</v>
      </c>
      <c r="L14" s="388">
        <v>250000000</v>
      </c>
      <c r="M14" s="388">
        <v>250000000</v>
      </c>
      <c r="N14" s="388">
        <v>250000000</v>
      </c>
      <c r="O14" s="388">
        <v>250000000</v>
      </c>
      <c r="P14" s="388"/>
      <c r="Q14" s="247">
        <f>ROUND(((C14+O14)+(SUM(D14:N14)*2))/24,0)</f>
        <v>250000000</v>
      </c>
      <c r="R14" s="97"/>
      <c r="S14" s="576"/>
      <c r="T14" s="576"/>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1"/>
      <c r="B15" s="144"/>
      <c r="C15" s="97"/>
      <c r="D15" s="97"/>
      <c r="E15" s="97"/>
      <c r="F15" s="97"/>
      <c r="G15" s="97"/>
      <c r="H15" s="97"/>
      <c r="I15" s="97"/>
      <c r="J15" s="97"/>
      <c r="K15" s="97"/>
      <c r="L15" s="97"/>
      <c r="M15" s="97"/>
      <c r="N15" s="97"/>
      <c r="O15" s="97"/>
      <c r="P15" s="97"/>
      <c r="Q15" s="165"/>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1">
        <f>+A14+1</f>
        <v>9</v>
      </c>
      <c r="B16" s="144" t="s">
        <v>14</v>
      </c>
      <c r="C16" s="309">
        <f aca="true" t="shared" si="1" ref="C16:J16">SUM(C12:C14)</f>
        <v>3760846358</v>
      </c>
      <c r="D16" s="309">
        <f t="shared" si="1"/>
        <v>3760846400</v>
      </c>
      <c r="E16" s="309">
        <f t="shared" si="1"/>
        <v>3760846442</v>
      </c>
      <c r="F16" s="309">
        <f t="shared" si="1"/>
        <v>3760846484</v>
      </c>
      <c r="G16" s="309">
        <f t="shared" si="1"/>
        <v>3760846526</v>
      </c>
      <c r="H16" s="309">
        <f t="shared" si="1"/>
        <v>3760846568</v>
      </c>
      <c r="I16" s="309">
        <f t="shared" si="1"/>
        <v>3760846609</v>
      </c>
      <c r="J16" s="309">
        <f t="shared" si="1"/>
        <v>3760846651</v>
      </c>
      <c r="K16" s="309">
        <f>SUM(K12:K14)</f>
        <v>3760846693</v>
      </c>
      <c r="L16" s="309">
        <f>SUM(L12:L14)</f>
        <v>3760846735</v>
      </c>
      <c r="M16" s="309">
        <f>SUM(M12:M14)</f>
        <v>3760846777</v>
      </c>
      <c r="N16" s="309">
        <f>SUM(N12:N14)</f>
        <v>3760846819</v>
      </c>
      <c r="O16" s="309">
        <f>SUM(O12:O14)</f>
        <v>3760846860</v>
      </c>
      <c r="P16" s="99"/>
      <c r="Q16" s="219">
        <f>SUM(Q12:Q14)</f>
        <v>3760846609</v>
      </c>
      <c r="R16" s="97"/>
      <c r="S16" s="270"/>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1"/>
      <c r="B17" s="144"/>
      <c r="C17" s="97"/>
      <c r="D17" s="97"/>
      <c r="E17" s="97"/>
      <c r="F17" s="97"/>
      <c r="G17" s="97"/>
      <c r="H17" s="97"/>
      <c r="I17" s="97"/>
      <c r="J17" s="97"/>
      <c r="K17" s="97"/>
      <c r="L17" s="97"/>
      <c r="M17" s="97"/>
      <c r="N17" s="97"/>
      <c r="O17" s="97"/>
      <c r="P17" s="97"/>
      <c r="Q17" s="165"/>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1">
        <f>+A16+1</f>
        <v>10</v>
      </c>
      <c r="B18" s="144" t="s">
        <v>82</v>
      </c>
      <c r="C18" s="308">
        <v>0</v>
      </c>
      <c r="D18" s="308">
        <v>0</v>
      </c>
      <c r="E18" s="308">
        <v>0</v>
      </c>
      <c r="F18" s="308">
        <v>0</v>
      </c>
      <c r="G18" s="308">
        <v>0</v>
      </c>
      <c r="H18" s="308">
        <v>0</v>
      </c>
      <c r="I18" s="308">
        <v>0</v>
      </c>
      <c r="J18" s="308">
        <v>0</v>
      </c>
      <c r="K18" s="308">
        <v>0</v>
      </c>
      <c r="L18" s="308">
        <v>0</v>
      </c>
      <c r="M18" s="308">
        <v>0</v>
      </c>
      <c r="N18" s="308"/>
      <c r="O18" s="308"/>
      <c r="P18" s="308"/>
      <c r="Q18" s="218"/>
      <c r="R18" s="97"/>
      <c r="S18" s="181"/>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75" customHeight="1" thickBot="1">
      <c r="A19" s="131"/>
      <c r="B19" s="144"/>
      <c r="C19" s="97"/>
      <c r="D19" s="97"/>
      <c r="E19" s="97"/>
      <c r="F19" s="97"/>
      <c r="G19" s="97"/>
      <c r="H19" s="97"/>
      <c r="I19" s="97"/>
      <c r="J19" s="97"/>
      <c r="K19" s="97"/>
      <c r="L19" s="97"/>
      <c r="M19" s="97"/>
      <c r="N19" s="97"/>
      <c r="O19" s="97"/>
      <c r="P19" s="97"/>
      <c r="Q19" s="164"/>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1">
        <f>+A18+1</f>
        <v>11</v>
      </c>
      <c r="B20" s="144" t="s">
        <v>103</v>
      </c>
      <c r="C20" s="310">
        <f>C44</f>
        <v>3554741871</v>
      </c>
      <c r="D20" s="310">
        <f>D44</f>
        <v>3589632698</v>
      </c>
      <c r="E20" s="310">
        <f>E44</f>
        <v>3623640242</v>
      </c>
      <c r="F20" s="310">
        <f>F44</f>
        <v>3597170491</v>
      </c>
      <c r="G20" s="310">
        <f>G44</f>
        <v>3620219314</v>
      </c>
      <c r="H20" s="310">
        <f aca="true" t="shared" si="2" ref="H20:O20">H44</f>
        <v>3506817115</v>
      </c>
      <c r="I20" s="310">
        <f t="shared" si="2"/>
        <v>3514672305</v>
      </c>
      <c r="J20" s="310">
        <f t="shared" si="2"/>
        <v>3524252529</v>
      </c>
      <c r="K20" s="310">
        <f t="shared" si="2"/>
        <v>3528071780</v>
      </c>
      <c r="L20" s="310">
        <f t="shared" si="2"/>
        <v>3480852136</v>
      </c>
      <c r="M20" s="310">
        <f t="shared" si="2"/>
        <v>3497026587</v>
      </c>
      <c r="N20" s="310">
        <f t="shared" si="2"/>
        <v>3535847773</v>
      </c>
      <c r="O20" s="310">
        <f t="shared" si="2"/>
        <v>3530195993</v>
      </c>
      <c r="P20" s="100"/>
      <c r="Q20" s="218">
        <f>ROUND(((C20+O20)+(SUM(D20:N20)*2))/24,0)</f>
        <v>3546722659</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75" customHeight="1">
      <c r="A21" s="131"/>
      <c r="B21" s="144"/>
      <c r="C21" s="100"/>
      <c r="D21" s="100"/>
      <c r="E21" s="100"/>
      <c r="F21" s="100"/>
      <c r="G21" s="100"/>
      <c r="H21" s="100"/>
      <c r="I21" s="100"/>
      <c r="J21" s="100"/>
      <c r="K21" s="100"/>
      <c r="L21" s="100"/>
      <c r="M21" s="100"/>
      <c r="N21" s="100"/>
      <c r="O21" s="100"/>
      <c r="P21" s="100"/>
      <c r="Q21" s="166"/>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1">
        <f>+A20+1</f>
        <v>12</v>
      </c>
      <c r="B22" s="144" t="s">
        <v>86</v>
      </c>
      <c r="C22" s="311">
        <f>C10+C16+C18+C20</f>
        <v>7507186014</v>
      </c>
      <c r="D22" s="311">
        <f>D10+D16+D18+D20</f>
        <v>7463076883</v>
      </c>
      <c r="E22" s="311">
        <f>E10+E16+E18+E20</f>
        <v>7414084469</v>
      </c>
      <c r="F22" s="311">
        <f>F10+F16+F18+F20</f>
        <v>7387614760</v>
      </c>
      <c r="G22" s="311">
        <f>G10+G16+G18+G20</f>
        <v>7409998625</v>
      </c>
      <c r="H22" s="311">
        <f aca="true" t="shared" si="3" ref="H22:Q22">H10+H16+H18+H20</f>
        <v>7296596468</v>
      </c>
      <c r="I22" s="311">
        <f t="shared" si="3"/>
        <v>7304451699</v>
      </c>
      <c r="J22" s="311">
        <f t="shared" si="3"/>
        <v>7314031965</v>
      </c>
      <c r="K22" s="311">
        <f t="shared" si="3"/>
        <v>7317851258</v>
      </c>
      <c r="L22" s="311">
        <f t="shared" si="3"/>
        <v>7295631656</v>
      </c>
      <c r="M22" s="311">
        <f t="shared" si="3"/>
        <v>7308806149</v>
      </c>
      <c r="N22" s="311">
        <f t="shared" si="3"/>
        <v>7360627377</v>
      </c>
      <c r="O22" s="311">
        <f t="shared" si="3"/>
        <v>7404975638</v>
      </c>
      <c r="P22" s="311"/>
      <c r="Q22" s="248">
        <f t="shared" si="3"/>
        <v>7360737677</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1"/>
      <c r="B23" s="144"/>
      <c r="C23" s="99"/>
      <c r="D23" s="99"/>
      <c r="E23" s="201"/>
      <c r="F23" s="201"/>
      <c r="G23" s="201"/>
      <c r="H23" s="99"/>
      <c r="I23" s="99"/>
      <c r="J23" s="99"/>
      <c r="K23" s="99"/>
      <c r="L23" s="99"/>
      <c r="M23" s="99"/>
      <c r="N23" s="99"/>
      <c r="O23" s="99"/>
      <c r="P23" s="99"/>
      <c r="Q23" s="198"/>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ht="12.75">
      <c r="A24" s="131">
        <f>+A22+1</f>
        <v>13</v>
      </c>
      <c r="B24" s="130" t="s">
        <v>30</v>
      </c>
      <c r="C24" s="312">
        <f aca="true" t="shared" si="4" ref="C24:J24">C10/C$22</f>
        <v>0.02552191788543579</v>
      </c>
      <c r="D24" s="312">
        <f t="shared" si="4"/>
        <v>0.015087314088440431</v>
      </c>
      <c r="E24" s="312">
        <f t="shared" si="4"/>
        <v>0.003992102480590176</v>
      </c>
      <c r="F24" s="312">
        <f t="shared" si="4"/>
        <v>0.004006406121804868</v>
      </c>
      <c r="G24" s="312">
        <f t="shared" si="4"/>
        <v>0.0039045601037476577</v>
      </c>
      <c r="H24" s="312">
        <f t="shared" si="4"/>
        <v>0.003965243949954997</v>
      </c>
      <c r="I24" s="312">
        <f t="shared" si="4"/>
        <v>0.003960979713776598</v>
      </c>
      <c r="J24" s="312">
        <f t="shared" si="4"/>
        <v>0.00395579143466322</v>
      </c>
      <c r="K24" s="312">
        <f>K10/K$22</f>
        <v>0.003953726849581725</v>
      </c>
      <c r="L24" s="312">
        <f>L10/L$22</f>
        <v>0.007392476421920937</v>
      </c>
      <c r="M24" s="312">
        <f>M10/M$22</f>
        <v>0.006968687356274826</v>
      </c>
      <c r="N24" s="312">
        <f>N10/N$22</f>
        <v>0.008685779312748927</v>
      </c>
      <c r="O24" s="312">
        <f>O10/O$22</f>
        <v>0.015385977020009744</v>
      </c>
      <c r="P24" s="312"/>
      <c r="Q24" s="313">
        <f>Q10/Q$22</f>
        <v>0.007223244643826206</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ht="12.75">
      <c r="A25" s="131">
        <f>+A24+1</f>
        <v>14</v>
      </c>
      <c r="B25" s="130" t="s">
        <v>31</v>
      </c>
      <c r="C25" s="314">
        <f aca="true" t="shared" si="5" ref="C25:J25">C16/C$22</f>
        <v>0.5009661877281945</v>
      </c>
      <c r="D25" s="314">
        <f t="shared" si="5"/>
        <v>0.5039270610445887</v>
      </c>
      <c r="E25" s="314">
        <f t="shared" si="5"/>
        <v>0.5072570265047516</v>
      </c>
      <c r="F25" s="314">
        <f t="shared" si="5"/>
        <v>0.5090745262412681</v>
      </c>
      <c r="G25" s="314">
        <f t="shared" si="5"/>
        <v>0.5075367373634296</v>
      </c>
      <c r="H25" s="314">
        <f t="shared" si="5"/>
        <v>0.5154247716032526</v>
      </c>
      <c r="I25" s="314">
        <f t="shared" si="5"/>
        <v>0.5148704877485699</v>
      </c>
      <c r="J25" s="314">
        <f t="shared" si="5"/>
        <v>0.5141960917038458</v>
      </c>
      <c r="K25" s="314">
        <f>K16/K$22</f>
        <v>0.5139277310246745</v>
      </c>
      <c r="L25" s="314">
        <f>L16/L$22</f>
        <v>0.5154929569267717</v>
      </c>
      <c r="M25" s="314">
        <f>M16/M$22</f>
        <v>0.5145637605280534</v>
      </c>
      <c r="N25" s="314">
        <f>N16/N$22</f>
        <v>0.5109410687941689</v>
      </c>
      <c r="O25" s="314">
        <f>O16/O$22</f>
        <v>0.5078810577985591</v>
      </c>
      <c r="P25" s="314"/>
      <c r="Q25" s="315">
        <f>Q16/Q$22</f>
        <v>0.5109333838579071</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ht="12.75">
      <c r="A26" s="131">
        <f>+A25+1</f>
        <v>15</v>
      </c>
      <c r="B26" s="130" t="s">
        <v>109</v>
      </c>
      <c r="C26" s="312">
        <f aca="true" t="shared" si="6" ref="C26:J26">SUM(C24:C25)</f>
        <v>0.5264881056136302</v>
      </c>
      <c r="D26" s="312">
        <f t="shared" si="6"/>
        <v>0.5190143751330292</v>
      </c>
      <c r="E26" s="312">
        <f t="shared" si="6"/>
        <v>0.5112491289853418</v>
      </c>
      <c r="F26" s="312">
        <f t="shared" si="6"/>
        <v>0.5130809323630731</v>
      </c>
      <c r="G26" s="312">
        <f t="shared" si="6"/>
        <v>0.5114412974671773</v>
      </c>
      <c r="H26" s="312">
        <f t="shared" si="6"/>
        <v>0.5193900155532076</v>
      </c>
      <c r="I26" s="312">
        <f t="shared" si="6"/>
        <v>0.5188314674623465</v>
      </c>
      <c r="J26" s="312">
        <f t="shared" si="6"/>
        <v>0.518151883138509</v>
      </c>
      <c r="K26" s="312">
        <f>SUM(K24:K25)</f>
        <v>0.5178814578742562</v>
      </c>
      <c r="L26" s="312">
        <f>SUM(L24:L25)</f>
        <v>0.5228854333486926</v>
      </c>
      <c r="M26" s="312">
        <f>SUM(M24:M25)</f>
        <v>0.5215324478843283</v>
      </c>
      <c r="N26" s="312">
        <f>SUM(N24:N25)</f>
        <v>0.5196268481069178</v>
      </c>
      <c r="O26" s="312">
        <f>SUM(O24:O25)</f>
        <v>0.5232670348185688</v>
      </c>
      <c r="P26" s="312"/>
      <c r="Q26" s="313">
        <f>SUM(Q24:Q25)</f>
        <v>0.5181566285017333</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ht="12.75">
      <c r="A27" s="131">
        <f>+A26+1</f>
        <v>16</v>
      </c>
      <c r="B27" s="130" t="s">
        <v>110</v>
      </c>
      <c r="C27" s="312">
        <f>C18/C$22</f>
        <v>0</v>
      </c>
      <c r="D27" s="312">
        <f>D18/D$22</f>
        <v>0</v>
      </c>
      <c r="E27" s="312">
        <f>E18/E$22</f>
        <v>0</v>
      </c>
      <c r="F27" s="312">
        <f>F18/F$22</f>
        <v>0</v>
      </c>
      <c r="G27" s="312">
        <f>G18/G$22</f>
        <v>0</v>
      </c>
      <c r="H27" s="312">
        <f aca="true" t="shared" si="7" ref="H27:Q27">H18/H$22</f>
        <v>0</v>
      </c>
      <c r="I27" s="312">
        <f t="shared" si="7"/>
        <v>0</v>
      </c>
      <c r="J27" s="312">
        <f t="shared" si="7"/>
        <v>0</v>
      </c>
      <c r="K27" s="312">
        <f t="shared" si="7"/>
        <v>0</v>
      </c>
      <c r="L27" s="312">
        <f t="shared" si="7"/>
        <v>0</v>
      </c>
      <c r="M27" s="312">
        <f t="shared" si="7"/>
        <v>0</v>
      </c>
      <c r="N27" s="312">
        <f>N18/N$22</f>
        <v>0</v>
      </c>
      <c r="O27" s="312">
        <f>O18/O$22</f>
        <v>0</v>
      </c>
      <c r="P27" s="312"/>
      <c r="Q27" s="313">
        <f t="shared" si="7"/>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ht="12.75">
      <c r="A28" s="131">
        <f>+A27+1</f>
        <v>17</v>
      </c>
      <c r="B28" s="130" t="s">
        <v>111</v>
      </c>
      <c r="C28" s="347">
        <f>C20/C$22</f>
        <v>0.47351189438636976</v>
      </c>
      <c r="D28" s="347">
        <f>D20/D$22</f>
        <v>0.48098562486697083</v>
      </c>
      <c r="E28" s="347">
        <f>E20/E$22</f>
        <v>0.48875087101465825</v>
      </c>
      <c r="F28" s="347">
        <f>F20/F$22</f>
        <v>0.486919067636927</v>
      </c>
      <c r="G28" s="347">
        <f>G20/G$22</f>
        <v>0.4885587025328227</v>
      </c>
      <c r="H28" s="347">
        <f aca="true" t="shared" si="8" ref="H28:Q28">H20/H$22</f>
        <v>0.48060998444679237</v>
      </c>
      <c r="I28" s="347">
        <f t="shared" si="8"/>
        <v>0.4811685325376535</v>
      </c>
      <c r="J28" s="347">
        <f t="shared" si="8"/>
        <v>0.4818481168614909</v>
      </c>
      <c r="K28" s="347">
        <f t="shared" si="8"/>
        <v>0.4821185421257438</v>
      </c>
      <c r="L28" s="347">
        <f t="shared" si="8"/>
        <v>0.47711456665130736</v>
      </c>
      <c r="M28" s="347">
        <f t="shared" si="8"/>
        <v>0.4784675521156718</v>
      </c>
      <c r="N28" s="347">
        <f>N20/N$22</f>
        <v>0.48037315189308216</v>
      </c>
      <c r="O28" s="347">
        <f>O20/O$22</f>
        <v>0.47673296518143116</v>
      </c>
      <c r="P28" s="347"/>
      <c r="Q28" s="348">
        <f t="shared" si="8"/>
        <v>0.4818433714982667</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ht="12.75">
      <c r="A29" s="197"/>
      <c r="B29" s="130"/>
      <c r="C29" s="316"/>
      <c r="D29" s="318"/>
      <c r="E29" s="316"/>
      <c r="F29" s="316"/>
      <c r="G29" s="319"/>
      <c r="H29" s="316"/>
      <c r="I29" s="316"/>
      <c r="J29" s="319"/>
      <c r="K29" s="316"/>
      <c r="L29" s="316"/>
      <c r="M29" s="319"/>
      <c r="N29" s="319"/>
      <c r="O29" s="319"/>
      <c r="P29" s="319"/>
      <c r="Q29" s="320"/>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1">
        <f>+A28+1</f>
        <v>18</v>
      </c>
      <c r="B30" s="130" t="s">
        <v>112</v>
      </c>
      <c r="C30" s="321">
        <f>SUM(C26:C28)</f>
        <v>1</v>
      </c>
      <c r="D30" s="322">
        <f>SUM(D26:D28)</f>
        <v>1</v>
      </c>
      <c r="E30" s="321">
        <f>SUM(E26:E28)</f>
        <v>1</v>
      </c>
      <c r="F30" s="321">
        <f>SUM(F26:F28)</f>
        <v>1</v>
      </c>
      <c r="G30" s="321">
        <f>SUM(G26:G28)</f>
        <v>1</v>
      </c>
      <c r="H30" s="321">
        <f aca="true" t="shared" si="9" ref="H30:Q30">SUM(H26:H28)</f>
        <v>1</v>
      </c>
      <c r="I30" s="321">
        <f t="shared" si="9"/>
        <v>1</v>
      </c>
      <c r="J30" s="321">
        <f t="shared" si="9"/>
        <v>1</v>
      </c>
      <c r="K30" s="321">
        <f t="shared" si="9"/>
        <v>1</v>
      </c>
      <c r="L30" s="321">
        <f t="shared" si="9"/>
        <v>1</v>
      </c>
      <c r="M30" s="321">
        <f t="shared" si="9"/>
        <v>1</v>
      </c>
      <c r="N30" s="321">
        <f>SUM(N26:N28)</f>
        <v>1</v>
      </c>
      <c r="O30" s="321">
        <f>SUM(O26:O28)</f>
        <v>1</v>
      </c>
      <c r="P30" s="321"/>
      <c r="Q30" s="323">
        <f t="shared" si="9"/>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1"/>
      <c r="B31" s="144"/>
      <c r="C31" s="99"/>
      <c r="D31" s="99"/>
      <c r="E31" s="99"/>
      <c r="F31" s="99"/>
      <c r="G31" s="99"/>
      <c r="H31" s="99"/>
      <c r="I31" s="99"/>
      <c r="J31" s="99"/>
      <c r="K31" s="99"/>
      <c r="L31" s="99"/>
      <c r="M31" s="99"/>
      <c r="N31" s="99"/>
      <c r="O31" s="99"/>
      <c r="P31" s="99"/>
      <c r="Q31" s="99"/>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ht="12.75">
      <c r="A32" s="131"/>
      <c r="B32" s="144"/>
      <c r="C32" s="346"/>
      <c r="D32" s="346"/>
      <c r="E32" s="346"/>
      <c r="F32" s="346"/>
      <c r="G32" s="346"/>
      <c r="H32" s="346"/>
      <c r="I32" s="346"/>
      <c r="J32" s="346"/>
      <c r="K32" s="346"/>
      <c r="L32" s="346"/>
      <c r="M32" s="346"/>
      <c r="N32" s="346"/>
      <c r="O32" s="346"/>
      <c r="P32" s="346"/>
      <c r="Q32" s="99"/>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3" ht="12.75">
      <c r="A33" s="131"/>
      <c r="B33" s="144"/>
      <c r="C33" s="350"/>
      <c r="D33" s="350"/>
      <c r="E33" s="350"/>
      <c r="F33" s="350"/>
      <c r="G33" s="350"/>
      <c r="H33" s="350"/>
      <c r="I33" s="350"/>
      <c r="J33" s="350"/>
      <c r="K33" s="350"/>
      <c r="L33" s="350"/>
      <c r="M33" s="350"/>
      <c r="N33" s="350"/>
      <c r="O33" s="350"/>
      <c r="P33" s="350"/>
      <c r="Q33" s="99"/>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3" ht="12.75">
      <c r="A34" s="131">
        <f>+A30+1</f>
        <v>19</v>
      </c>
      <c r="B34" s="144" t="s">
        <v>81</v>
      </c>
      <c r="C34" s="324">
        <v>3440757335</v>
      </c>
      <c r="D34" s="324">
        <v>3492467632</v>
      </c>
      <c r="E34" s="324">
        <v>3561597415</v>
      </c>
      <c r="F34" s="324">
        <v>3490524136</v>
      </c>
      <c r="G34" s="324">
        <v>3530291455</v>
      </c>
      <c r="H34" s="324">
        <v>3413421753</v>
      </c>
      <c r="I34" s="324">
        <v>3420346021</v>
      </c>
      <c r="J34" s="324">
        <v>3409868017</v>
      </c>
      <c r="K34" s="324">
        <v>3416166236</v>
      </c>
      <c r="L34" s="324">
        <v>3367433356</v>
      </c>
      <c r="M34" s="324">
        <v>3367939357</v>
      </c>
      <c r="N34" s="324">
        <v>3409821795</v>
      </c>
      <c r="O34" s="324">
        <v>3278728607</v>
      </c>
      <c r="P34" s="324"/>
      <c r="Q34" s="587"/>
      <c r="R34" s="90"/>
      <c r="S34" s="576"/>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2.75">
      <c r="A35" s="131">
        <f>+A34+1</f>
        <v>20</v>
      </c>
      <c r="B35" s="142" t="s">
        <v>32</v>
      </c>
      <c r="C35" s="389"/>
      <c r="D35" s="389"/>
      <c r="E35" s="389"/>
      <c r="F35" s="389"/>
      <c r="G35" s="389"/>
      <c r="H35" s="389"/>
      <c r="I35" s="389"/>
      <c r="J35" s="389"/>
      <c r="K35" s="389"/>
      <c r="L35" s="389"/>
      <c r="M35" s="389"/>
      <c r="N35" s="389"/>
      <c r="O35" s="389"/>
      <c r="P35" s="389"/>
      <c r="Q35" s="178"/>
      <c r="R35" s="90"/>
      <c r="S35" s="576"/>
      <c r="T35" s="90"/>
      <c r="U35" s="94"/>
      <c r="V35" s="142"/>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2.75">
      <c r="A36" s="131">
        <f>+A35+1</f>
        <v>21</v>
      </c>
      <c r="B36" s="142" t="s">
        <v>33</v>
      </c>
      <c r="C36" s="200">
        <v>-8031791</v>
      </c>
      <c r="D36" s="200">
        <v>-8031791</v>
      </c>
      <c r="E36" s="200">
        <v>-8031791</v>
      </c>
      <c r="F36" s="200">
        <v>-8216815</v>
      </c>
      <c r="G36" s="200">
        <v>-8216815</v>
      </c>
      <c r="H36" s="200">
        <v>-8216815</v>
      </c>
      <c r="I36" s="200">
        <v>-8509803</v>
      </c>
      <c r="J36" s="200">
        <v>-8509803</v>
      </c>
      <c r="K36" s="200">
        <v>-8509803</v>
      </c>
      <c r="L36" s="200">
        <v>-8341592</v>
      </c>
      <c r="M36" s="200">
        <v>-8341592</v>
      </c>
      <c r="N36" s="200">
        <v>-8341592</v>
      </c>
      <c r="O36" s="200">
        <v>-14632037</v>
      </c>
      <c r="P36" s="200"/>
      <c r="R36" s="99"/>
      <c r="S36" s="576"/>
      <c r="T36" s="90"/>
      <c r="U36" s="94"/>
      <c r="V36" s="100"/>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2.75">
      <c r="A37" s="131">
        <f>+A36+1</f>
        <v>22</v>
      </c>
      <c r="B37" s="142" t="s">
        <v>3</v>
      </c>
      <c r="C37" s="200"/>
      <c r="D37" s="200"/>
      <c r="E37" s="308"/>
      <c r="F37" s="308"/>
      <c r="G37" s="308"/>
      <c r="H37" s="308"/>
      <c r="I37" s="308"/>
      <c r="J37" s="308"/>
      <c r="K37" s="308"/>
      <c r="L37" s="308"/>
      <c r="M37" s="308"/>
      <c r="N37" s="308"/>
      <c r="O37" s="308"/>
      <c r="P37" s="308"/>
      <c r="R37" s="99"/>
      <c r="S37" s="576"/>
      <c r="T37" s="93"/>
      <c r="U37" s="93"/>
      <c r="V37" s="100"/>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2.75">
      <c r="A38" s="131">
        <f aca="true" t="shared" si="10" ref="A38:A44">+A37+1</f>
        <v>23</v>
      </c>
      <c r="B38" s="229" t="s">
        <v>34</v>
      </c>
      <c r="C38" s="325">
        <f aca="true" t="shared" si="11" ref="C38:J38">SUM(C36:C37)</f>
        <v>-8031791</v>
      </c>
      <c r="D38" s="325">
        <f t="shared" si="11"/>
        <v>-8031791</v>
      </c>
      <c r="E38" s="325">
        <f t="shared" si="11"/>
        <v>-8031791</v>
      </c>
      <c r="F38" s="325">
        <f t="shared" si="11"/>
        <v>-8216815</v>
      </c>
      <c r="G38" s="325">
        <f t="shared" si="11"/>
        <v>-8216815</v>
      </c>
      <c r="H38" s="325">
        <f t="shared" si="11"/>
        <v>-8216815</v>
      </c>
      <c r="I38" s="325">
        <f t="shared" si="11"/>
        <v>-8509803</v>
      </c>
      <c r="J38" s="325">
        <f t="shared" si="11"/>
        <v>-8509803</v>
      </c>
      <c r="K38" s="325">
        <f>SUM(K36:K37)</f>
        <v>-8509803</v>
      </c>
      <c r="L38" s="325">
        <f>SUM(L36:L37)</f>
        <v>-8341592</v>
      </c>
      <c r="M38" s="325">
        <f>SUM(M36:M37)</f>
        <v>-8341592</v>
      </c>
      <c r="N38" s="325">
        <f>SUM(N36:N37)</f>
        <v>-8341592</v>
      </c>
      <c r="O38" s="325">
        <f>SUM(O36:O37)</f>
        <v>-14632037</v>
      </c>
      <c r="P38" s="201"/>
      <c r="Q38" s="97"/>
      <c r="R38" s="99"/>
      <c r="S38" s="576"/>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2.75">
      <c r="A39" s="131">
        <f t="shared" si="10"/>
        <v>24</v>
      </c>
      <c r="B39" s="230" t="s">
        <v>171</v>
      </c>
      <c r="C39" s="201"/>
      <c r="D39" s="201"/>
      <c r="E39" s="201"/>
      <c r="F39" s="201"/>
      <c r="G39" s="201"/>
      <c r="H39" s="201"/>
      <c r="I39" s="201"/>
      <c r="J39" s="201"/>
      <c r="K39" s="201"/>
      <c r="L39" s="201"/>
      <c r="M39" s="201"/>
      <c r="N39" s="201"/>
      <c r="O39" s="201"/>
      <c r="P39" s="201"/>
      <c r="Q39" s="97"/>
      <c r="R39" s="99"/>
      <c r="S39" s="576"/>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ht="12.75">
      <c r="A40" s="131">
        <f t="shared" si="10"/>
        <v>25</v>
      </c>
      <c r="B40" s="232" t="s">
        <v>172</v>
      </c>
      <c r="C40" s="324">
        <f>-4366000-5849000</f>
        <v>-10215000</v>
      </c>
      <c r="D40" s="324">
        <f>11482000-5849000</f>
        <v>5633000</v>
      </c>
      <c r="E40" s="324">
        <f>45471000-5849000</f>
        <v>39622000</v>
      </c>
      <c r="F40" s="324">
        <f>359000-5849000</f>
        <v>-5490000</v>
      </c>
      <c r="G40" s="324">
        <f>16384000-5849000</f>
        <v>10535000</v>
      </c>
      <c r="H40" s="324">
        <f>12223000-5849000</f>
        <v>6374000</v>
      </c>
      <c r="I40" s="324">
        <f>11470000-5849000</f>
        <v>5621000</v>
      </c>
      <c r="J40" s="324">
        <f>-9277000-5849000</f>
        <v>-15126000</v>
      </c>
      <c r="K40" s="324">
        <f>-7369000-5849000</f>
        <v>-13218000</v>
      </c>
      <c r="L40" s="324">
        <f>-9750000-5849000</f>
        <v>-15599000</v>
      </c>
      <c r="M40" s="324">
        <f>-26118000-5849000</f>
        <v>-31967000</v>
      </c>
      <c r="N40" s="324">
        <f>-24309000-5849000</f>
        <v>-30158000</v>
      </c>
      <c r="O40" s="324">
        <f>-60030000-5849000</f>
        <v>-65879000</v>
      </c>
      <c r="P40" s="324"/>
      <c r="Q40" s="97"/>
      <c r="R40" s="99"/>
      <c r="S40" s="576"/>
      <c r="T40" s="90"/>
      <c r="U40" s="94"/>
      <c r="V40" s="90"/>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5"/>
    </row>
    <row r="41" spans="1:54" ht="12.75">
      <c r="A41" s="131">
        <f t="shared" si="10"/>
        <v>26</v>
      </c>
      <c r="B41" s="232" t="s">
        <v>118</v>
      </c>
      <c r="C41" s="200">
        <v>-8333654</v>
      </c>
      <c r="D41" s="200">
        <v>-8029266</v>
      </c>
      <c r="E41" s="200">
        <v>-7563110</v>
      </c>
      <c r="F41" s="200">
        <v>-7536696</v>
      </c>
      <c r="G41" s="200">
        <v>-7510282</v>
      </c>
      <c r="H41" s="200">
        <v>-7483868</v>
      </c>
      <c r="I41" s="200">
        <v>-7457454</v>
      </c>
      <c r="J41" s="200">
        <v>-7431040</v>
      </c>
      <c r="K41" s="200">
        <v>-10686685</v>
      </c>
      <c r="L41" s="200">
        <v>-10646048</v>
      </c>
      <c r="M41" s="200">
        <v>-7351801</v>
      </c>
      <c r="N41" s="200">
        <v>-6772686</v>
      </c>
      <c r="O41" s="200">
        <v>-6675455</v>
      </c>
      <c r="P41" s="200"/>
      <c r="R41" s="99"/>
      <c r="S41" s="576"/>
      <c r="T41" s="90"/>
      <c r="U41" s="94"/>
      <c r="V41" s="262"/>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2.75">
      <c r="A42" s="131">
        <f t="shared" si="10"/>
        <v>27</v>
      </c>
      <c r="B42" s="232" t="s">
        <v>119</v>
      </c>
      <c r="C42" s="200">
        <v>-87404091</v>
      </c>
      <c r="D42" s="200">
        <v>-86737009</v>
      </c>
      <c r="E42" s="200">
        <v>-86069926</v>
      </c>
      <c r="F42" s="200">
        <v>-85402844</v>
      </c>
      <c r="G42" s="200">
        <v>-84735762</v>
      </c>
      <c r="H42" s="200">
        <v>-84068679</v>
      </c>
      <c r="I42" s="200">
        <v>-83980027</v>
      </c>
      <c r="J42" s="200">
        <v>-83317669</v>
      </c>
      <c r="K42" s="200">
        <v>-79491056</v>
      </c>
      <c r="L42" s="200">
        <v>-78832140</v>
      </c>
      <c r="M42" s="200">
        <v>-81426837</v>
      </c>
      <c r="N42" s="200">
        <v>-80753700</v>
      </c>
      <c r="O42" s="200">
        <v>-164280894</v>
      </c>
      <c r="P42" s="200"/>
      <c r="Q42" s="587"/>
      <c r="R42" s="99"/>
      <c r="S42" s="576"/>
      <c r="T42" s="90"/>
      <c r="U42" s="94"/>
      <c r="V42" s="262"/>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2.75">
      <c r="A43" s="131">
        <f t="shared" si="10"/>
        <v>28</v>
      </c>
      <c r="B43" s="233" t="s">
        <v>120</v>
      </c>
      <c r="C43" s="231">
        <f aca="true" t="shared" si="12" ref="C43:J43">SUM(C40:C42)</f>
        <v>-105952745</v>
      </c>
      <c r="D43" s="231">
        <f t="shared" si="12"/>
        <v>-89133275</v>
      </c>
      <c r="E43" s="231">
        <f t="shared" si="12"/>
        <v>-54011036</v>
      </c>
      <c r="F43" s="231">
        <f t="shared" si="12"/>
        <v>-98429540</v>
      </c>
      <c r="G43" s="231">
        <f t="shared" si="12"/>
        <v>-81711044</v>
      </c>
      <c r="H43" s="231">
        <f t="shared" si="12"/>
        <v>-85178547</v>
      </c>
      <c r="I43" s="231">
        <f t="shared" si="12"/>
        <v>-85816481</v>
      </c>
      <c r="J43" s="231">
        <f t="shared" si="12"/>
        <v>-105874709</v>
      </c>
      <c r="K43" s="231">
        <f>SUM(K40:K42)</f>
        <v>-103395741</v>
      </c>
      <c r="L43" s="231">
        <f>SUM(L40:L42)</f>
        <v>-105077188</v>
      </c>
      <c r="M43" s="231">
        <f>SUM(M40:M42)</f>
        <v>-120745638</v>
      </c>
      <c r="N43" s="231">
        <f>SUM(N40:N42)</f>
        <v>-117684386</v>
      </c>
      <c r="O43" s="231">
        <f>SUM(O40:O42)</f>
        <v>-236835349</v>
      </c>
      <c r="P43" s="277"/>
      <c r="Q43" s="97"/>
      <c r="R43" s="99"/>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1">
        <f t="shared" si="10"/>
        <v>29</v>
      </c>
      <c r="B44" s="144" t="s">
        <v>103</v>
      </c>
      <c r="C44" s="311">
        <f aca="true" t="shared" si="13" ref="C44:J44">+C34-C38-C43</f>
        <v>3554741871</v>
      </c>
      <c r="D44" s="311">
        <f t="shared" si="13"/>
        <v>3589632698</v>
      </c>
      <c r="E44" s="311">
        <f t="shared" si="13"/>
        <v>3623640242</v>
      </c>
      <c r="F44" s="311">
        <f t="shared" si="13"/>
        <v>3597170491</v>
      </c>
      <c r="G44" s="311">
        <f t="shared" si="13"/>
        <v>3620219314</v>
      </c>
      <c r="H44" s="311">
        <f t="shared" si="13"/>
        <v>3506817115</v>
      </c>
      <c r="I44" s="311">
        <f t="shared" si="13"/>
        <v>3514672305</v>
      </c>
      <c r="J44" s="311">
        <f t="shared" si="13"/>
        <v>3524252529</v>
      </c>
      <c r="K44" s="311">
        <f>+K34-K38-K43</f>
        <v>3528071780</v>
      </c>
      <c r="L44" s="311">
        <f>+L34-L38-L43</f>
        <v>3480852136</v>
      </c>
      <c r="M44" s="311">
        <f>+M34-M38-M43</f>
        <v>3497026587</v>
      </c>
      <c r="N44" s="311">
        <f>+N34-N38-N43</f>
        <v>3535847773</v>
      </c>
      <c r="O44" s="311">
        <f>+O34-O38-O43</f>
        <v>3530195993</v>
      </c>
      <c r="P44" s="99"/>
      <c r="Q44" s="98"/>
      <c r="R44" s="99"/>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7:54" ht="13.5" thickTop="1">
      <c r="G45" s="99"/>
      <c r="H45" s="99"/>
      <c r="I45" s="99"/>
      <c r="J45" s="99"/>
      <c r="K45" s="99"/>
      <c r="L45" s="99"/>
      <c r="M45" s="99"/>
      <c r="N45" s="99"/>
      <c r="O45" s="99"/>
      <c r="P45" s="99"/>
      <c r="Q45" s="90"/>
      <c r="R45" s="99"/>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4:54" ht="12.75">
      <c r="D46" s="91"/>
      <c r="E46" s="91"/>
      <c r="F46" s="91"/>
      <c r="G46" s="91"/>
      <c r="H46" s="200"/>
      <c r="I46" s="200"/>
      <c r="J46" s="200"/>
      <c r="K46" s="200"/>
      <c r="L46" s="200"/>
      <c r="M46" s="200"/>
      <c r="N46" s="200"/>
      <c r="O46" s="200"/>
      <c r="P46" s="200"/>
      <c r="Q46" s="90"/>
      <c r="R46" s="99"/>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4:54" ht="12.75">
      <c r="D47" s="324"/>
      <c r="E47" s="574"/>
      <c r="F47" s="574"/>
      <c r="G47" s="574"/>
      <c r="H47" s="200"/>
      <c r="I47" s="200"/>
      <c r="J47" s="200"/>
      <c r="K47" s="200"/>
      <c r="L47" s="200"/>
      <c r="M47" s="200"/>
      <c r="N47" s="200"/>
      <c r="O47" s="200"/>
      <c r="P47" s="200"/>
      <c r="Q47" s="90"/>
      <c r="R47" s="99"/>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4:54" ht="12.75">
      <c r="D48" s="326"/>
      <c r="E48" s="574"/>
      <c r="F48" s="574"/>
      <c r="G48" s="574"/>
      <c r="H48" s="200"/>
      <c r="I48" s="200"/>
      <c r="J48" s="200"/>
      <c r="K48" s="200"/>
      <c r="L48" s="200"/>
      <c r="M48" s="200"/>
      <c r="N48" s="200"/>
      <c r="O48" s="200"/>
      <c r="P48" s="200"/>
      <c r="Q48" s="90"/>
      <c r="R48" s="99"/>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4:54" ht="12.75">
      <c r="D49" s="200"/>
      <c r="E49" s="574"/>
      <c r="F49" s="574"/>
      <c r="G49" s="574"/>
      <c r="H49" s="349"/>
      <c r="I49" s="349"/>
      <c r="J49" s="349"/>
      <c r="K49" s="200"/>
      <c r="L49" s="200"/>
      <c r="M49" s="200"/>
      <c r="N49" s="200"/>
      <c r="O49" s="200"/>
      <c r="P49" s="200"/>
      <c r="Q49" s="90"/>
      <c r="R49" s="99"/>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3:54" ht="12.75">
      <c r="C50" s="201"/>
      <c r="D50" s="349"/>
      <c r="E50" s="574"/>
      <c r="F50" s="574"/>
      <c r="G50" s="574"/>
      <c r="H50" s="201"/>
      <c r="I50" s="201"/>
      <c r="J50" s="201"/>
      <c r="K50" s="201"/>
      <c r="L50" s="201"/>
      <c r="M50" s="201"/>
      <c r="N50" s="201"/>
      <c r="O50" s="201"/>
      <c r="P50" s="201"/>
      <c r="Q50" s="90"/>
      <c r="R50" s="99"/>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3:53" ht="12.75">
      <c r="C51" s="99"/>
      <c r="D51" s="99"/>
      <c r="E51" s="99"/>
      <c r="F51" s="99"/>
      <c r="G51" s="99"/>
      <c r="H51" s="99"/>
      <c r="I51" s="99"/>
      <c r="J51" s="99"/>
      <c r="K51" s="99"/>
      <c r="L51" s="99"/>
      <c r="M51" s="99"/>
      <c r="N51" s="99"/>
      <c r="O51" s="99"/>
      <c r="P51" s="99"/>
      <c r="Q51" s="90"/>
      <c r="R51" s="99"/>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row>
    <row r="52" spans="3:53" ht="12.75">
      <c r="C52" s="226"/>
      <c r="D52" s="226"/>
      <c r="E52" s="226"/>
      <c r="F52" s="226"/>
      <c r="G52" s="226"/>
      <c r="H52" s="226"/>
      <c r="I52" s="226"/>
      <c r="J52" s="226"/>
      <c r="K52" s="226"/>
      <c r="L52" s="226"/>
      <c r="M52" s="226"/>
      <c r="N52" s="226"/>
      <c r="O52" s="226"/>
      <c r="P52" s="226"/>
      <c r="Q52" s="90"/>
      <c r="R52" s="99"/>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row>
    <row r="53" spans="3:53" ht="12.75">
      <c r="C53" s="226"/>
      <c r="D53" s="227"/>
      <c r="E53" s="227"/>
      <c r="F53" s="227"/>
      <c r="G53" s="227"/>
      <c r="H53" s="227"/>
      <c r="I53" s="227"/>
      <c r="J53" s="227"/>
      <c r="K53" s="227"/>
      <c r="L53" s="227"/>
      <c r="M53" s="227"/>
      <c r="N53" s="227"/>
      <c r="O53" s="227"/>
      <c r="P53" s="227"/>
      <c r="Q53" s="90"/>
      <c r="R53" s="99"/>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3:53" ht="12.75">
      <c r="C54" s="91"/>
      <c r="D54" s="91"/>
      <c r="E54" s="91"/>
      <c r="F54" s="91"/>
      <c r="G54" s="91"/>
      <c r="H54" s="91"/>
      <c r="I54" s="91"/>
      <c r="J54" s="91"/>
      <c r="K54" s="91"/>
      <c r="L54" s="91"/>
      <c r="M54" s="91"/>
      <c r="N54" s="91"/>
      <c r="O54" s="91"/>
      <c r="P54" s="91"/>
      <c r="Q54" s="90"/>
      <c r="R54" s="99"/>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3:53" ht="12.75">
      <c r="C55" s="91"/>
      <c r="D55" s="91"/>
      <c r="E55" s="91"/>
      <c r="F55" s="91"/>
      <c r="G55" s="91"/>
      <c r="H55" s="91"/>
      <c r="I55" s="91"/>
      <c r="J55" s="91"/>
      <c r="K55" s="91"/>
      <c r="L55" s="91"/>
      <c r="M55" s="91"/>
      <c r="N55" s="91"/>
      <c r="O55" s="91"/>
      <c r="P55" s="91"/>
      <c r="Q55" s="90"/>
      <c r="R55" s="99"/>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3:53" ht="12.75">
      <c r="C56" s="91"/>
      <c r="D56" s="91"/>
      <c r="E56" s="91"/>
      <c r="F56" s="91"/>
      <c r="G56" s="91"/>
      <c r="H56" s="91"/>
      <c r="I56" s="91"/>
      <c r="J56" s="91"/>
      <c r="K56" s="91"/>
      <c r="L56" s="91"/>
      <c r="M56" s="91"/>
      <c r="N56" s="91"/>
      <c r="O56" s="91"/>
      <c r="P56" s="91"/>
      <c r="Q56" s="90"/>
      <c r="R56" s="99"/>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3:53" ht="12.75">
      <c r="C57" s="91"/>
      <c r="D57" s="91"/>
      <c r="E57" s="91"/>
      <c r="F57" s="91"/>
      <c r="G57" s="91"/>
      <c r="H57" s="91"/>
      <c r="I57" s="91"/>
      <c r="J57" s="91"/>
      <c r="K57" s="91"/>
      <c r="L57" s="91"/>
      <c r="M57" s="91"/>
      <c r="N57" s="91"/>
      <c r="O57" s="91"/>
      <c r="P57" s="91"/>
      <c r="Q57" s="90"/>
      <c r="R57" s="99"/>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3:53" ht="12.75">
      <c r="C58" s="91"/>
      <c r="D58" s="91"/>
      <c r="E58" s="91"/>
      <c r="F58" s="91"/>
      <c r="G58" s="91"/>
      <c r="H58" s="91"/>
      <c r="I58" s="91"/>
      <c r="J58" s="91"/>
      <c r="K58" s="91"/>
      <c r="L58" s="91"/>
      <c r="M58" s="91"/>
      <c r="N58" s="91"/>
      <c r="O58" s="91"/>
      <c r="P58" s="91"/>
      <c r="Q58" s="90"/>
      <c r="R58" s="9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3:53" ht="12.75">
      <c r="C59" s="91"/>
      <c r="D59" s="91"/>
      <c r="E59" s="91"/>
      <c r="F59" s="91"/>
      <c r="G59" s="91"/>
      <c r="H59" s="91"/>
      <c r="I59" s="91"/>
      <c r="J59" s="91"/>
      <c r="K59" s="91"/>
      <c r="L59" s="91"/>
      <c r="M59" s="91"/>
      <c r="N59" s="91"/>
      <c r="O59" s="91"/>
      <c r="P59" s="91"/>
      <c r="Q59" s="90"/>
      <c r="R59" s="99"/>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3:53" ht="12.75">
      <c r="C60" s="91"/>
      <c r="D60" s="91"/>
      <c r="E60" s="91"/>
      <c r="F60" s="91"/>
      <c r="G60" s="91"/>
      <c r="H60" s="91"/>
      <c r="I60" s="91"/>
      <c r="J60" s="91"/>
      <c r="K60" s="91"/>
      <c r="L60" s="91"/>
      <c r="M60" s="91"/>
      <c r="N60" s="91"/>
      <c r="O60" s="91"/>
      <c r="P60" s="91"/>
      <c r="Q60" s="90"/>
      <c r="R60" s="99"/>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3:53" ht="12.75">
      <c r="C61" s="91"/>
      <c r="D61" s="91"/>
      <c r="E61" s="91"/>
      <c r="F61" s="91"/>
      <c r="G61" s="91"/>
      <c r="H61" s="91"/>
      <c r="I61" s="91"/>
      <c r="J61" s="91"/>
      <c r="K61" s="91"/>
      <c r="L61" s="91"/>
      <c r="M61" s="91"/>
      <c r="N61" s="91"/>
      <c r="O61" s="91"/>
      <c r="P61" s="91"/>
      <c r="Q61" s="90"/>
      <c r="R61" s="99"/>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3:53" ht="12.75">
      <c r="C62" s="91"/>
      <c r="D62" s="91"/>
      <c r="E62" s="91"/>
      <c r="F62" s="91"/>
      <c r="G62" s="91"/>
      <c r="H62" s="91"/>
      <c r="I62" s="91"/>
      <c r="J62" s="91"/>
      <c r="K62" s="91"/>
      <c r="L62" s="91"/>
      <c r="M62" s="91"/>
      <c r="N62" s="91"/>
      <c r="O62" s="91"/>
      <c r="P62" s="91"/>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3:53" ht="12.75">
      <c r="C63" s="91"/>
      <c r="D63" s="91"/>
      <c r="E63" s="91"/>
      <c r="F63" s="91"/>
      <c r="G63" s="91"/>
      <c r="H63" s="91"/>
      <c r="I63" s="91"/>
      <c r="J63" s="91"/>
      <c r="K63" s="91"/>
      <c r="L63" s="91"/>
      <c r="M63" s="91"/>
      <c r="N63" s="91"/>
      <c r="O63" s="91"/>
      <c r="P63" s="91"/>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3:53" ht="12.75">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ht="12.75">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ht="12.75">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ht="12.75">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ht="12.75">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ht="12.75">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ht="12.75">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ht="12.75">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ht="12.75">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ht="12.75">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ht="12.75">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ht="12.75">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ht="12.75">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ht="12.75">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ht="12.75">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ht="12.75">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ht="12.75">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ht="12.75">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ht="12.75">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ht="12.75">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ht="12.75">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ht="12.75">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ht="12.75">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ht="12.75">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ht="12.75">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ht="12.75">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ht="12.75">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ht="12.75">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ht="12.75">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ht="12.75">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ht="12.75">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ht="12.75">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ht="12.75">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ht="12.75">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ht="12.75">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ht="12.75">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ht="12.75">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ht="12.75">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ht="12.75">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ht="12.75">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ht="12.75">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ht="12.75">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ht="12.75">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ht="12.75">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ht="12.75">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ht="12.75">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ht="12.75">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ht="12.75">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ht="12.75">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ht="12.75">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ht="12.75">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ht="12.75">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ht="12.75">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ht="12.75">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ht="12.75">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ht="12.75">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ht="12.75">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ht="12.75">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ht="12.75">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ht="12.75">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ht="12.75">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ht="12.75">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ht="12.75">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ht="12.75">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ht="12.75">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ht="12.75">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ht="12.75">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ht="12.75">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ht="12.75">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ht="12.75">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ht="12.75">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ht="12.75">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ht="12.75">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ht="12.75">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ht="12.75">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ht="12.75">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ht="12.75">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ht="12.75">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ht="12.75">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ht="12.75">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ht="12.75">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ht="12.75">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ht="12.75">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ht="12.75">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ht="12.75">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ht="12.75">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ht="12.75">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ht="12.75">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ht="12.75">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ht="12.75">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ht="12.75">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ht="12.75">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ht="12.75">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ht="12.75">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ht="12.75">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ht="12.75">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ht="12.75">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ht="12.75">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ht="12.75">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ht="12.75">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ht="12.75">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ht="12.75">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ht="12.75">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ht="12.75">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ht="12.75">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ht="12.75">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ht="12.75">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ht="12.75">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ht="12.75">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ht="12.75">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ht="12.75">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ht="12.75">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ht="12.75">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ht="12.75">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ht="12.75">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ht="12.75">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ht="12.75">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ht="12.75">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ht="12.75">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ht="12.75">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ht="12.75">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ht="12.75">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ht="12.75">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ht="12.75">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ht="12.75">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ht="12.75">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ht="12.75">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ht="12.75">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ht="12.75">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ht="12.75">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ht="12.75">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ht="12.75">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ht="12.75">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ht="12.75">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ht="12.75">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ht="12.75">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ht="12.75">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ht="12.75">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ht="12.75">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ht="12.75">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ht="12.75">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ht="12.75">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ht="12.75">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ht="12.75">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ht="12.75">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ht="12.75">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ht="12.75">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ht="12.75">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ht="12.75">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ht="12.75">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ht="12.75">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ht="12.75">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ht="12.75">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ht="12.75">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ht="12.75">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ht="12.75">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ht="12.75">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ht="12.75">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ht="12.75">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ht="12.75">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ht="12.75">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ht="12.75">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ht="12.75">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ht="12.75">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ht="12.75">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ht="12.75">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ht="12.75">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ht="12.75">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ht="12.75">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ht="12.75">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ht="12.75">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ht="12.75">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ht="12.75">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ht="12.75">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ht="12.75">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ht="12.75">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ht="12.75">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ht="12.75">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ht="12.75">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ht="12.75">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ht="12.75">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ht="12.75">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ht="12.75">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ht="12.75">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ht="12.75">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ht="12.75">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ht="12.75">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ht="12.75">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ht="12.75">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ht="12.75">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ht="12.75">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ht="12.75">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ht="12.75">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ht="12.75">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ht="12.75">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ht="12.75">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ht="12.75">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ht="12.75">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ht="12.75">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ht="12.75">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ht="12.75">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ht="12.75">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ht="12.75">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ht="12.75">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ht="12.75">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ht="12.75">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ht="12.75">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ht="12.75">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ht="12.75">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ht="12.75">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ht="12.75">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ht="12.75">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ht="12.75">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ht="12.75">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ht="12.75">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ht="12.75">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ht="12.75">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ht="12.75">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ht="12.75">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ht="12.75">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ht="12.75">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ht="12.75">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ht="12.75">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ht="12.75">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ht="12.75">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ht="12.75">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ht="12.75">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ht="12.75">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ht="12.75">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ht="12.75">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ht="12.75">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ht="12.75">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ht="12.75">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ht="12.75">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ht="12.75">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ht="12.75">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ht="12.75">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ht="12.75">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ht="12.75">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ht="12.75">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ht="12.75">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ht="12.75">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ht="12.75">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ht="12.75">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ht="12.75">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ht="12.75">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ht="12.75">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ht="12.75">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ht="12.75">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ht="12.75">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ht="12.75">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ht="12.75">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ht="12.75">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ht="12.75">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ht="12.75">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ht="12.75">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ht="12.75">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ht="12.75">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ht="12.75">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ht="12.75">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ht="12.75">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ht="12.75">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ht="12.75">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ht="12.75">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ht="12.75">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ht="12.75">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ht="12.75">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ht="12.75">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ht="12.75">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ht="12.75">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ht="12.75">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ht="12.75">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ht="12.75">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ht="12.75">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ht="12.75">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ht="12.75">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ht="12.75">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ht="12.75">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ht="12.75">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ht="12.75">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ht="12.75">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ht="12.75">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ht="12.75">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ht="12.75">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ht="12.75">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ht="12.75">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ht="12.75">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ht="12.75">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ht="12.75">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ht="12.75">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ht="12.75">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ht="12.75">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ht="12.75">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ht="12.75">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ht="12.75">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ht="12.75">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ht="12.75">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ht="12.75">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ht="12.75">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ht="12.75">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ht="12.75">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ht="12.75">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ht="12.75">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ht="12.75">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ht="12.75">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ht="12.75">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ht="12.75">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ht="12.75">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ht="12.75">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ht="12.75">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ht="12.75">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ht="12.75">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ht="12.75">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ht="12.75">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ht="12.75">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ht="12.75">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ht="12.75">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ht="12.75">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ht="12.75">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ht="12.75">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ht="12.75">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ht="12.75">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ht="12.75">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ht="12.75">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ht="12.75">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ht="12.75">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ht="12.75">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ht="12.75">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ht="12.75">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ht="12.75">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ht="12.75">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ht="12.75">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ht="12.75">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ht="12.75">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ht="12.75">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ht="12.75">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ht="12.75">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ht="12.75">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ht="12.75">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ht="12.75">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ht="12.75">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ht="12.75">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ht="12.75">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ht="12.75">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ht="12.75">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ht="12.75">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ht="12.75">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ht="12.75">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ht="12.75">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ht="12.75">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ht="12.75">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ht="12.75">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ht="12.75">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ht="12.75">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ht="12.75">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ht="12.75">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ht="12.75">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ht="12.75">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ht="12.75">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ht="12.75">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ht="12.75">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ht="12.75">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ht="12.75">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ht="12.75">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ht="12.75">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ht="12.75">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ht="12.75">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ht="12.75">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ht="12.75">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ht="12.75">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ht="12.75">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ht="12.75">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ht="12.75">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ht="12.75">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ht="12.75">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ht="12.75">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ht="12.75">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ht="12.75">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ht="12.75">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ht="12.75">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ht="12.75">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ht="12.75">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ht="12.75">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ht="12.75">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ht="12.75">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ht="12.75">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ht="12.75">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ht="12.75">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ht="12.75">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ht="12.75">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ht="12.75">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ht="12.75">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ht="12.75">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ht="12.75">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ht="12.75">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ht="12.75">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ht="12.75">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ht="12.75">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ht="12.75">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ht="12.75">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ht="12.75">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ht="12.75">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ht="12.75">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ht="12.75">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ht="12.75">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ht="12.75">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ht="12.75">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ht="12.75">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ht="12.75">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ht="12.75">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ht="12.75">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ht="12.75">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ht="12.75">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ht="12.75">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ht="12.75">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ht="12.75">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ht="12.75">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ht="12.75">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ht="12.75">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ht="12.75">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ht="12.75">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ht="12.75">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ht="12.75">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ht="12.75">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ht="12.75">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ht="12.75">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ht="12.75">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ht="12.75">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ht="12.75">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ht="12.75">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ht="12.75">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ht="12.75">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ht="12.75">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ht="12.75">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ht="12.75">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ht="12.75">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ht="12.75">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ht="12.75">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ht="12.75">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ht="12.75">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ht="12.75">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ht="12.75">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ht="12.75">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ht="12.75">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ht="12.75">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ht="12.75">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ht="12.75">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ht="12.75">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ht="12.75">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ht="12.75">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ht="12.75">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ht="12.75">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ht="12.75">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ht="12.75">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ht="12.75">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ht="12.75">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ht="12.75">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ht="12.75">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ht="12.75">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ht="12.75">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ht="12.75">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ht="12.75">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ht="12.75">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ht="12.75">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ht="12.75">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ht="12.75">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ht="12.75">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ht="12.75">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ht="12.75">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ht="12.75">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ht="12.75">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ht="12.75">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ht="12.75">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ht="12.75">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ht="12.75">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ht="12.75">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ht="12.75">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ht="12.75">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ht="12.75">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ht="12.75">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ht="12.75">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ht="12.75">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ht="12.75">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ht="12.75">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ht="12.75">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ht="12.75">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ht="12.75">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ht="12.75">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ht="12.75">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ht="12.75">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ht="12.75">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ht="12.75">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ht="12.75">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ht="12.75">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ht="12.75">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ht="12.75">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ht="12.75">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ht="12.75">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ht="12.75">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ht="12.75">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ht="12.75">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ht="12.75">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ht="12.75">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ht="12.75">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ht="12.75">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ht="12.75">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ht="12.75">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ht="12.75">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ht="12.75">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ht="12.75">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ht="12.75">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ht="12.75">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ht="12.75">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ht="12.75">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ht="12.75">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ht="12.75">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ht="12.75">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ht="12.75">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ht="12.75">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ht="12.75">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ht="12.75">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ht="12.75">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ht="12.75">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ht="12.75">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ht="12.75">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ht="12.75">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ht="12.75">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ht="12.75">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ht="12.75">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ht="12.75">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ht="12.75">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ht="12.75">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ht="12.75">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ht="12.75">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ht="12.75">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ht="12.75">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ht="12.75">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ht="12.75">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ht="12.75">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ht="12.75">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ht="12.75">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ht="12.75">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ht="12.75">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ht="12.75">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ht="12.75">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ht="12.75">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ht="12.75">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ht="12.75">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ht="12.75">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ht="12.75">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ht="12.75">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ht="12.75">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ht="12.75">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ht="12.75">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ht="12.75">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ht="12.75">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ht="12.75">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ht="12.75">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ht="12.75">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ht="12.75">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ht="12.75">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ht="12.75">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ht="12.75">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ht="12.75">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ht="12.75">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ht="12.75">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ht="12.75">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ht="12.75">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ht="12.75">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ht="12.75">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ht="12.75">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ht="12.75">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ht="12.75">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ht="12.75">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ht="12.75">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ht="12.75">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ht="12.75">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ht="12.75">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ht="12.75">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ht="12.75">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ht="12.75">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ht="12.75">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ht="12.75">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ht="12.75">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ht="12.75">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ht="12.75">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ht="12.75">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ht="12.75">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ht="12.75">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ht="12.75">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ht="12.75">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ht="12.75">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ht="12.75">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ht="12.75">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ht="12.75">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ht="12.75">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ht="12.75">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ht="12.75">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ht="12.75">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ht="12.75">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ht="12.75">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ht="12.75">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ht="12.75">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ht="12.75">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ht="12.75">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ht="12.75">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ht="12.75">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ht="12.75">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ht="12.75">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ht="12.75">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ht="12.75">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ht="12.75">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sheetData>
  <sheetProtection/>
  <mergeCells count="2">
    <mergeCell ref="B4:Q4"/>
    <mergeCell ref="B3:Q3"/>
  </mergeCells>
  <printOptions horizontalCentered="1"/>
  <pageMargins left="0.2" right="0.2" top="0.28" bottom="0.4" header="0.26" footer="0.22"/>
  <pageSetup fitToHeight="1" fitToWidth="1" horizontalDpi="600" verticalDpi="600" orientation="landscape" scale="90" r:id="rId3"/>
  <headerFooter alignWithMargins="0">
    <oddFooter>&amp;C&amp;A&amp;R&amp;8&amp;F</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106"/>
  <sheetViews>
    <sheetView tabSelected="1" zoomScalePageLayoutView="0" workbookViewId="0" topLeftCell="A1">
      <selection activeCell="D16" sqref="D16"/>
    </sheetView>
  </sheetViews>
  <sheetFormatPr defaultColWidth="11.5" defaultRowHeight="11.25"/>
  <cols>
    <col min="1" max="1" width="8.33203125" style="5" customWidth="1"/>
    <col min="2" max="2" width="46" style="5" customWidth="1"/>
    <col min="3" max="3" width="17.16015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ustomWidth="1"/>
  </cols>
  <sheetData>
    <row r="1" spans="1:8" ht="12.75">
      <c r="A1" s="3" t="s">
        <v>2</v>
      </c>
      <c r="B1" s="4"/>
      <c r="C1" s="4"/>
      <c r="D1" s="4"/>
      <c r="E1" s="4"/>
      <c r="F1" s="4"/>
      <c r="G1" s="4"/>
      <c r="H1" s="4"/>
    </row>
    <row r="2" spans="1:6" ht="15.75">
      <c r="A2" s="34"/>
      <c r="B2" s="342" t="s">
        <v>25</v>
      </c>
      <c r="C2" s="202"/>
      <c r="D2" s="202"/>
      <c r="E2" s="202"/>
      <c r="F2" s="202"/>
    </row>
    <row r="3" spans="1:6" ht="15.75">
      <c r="A3" s="34"/>
      <c r="B3" s="342" t="s">
        <v>37</v>
      </c>
      <c r="C3" s="202"/>
      <c r="D3" s="202"/>
      <c r="E3" s="202"/>
      <c r="F3" s="202"/>
    </row>
    <row r="4" spans="2:6" ht="15.75" customHeight="1">
      <c r="B4" s="343">
        <f>+'Pg 1 CofCap'!B5</f>
        <v>42004</v>
      </c>
      <c r="C4" s="203"/>
      <c r="D4" s="203"/>
      <c r="E4" s="203"/>
      <c r="F4" s="203"/>
    </row>
    <row r="5" spans="2:6" ht="12.75" customHeight="1">
      <c r="B5" s="6"/>
      <c r="C5" s="6"/>
      <c r="D5" s="7"/>
      <c r="E5" s="7"/>
      <c r="F5" s="7"/>
    </row>
    <row r="6" ht="12.75">
      <c r="A6" s="3" t="s">
        <v>2</v>
      </c>
    </row>
    <row r="7" spans="1:3" ht="12.75">
      <c r="A7" s="3" t="s">
        <v>2</v>
      </c>
      <c r="C7" s="5" t="s">
        <v>2</v>
      </c>
    </row>
    <row r="8" spans="1:7" ht="12.75">
      <c r="A8" s="3">
        <v>1</v>
      </c>
      <c r="B8" s="69" t="s">
        <v>5</v>
      </c>
      <c r="C8" s="69" t="s">
        <v>27</v>
      </c>
      <c r="D8" s="69" t="s">
        <v>52</v>
      </c>
      <c r="E8" s="69" t="s">
        <v>64</v>
      </c>
      <c r="F8" s="69" t="s">
        <v>65</v>
      </c>
      <c r="G8" s="67"/>
    </row>
    <row r="9" spans="1:7" ht="12.75">
      <c r="A9" s="3">
        <f aca="true" t="shared" si="0" ref="A9:A27">A8+1</f>
        <v>2</v>
      </c>
      <c r="B9" s="68"/>
      <c r="C9" s="69"/>
      <c r="D9" s="68"/>
      <c r="E9" s="68"/>
      <c r="F9" s="68"/>
      <c r="G9" s="67"/>
    </row>
    <row r="10" spans="1:7" ht="12.75">
      <c r="A10" s="3">
        <f t="shared" si="0"/>
        <v>3</v>
      </c>
      <c r="B10" s="68"/>
      <c r="C10" s="69" t="s">
        <v>53</v>
      </c>
      <c r="D10" s="69" t="s">
        <v>38</v>
      </c>
      <c r="E10" s="69" t="s">
        <v>18</v>
      </c>
      <c r="F10" s="69" t="s">
        <v>11</v>
      </c>
      <c r="G10" s="67"/>
    </row>
    <row r="11" spans="1:7" ht="12.75">
      <c r="A11" s="3">
        <f t="shared" si="0"/>
        <v>4</v>
      </c>
      <c r="B11" s="70" t="s">
        <v>9</v>
      </c>
      <c r="C11" s="70" t="s">
        <v>78</v>
      </c>
      <c r="D11" s="70" t="s">
        <v>19</v>
      </c>
      <c r="E11" s="70" t="s">
        <v>20</v>
      </c>
      <c r="F11" s="70" t="s">
        <v>19</v>
      </c>
      <c r="G11" s="67"/>
    </row>
    <row r="12" spans="1:7" ht="12.75">
      <c r="A12" s="3">
        <f t="shared" si="0"/>
        <v>5</v>
      </c>
      <c r="B12" s="71"/>
      <c r="C12" s="72"/>
      <c r="D12" s="72"/>
      <c r="E12" s="73"/>
      <c r="F12" s="72"/>
      <c r="G12" s="67"/>
    </row>
    <row r="13" spans="1:7" ht="12.75">
      <c r="A13" s="3">
        <f t="shared" si="0"/>
        <v>6</v>
      </c>
      <c r="B13" s="71" t="s">
        <v>36</v>
      </c>
      <c r="C13" s="76">
        <f>'Pg 4 STD OS &amp; Comm Fees'!C11</f>
        <v>18879452.02</v>
      </c>
      <c r="D13" s="212">
        <f>IF(E13=0,"NA",(E13/C13))</f>
        <v>0.0034647610497754266</v>
      </c>
      <c r="E13" s="76">
        <f>'Pg 4 STD OS &amp; Comm Fees'!D11</f>
        <v>65412.79</v>
      </c>
      <c r="F13" s="74"/>
      <c r="G13" s="75"/>
    </row>
    <row r="14" spans="1:7" ht="12.75">
      <c r="A14" s="3">
        <f t="shared" si="0"/>
        <v>7</v>
      </c>
      <c r="B14" s="67" t="s">
        <v>115</v>
      </c>
      <c r="C14" s="85">
        <f>'Pg 4 STD OS &amp; Comm Fees'!C12</f>
        <v>29122264.872054804</v>
      </c>
      <c r="D14" s="212">
        <f>IF(E14=0,"NA",(E14/C14))</f>
        <v>0.0062385743843754535</v>
      </c>
      <c r="E14" s="76">
        <f>'Pg 4 STD OS &amp; Comm Fees'!D12</f>
        <v>181681.4156457982</v>
      </c>
      <c r="F14" s="74"/>
      <c r="G14" s="75"/>
    </row>
    <row r="15" spans="1:7" ht="12.75">
      <c r="A15" s="3">
        <v>10</v>
      </c>
      <c r="B15" s="67" t="s">
        <v>263</v>
      </c>
      <c r="C15" s="85">
        <f>'Pg 4 STD OS &amp; Comm Fees'!C13</f>
        <v>273972.6</v>
      </c>
      <c r="D15" s="212">
        <f>IF(E15=0,"NA",(E15/C15))</f>
        <v>0.03499999634999997</v>
      </c>
      <c r="E15" s="76">
        <f>'Pg 4 STD OS &amp; Comm Fees'!D13</f>
        <v>9589.04</v>
      </c>
      <c r="F15" s="74"/>
      <c r="G15" s="75"/>
    </row>
    <row r="16" spans="1:7" ht="12.75">
      <c r="A16" s="3">
        <f t="shared" si="0"/>
        <v>11</v>
      </c>
      <c r="B16" s="335" t="s">
        <v>157</v>
      </c>
      <c r="C16" s="337">
        <f>SUM(C13:C15)</f>
        <v>48275689.492054805</v>
      </c>
      <c r="D16" s="338">
        <f>IF(E16=0,"NA",(E16/C16))</f>
        <v>0.005317029095732399</v>
      </c>
      <c r="E16" s="336">
        <f>SUM(E13:E15)</f>
        <v>256683.24564579822</v>
      </c>
      <c r="F16" s="74"/>
      <c r="G16" s="75"/>
    </row>
    <row r="17" spans="1:7" ht="12.75">
      <c r="A17" s="3">
        <f t="shared" si="0"/>
        <v>12</v>
      </c>
      <c r="B17" s="67"/>
      <c r="C17" s="86"/>
      <c r="D17" s="213"/>
      <c r="E17" s="77"/>
      <c r="F17" s="67"/>
      <c r="G17" s="75"/>
    </row>
    <row r="18" spans="1:7" ht="12.75">
      <c r="A18" s="3">
        <f t="shared" si="0"/>
        <v>13</v>
      </c>
      <c r="B18" s="71" t="s">
        <v>54</v>
      </c>
      <c r="C18" s="87"/>
      <c r="D18" s="88"/>
      <c r="E18" s="358">
        <f>'Pg 4 STD OS &amp; Comm Fees'!F15</f>
        <v>1232415.0737398888</v>
      </c>
      <c r="F18" s="192" t="s">
        <v>77</v>
      </c>
      <c r="G18" s="75"/>
    </row>
    <row r="19" spans="1:7" ht="12.75">
      <c r="A19" s="3">
        <f t="shared" si="0"/>
        <v>14</v>
      </c>
      <c r="B19" s="71"/>
      <c r="C19" s="78"/>
      <c r="D19" s="79"/>
      <c r="E19" s="83"/>
      <c r="F19" s="74"/>
      <c r="G19" s="75"/>
    </row>
    <row r="20" spans="1:7" ht="12.75">
      <c r="A20" s="3">
        <f t="shared" si="0"/>
        <v>15</v>
      </c>
      <c r="B20" s="71" t="s">
        <v>55</v>
      </c>
      <c r="C20" s="78"/>
      <c r="D20" s="79"/>
      <c r="E20" s="358">
        <f>-'Pg 5 STD Amort'!G27</f>
        <v>1146964.84</v>
      </c>
      <c r="F20" s="192" t="s">
        <v>98</v>
      </c>
      <c r="G20" s="75"/>
    </row>
    <row r="21" spans="1:7" ht="13.5" thickBot="1">
      <c r="A21" s="3">
        <f t="shared" si="0"/>
        <v>16</v>
      </c>
      <c r="B21" s="67"/>
      <c r="C21" s="77"/>
      <c r="D21" s="76"/>
      <c r="E21" s="84"/>
      <c r="G21" s="67"/>
    </row>
    <row r="22" spans="1:7" ht="13.5" thickBot="1">
      <c r="A22" s="3">
        <f t="shared" si="0"/>
        <v>17</v>
      </c>
      <c r="B22" s="80" t="s">
        <v>39</v>
      </c>
      <c r="C22" s="81">
        <f>C16</f>
        <v>48275689.492054805</v>
      </c>
      <c r="D22" s="82"/>
      <c r="E22" s="81">
        <f>SUM(E16:E21)</f>
        <v>2636063.159385687</v>
      </c>
      <c r="F22" s="217">
        <f>E22/C22</f>
        <v>0.054604360644492284</v>
      </c>
      <c r="G22" s="75"/>
    </row>
    <row r="23" spans="1:7" ht="12.75">
      <c r="A23" s="3">
        <f t="shared" si="0"/>
        <v>18</v>
      </c>
      <c r="B23" s="67"/>
      <c r="C23" s="67"/>
      <c r="D23" s="67"/>
      <c r="E23" s="67"/>
      <c r="F23" s="67"/>
      <c r="G23" s="75"/>
    </row>
    <row r="24" spans="1:7" ht="12.75">
      <c r="A24" s="3">
        <f t="shared" si="0"/>
        <v>19</v>
      </c>
      <c r="E24" s="10"/>
      <c r="F24" s="9"/>
      <c r="G24" s="10"/>
    </row>
    <row r="25" spans="1:7" ht="12.75">
      <c r="A25" s="3">
        <f t="shared" si="0"/>
        <v>20</v>
      </c>
      <c r="B25" s="132" t="s">
        <v>176</v>
      </c>
      <c r="C25" s="133"/>
      <c r="D25" s="133"/>
      <c r="E25" s="133"/>
      <c r="F25" s="71"/>
      <c r="G25" s="10"/>
    </row>
    <row r="26" spans="1:7" ht="12.75">
      <c r="A26" s="3">
        <f t="shared" si="0"/>
        <v>21</v>
      </c>
      <c r="B26" s="132" t="s">
        <v>147</v>
      </c>
      <c r="C26" s="133"/>
      <c r="D26" s="133"/>
      <c r="E26" s="133"/>
      <c r="F26" s="71"/>
      <c r="G26" s="10"/>
    </row>
    <row r="27" spans="1:7" ht="12.75">
      <c r="A27" s="3">
        <f t="shared" si="0"/>
        <v>22</v>
      </c>
      <c r="B27" s="132" t="s">
        <v>175</v>
      </c>
      <c r="C27" s="71"/>
      <c r="D27" s="71"/>
      <c r="E27" s="71"/>
      <c r="F27" s="71"/>
      <c r="G27" s="10"/>
    </row>
    <row r="28" spans="1:7" ht="12.75">
      <c r="A28" s="3"/>
      <c r="B28" s="132"/>
      <c r="E28" s="10"/>
      <c r="F28" s="9"/>
      <c r="G28" s="10"/>
    </row>
    <row r="29" spans="1:2" ht="12.75">
      <c r="A29" s="3"/>
      <c r="B29" s="132"/>
    </row>
    <row r="30" spans="1:2" ht="12.75">
      <c r="A30" s="3"/>
      <c r="B30" s="8"/>
    </row>
    <row r="31" spans="1:2" ht="12.75">
      <c r="A31" s="3"/>
      <c r="B31" s="8"/>
    </row>
    <row r="32" ht="12.75">
      <c r="A32" s="3" t="s">
        <v>2</v>
      </c>
    </row>
    <row r="33" ht="12.75" customHeight="1">
      <c r="A33" s="11"/>
    </row>
    <row r="34" spans="1:7" ht="12.75">
      <c r="A34" s="3" t="s">
        <v>2</v>
      </c>
      <c r="E34" s="10"/>
      <c r="F34" s="9"/>
      <c r="G34" s="10"/>
    </row>
    <row r="35" spans="1:7" ht="12.75">
      <c r="A35" s="3" t="s">
        <v>2</v>
      </c>
      <c r="E35" s="10"/>
      <c r="F35" s="9"/>
      <c r="G35" s="10"/>
    </row>
    <row r="36" spans="5:7" ht="12.75">
      <c r="E36" s="10"/>
      <c r="F36" s="9"/>
      <c r="G36" s="10"/>
    </row>
    <row r="40" spans="4:7" ht="12.75">
      <c r="D40" s="12"/>
      <c r="E40" s="10"/>
      <c r="F40" s="9"/>
      <c r="G40" s="10"/>
    </row>
    <row r="41" spans="4:7" ht="12.75">
      <c r="D41" s="12"/>
      <c r="E41" s="10"/>
      <c r="F41" s="9"/>
      <c r="G41" s="10"/>
    </row>
    <row r="42" spans="4:7" ht="12.75">
      <c r="D42" s="12"/>
      <c r="E42" s="10"/>
      <c r="F42" s="9"/>
      <c r="G42" s="10"/>
    </row>
    <row r="43" spans="4:7" ht="12.75">
      <c r="D43" s="12"/>
      <c r="E43" s="10"/>
      <c r="F43" s="9"/>
      <c r="G43" s="10"/>
    </row>
    <row r="44" ht="12.75">
      <c r="E44" s="10"/>
    </row>
    <row r="45" spans="5:7" ht="12.75">
      <c r="E45" s="10"/>
      <c r="G45" s="10"/>
    </row>
    <row r="54" ht="12.75">
      <c r="B54" s="12"/>
    </row>
    <row r="55" ht="12.75">
      <c r="B55" s="8"/>
    </row>
    <row r="72" ht="12.75">
      <c r="F72" s="9"/>
    </row>
    <row r="83" ht="12.75">
      <c r="D83" s="12"/>
    </row>
    <row r="85" ht="12.75">
      <c r="D85" s="12"/>
    </row>
    <row r="88" ht="12.75">
      <c r="D88" s="12"/>
    </row>
    <row r="89" ht="12.75">
      <c r="D89" s="12"/>
    </row>
    <row r="94" ht="12.75">
      <c r="D94" s="12"/>
    </row>
    <row r="95" ht="12.75">
      <c r="D95" s="12"/>
    </row>
    <row r="102" ht="12.75">
      <c r="C102" s="13"/>
    </row>
    <row r="103" ht="12.75">
      <c r="C103" s="14"/>
    </row>
    <row r="105" ht="12.75">
      <c r="C105" s="13"/>
    </row>
    <row r="106" ht="12.75">
      <c r="C106" s="9"/>
    </row>
  </sheetData>
  <sheetProtection/>
  <printOptions horizontalCentered="1"/>
  <pageMargins left="0.75" right="0.75" top="0.65" bottom="0.63" header="0.5" footer="0.31"/>
  <pageSetup fitToHeight="1" fitToWidth="1" horizontalDpi="600" verticalDpi="600" orientation="landscape" r:id="rId1"/>
  <headerFooter alignWithMargins="0">
    <oddFooter>&amp;C&amp;A&amp;R&amp;8&amp;F</oddFooter>
  </headerFooter>
</worksheet>
</file>

<file path=xl/worksheets/sheet5.xml><?xml version="1.0" encoding="utf-8"?>
<worksheet xmlns="http://schemas.openxmlformats.org/spreadsheetml/2006/main" xmlns:r="http://schemas.openxmlformats.org/officeDocument/2006/relationships">
  <dimension ref="A1:S32"/>
  <sheetViews>
    <sheetView tabSelected="1" zoomScalePageLayoutView="0" workbookViewId="0" topLeftCell="A1">
      <selection activeCell="D16" sqref="D16"/>
    </sheetView>
  </sheetViews>
  <sheetFormatPr defaultColWidth="9.33203125" defaultRowHeight="11.25"/>
  <cols>
    <col min="1" max="1" width="5.66015625" style="0" bestFit="1" customWidth="1"/>
    <col min="2" max="2" width="24.66015625" style="0" customWidth="1"/>
    <col min="3" max="3" width="16.16015625" style="0" customWidth="1"/>
    <col min="4" max="4" width="15.16015625" style="0" customWidth="1"/>
    <col min="5" max="5" width="11.83203125" style="0" customWidth="1"/>
    <col min="6" max="7" width="15" style="0" customWidth="1"/>
    <col min="8" max="8" width="14.83203125" style="0" customWidth="1"/>
    <col min="9" max="10" width="12.83203125" style="0" customWidth="1"/>
    <col min="11" max="11" width="5.83203125" style="0" customWidth="1"/>
    <col min="12" max="12" width="8.5" style="0" customWidth="1"/>
    <col min="13" max="13" width="10" style="0" customWidth="1"/>
    <col min="14" max="14" width="11.16015625" style="0" customWidth="1"/>
    <col min="15" max="15" width="11.5" style="0"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7">
        <f>'Pg 1 CofCap'!B5</f>
        <v>42004</v>
      </c>
      <c r="C3" s="258"/>
      <c r="D3" s="259"/>
      <c r="E3" s="259"/>
      <c r="F3" s="259"/>
      <c r="G3" s="260"/>
      <c r="H3" s="260"/>
      <c r="I3" s="260"/>
      <c r="J3" s="260"/>
      <c r="K3" s="35"/>
      <c r="L3" s="35"/>
      <c r="N3" s="35"/>
      <c r="O3" s="35"/>
    </row>
    <row r="4" spans="1:15" ht="12">
      <c r="A4" s="35"/>
      <c r="B4" s="36"/>
      <c r="C4" s="43"/>
      <c r="D4" s="35"/>
      <c r="E4" s="35"/>
      <c r="F4" s="35"/>
      <c r="G4" s="35"/>
      <c r="H4" s="35"/>
      <c r="I4" s="35"/>
      <c r="J4" s="35"/>
      <c r="K4" s="35"/>
      <c r="L4" s="35"/>
      <c r="N4" s="35"/>
      <c r="O4" s="35"/>
    </row>
    <row r="5" spans="1:15" ht="13.5" thickBot="1">
      <c r="A5" s="193">
        <v>1</v>
      </c>
      <c r="B5" s="360" t="s">
        <v>5</v>
      </c>
      <c r="C5" s="360" t="s">
        <v>27</v>
      </c>
      <c r="D5" s="360" t="s">
        <v>52</v>
      </c>
      <c r="E5" s="360" t="s">
        <v>64</v>
      </c>
      <c r="F5" s="360" t="s">
        <v>65</v>
      </c>
      <c r="G5" s="360" t="s">
        <v>66</v>
      </c>
      <c r="H5" s="360" t="s">
        <v>67</v>
      </c>
      <c r="I5" s="360" t="s">
        <v>68</v>
      </c>
      <c r="J5" s="360" t="s">
        <v>69</v>
      </c>
      <c r="K5" s="69"/>
      <c r="L5" s="69"/>
      <c r="N5" s="35"/>
      <c r="O5" s="35"/>
    </row>
    <row r="6" spans="1:15" ht="12">
      <c r="A6" s="193">
        <f>+A5+1</f>
        <v>2</v>
      </c>
      <c r="B6" s="361" t="s">
        <v>121</v>
      </c>
      <c r="C6" s="362"/>
      <c r="D6" s="362"/>
      <c r="E6" s="362"/>
      <c r="F6" s="362"/>
      <c r="G6" s="362"/>
      <c r="H6" s="151"/>
      <c r="I6" s="151"/>
      <c r="J6" s="151"/>
      <c r="K6" s="363"/>
      <c r="M6" s="35"/>
      <c r="N6" s="35"/>
      <c r="O6" s="35"/>
    </row>
    <row r="7" spans="1:15" ht="12">
      <c r="A7" s="193">
        <f>+A6+1</f>
        <v>3</v>
      </c>
      <c r="B7" s="206"/>
      <c r="C7" s="207"/>
      <c r="D7" s="207"/>
      <c r="E7" s="207"/>
      <c r="F7" s="207" t="s">
        <v>2</v>
      </c>
      <c r="G7" s="38" t="s">
        <v>2</v>
      </c>
      <c r="H7" s="38"/>
      <c r="I7" s="38"/>
      <c r="J7" s="38"/>
      <c r="K7" s="364" t="s">
        <v>2</v>
      </c>
      <c r="L7" s="35"/>
      <c r="M7" s="276"/>
      <c r="N7" s="35"/>
      <c r="O7" s="35"/>
    </row>
    <row r="8" spans="1:15" ht="12">
      <c r="A8" s="193">
        <f>A7+1</f>
        <v>4</v>
      </c>
      <c r="B8" s="206"/>
      <c r="C8" s="214" t="s">
        <v>50</v>
      </c>
      <c r="D8" s="214" t="s">
        <v>114</v>
      </c>
      <c r="E8" s="214" t="s">
        <v>50</v>
      </c>
      <c r="F8" s="214" t="s">
        <v>131</v>
      </c>
      <c r="G8" s="38"/>
      <c r="H8" s="38"/>
      <c r="I8" s="38"/>
      <c r="J8" s="38"/>
      <c r="K8" s="364"/>
      <c r="L8" s="205"/>
      <c r="M8" s="35"/>
      <c r="N8" s="35"/>
      <c r="O8" s="35"/>
    </row>
    <row r="9" spans="1:15" ht="12">
      <c r="A9" s="193">
        <f>A8+1</f>
        <v>5</v>
      </c>
      <c r="B9" s="206"/>
      <c r="C9" s="215" t="s">
        <v>151</v>
      </c>
      <c r="D9" s="215" t="s">
        <v>38</v>
      </c>
      <c r="E9" s="215" t="s">
        <v>99</v>
      </c>
      <c r="F9" s="215" t="s">
        <v>152</v>
      </c>
      <c r="G9" s="40"/>
      <c r="H9" s="40"/>
      <c r="I9" s="38"/>
      <c r="J9" s="38"/>
      <c r="K9" s="364"/>
      <c r="L9" s="205"/>
      <c r="M9" s="240"/>
      <c r="N9" s="35"/>
      <c r="O9" s="35"/>
    </row>
    <row r="10" spans="1:15" ht="12">
      <c r="A10" s="193">
        <f>A9+1</f>
        <v>6</v>
      </c>
      <c r="B10" s="206"/>
      <c r="C10" s="89"/>
      <c r="D10" s="89"/>
      <c r="E10" s="89"/>
      <c r="F10" s="334"/>
      <c r="G10" s="38"/>
      <c r="H10" s="38"/>
      <c r="I10" s="38"/>
      <c r="J10" s="38"/>
      <c r="K10" s="364"/>
      <c r="L10" s="35"/>
      <c r="M10" s="35"/>
      <c r="O10" s="35"/>
    </row>
    <row r="11" spans="1:15" ht="12">
      <c r="A11" s="193">
        <f aca="true" t="shared" si="0" ref="A11:A32">A10+1</f>
        <v>7</v>
      </c>
      <c r="B11" s="206" t="s">
        <v>36</v>
      </c>
      <c r="C11" s="329">
        <v>18879452.02</v>
      </c>
      <c r="D11" s="329">
        <v>65412.79</v>
      </c>
      <c r="E11" s="269">
        <f>IF(C11=0,"NA",(D11/C11))</f>
        <v>0.0034647610497754266</v>
      </c>
      <c r="F11" s="390">
        <v>0</v>
      </c>
      <c r="G11" s="355"/>
      <c r="I11" s="38"/>
      <c r="J11" s="38"/>
      <c r="K11" s="364"/>
      <c r="L11" s="35"/>
      <c r="M11" s="376"/>
      <c r="O11" s="35"/>
    </row>
    <row r="12" spans="1:15" ht="12">
      <c r="A12" s="193">
        <f t="shared" si="0"/>
        <v>8</v>
      </c>
      <c r="B12" s="206" t="s">
        <v>115</v>
      </c>
      <c r="C12" s="329">
        <v>29122264.872054804</v>
      </c>
      <c r="D12" s="329">
        <v>181681.4156457982</v>
      </c>
      <c r="E12" s="269">
        <f>IF(C12=0,"NA",(D12/C12))</f>
        <v>0.0062385743843754535</v>
      </c>
      <c r="F12" s="390">
        <v>0</v>
      </c>
      <c r="G12" s="355"/>
      <c r="H12" s="330"/>
      <c r="I12" s="38"/>
      <c r="J12" s="38"/>
      <c r="K12" s="364"/>
      <c r="L12" s="35"/>
      <c r="M12" s="376"/>
      <c r="O12" s="35"/>
    </row>
    <row r="13" spans="1:15" ht="12">
      <c r="A13" s="193">
        <v>9</v>
      </c>
      <c r="B13" s="206" t="s">
        <v>263</v>
      </c>
      <c r="C13" s="329">
        <v>273972.6</v>
      </c>
      <c r="D13" s="329">
        <v>9589.04</v>
      </c>
      <c r="E13" s="269">
        <f>IF(C13=0,"NA",(D13/C13))</f>
        <v>0.03499999634999997</v>
      </c>
      <c r="F13" s="211">
        <f>J22</f>
        <v>1179806.993201</v>
      </c>
      <c r="G13" s="355"/>
      <c r="H13" s="375"/>
      <c r="I13" s="38"/>
      <c r="J13" s="38"/>
      <c r="K13" s="364"/>
      <c r="L13" s="35"/>
      <c r="M13" s="376"/>
      <c r="O13" s="35"/>
    </row>
    <row r="14" spans="1:15" ht="11.25">
      <c r="A14" s="193">
        <f>A13+1</f>
        <v>10</v>
      </c>
      <c r="B14" s="206" t="s">
        <v>159</v>
      </c>
      <c r="C14" s="329"/>
      <c r="D14" s="329"/>
      <c r="E14" s="269"/>
      <c r="F14" s="211">
        <f>J29</f>
        <v>52608.08053888889</v>
      </c>
      <c r="G14" s="355"/>
      <c r="H14" s="330"/>
      <c r="I14" s="38"/>
      <c r="J14" s="38"/>
      <c r="K14" s="364"/>
      <c r="L14" s="35"/>
      <c r="M14" s="204"/>
      <c r="N14" s="35"/>
      <c r="O14" s="35"/>
    </row>
    <row r="15" spans="1:15" ht="12" thickBot="1">
      <c r="A15" s="193">
        <f t="shared" si="0"/>
        <v>11</v>
      </c>
      <c r="B15" s="340" t="s">
        <v>163</v>
      </c>
      <c r="C15" s="381">
        <f>SUM(C10:C14)</f>
        <v>48275689.492054805</v>
      </c>
      <c r="D15" s="383">
        <f>SUM(D10:D14)</f>
        <v>256683.24564579822</v>
      </c>
      <c r="E15" s="382">
        <f>D15/C15</f>
        <v>0.005317029095732399</v>
      </c>
      <c r="F15" s="383">
        <f>SUM(F10:F14)</f>
        <v>1232415.0737398888</v>
      </c>
      <c r="G15" s="38"/>
      <c r="H15" s="38"/>
      <c r="I15" s="38"/>
      <c r="J15" s="38"/>
      <c r="K15" s="364"/>
      <c r="L15" s="35"/>
      <c r="M15" s="35"/>
      <c r="N15" s="35"/>
      <c r="O15" s="35"/>
    </row>
    <row r="16" spans="1:15" ht="12" thickTop="1">
      <c r="A16" s="193">
        <f t="shared" si="0"/>
        <v>12</v>
      </c>
      <c r="B16" s="206"/>
      <c r="C16" s="208"/>
      <c r="D16" s="209"/>
      <c r="E16" s="207"/>
      <c r="F16" s="208"/>
      <c r="G16" s="38"/>
      <c r="H16" s="38"/>
      <c r="I16" s="38"/>
      <c r="J16" s="38"/>
      <c r="K16" s="364"/>
      <c r="L16" s="35"/>
      <c r="M16" s="35"/>
      <c r="N16" s="35"/>
      <c r="O16" s="35"/>
    </row>
    <row r="17" spans="1:15" ht="12" thickBot="1">
      <c r="A17" s="193">
        <f t="shared" si="0"/>
        <v>13</v>
      </c>
      <c r="B17" s="357"/>
      <c r="C17" s="210"/>
      <c r="D17" s="210"/>
      <c r="E17" s="210"/>
      <c r="F17" s="210"/>
      <c r="G17" s="365"/>
      <c r="H17" s="365"/>
      <c r="I17" s="365"/>
      <c r="J17" s="365"/>
      <c r="K17" s="366"/>
      <c r="L17" s="38"/>
      <c r="M17" s="35"/>
      <c r="N17" s="35"/>
      <c r="O17" s="35"/>
    </row>
    <row r="18" spans="1:15" ht="12">
      <c r="A18" s="193">
        <f t="shared" si="0"/>
        <v>14</v>
      </c>
      <c r="B18" s="598" t="s">
        <v>97</v>
      </c>
      <c r="C18" s="599"/>
      <c r="D18" s="151"/>
      <c r="E18" s="151"/>
      <c r="F18" s="151"/>
      <c r="G18" s="151"/>
      <c r="H18" s="185"/>
      <c r="I18" s="185"/>
      <c r="J18" s="185"/>
      <c r="K18" s="148"/>
      <c r="L18" s="38" t="s">
        <v>2</v>
      </c>
      <c r="M18" s="35"/>
      <c r="N18" s="35"/>
      <c r="O18" s="35"/>
    </row>
    <row r="19" spans="1:15" ht="12">
      <c r="A19" s="193">
        <f t="shared" si="0"/>
        <v>15</v>
      </c>
      <c r="B19" s="596" t="s">
        <v>106</v>
      </c>
      <c r="C19" s="597"/>
      <c r="D19" s="38"/>
      <c r="E19" s="38"/>
      <c r="F19" s="38"/>
      <c r="G19" s="241" t="s">
        <v>265</v>
      </c>
      <c r="H19" s="241" t="s">
        <v>265</v>
      </c>
      <c r="I19" s="42"/>
      <c r="J19" s="42"/>
      <c r="K19" s="153"/>
      <c r="L19" s="38"/>
      <c r="M19" s="35"/>
      <c r="N19" s="35"/>
      <c r="O19" s="35"/>
    </row>
    <row r="20" spans="1:15" ht="12">
      <c r="A20" s="193">
        <f t="shared" si="0"/>
        <v>16</v>
      </c>
      <c r="B20" s="186"/>
      <c r="C20" s="184"/>
      <c r="D20" s="38"/>
      <c r="E20" s="38"/>
      <c r="F20" s="38"/>
      <c r="G20" s="220" t="s">
        <v>154</v>
      </c>
      <c r="H20" s="220" t="s">
        <v>155</v>
      </c>
      <c r="I20" s="42"/>
      <c r="J20" s="42"/>
      <c r="K20" s="153"/>
      <c r="L20" s="38"/>
      <c r="M20" s="35"/>
      <c r="N20" s="35"/>
      <c r="O20" s="35"/>
    </row>
    <row r="21" spans="1:15" ht="11.25">
      <c r="A21" s="193">
        <f t="shared" si="0"/>
        <v>17</v>
      </c>
      <c r="B21" s="152"/>
      <c r="C21" s="39" t="s">
        <v>48</v>
      </c>
      <c r="D21" s="39" t="s">
        <v>49</v>
      </c>
      <c r="E21" s="40" t="s">
        <v>51</v>
      </c>
      <c r="F21" s="40" t="s">
        <v>131</v>
      </c>
      <c r="G21" s="40" t="s">
        <v>153</v>
      </c>
      <c r="H21" s="40" t="s">
        <v>131</v>
      </c>
      <c r="I21" s="40" t="s">
        <v>60</v>
      </c>
      <c r="J21" s="40" t="s">
        <v>61</v>
      </c>
      <c r="K21" s="187"/>
      <c r="L21" s="38"/>
      <c r="M21" s="35"/>
      <c r="N21" s="35"/>
      <c r="O21" s="35"/>
    </row>
    <row r="22" spans="1:15" ht="11.25">
      <c r="A22" s="193">
        <v>18</v>
      </c>
      <c r="B22" s="206" t="s">
        <v>263</v>
      </c>
      <c r="C22" s="330">
        <v>41640</v>
      </c>
      <c r="D22" s="330">
        <v>42004</v>
      </c>
      <c r="E22" s="356">
        <f>D22-C22+1</f>
        <v>365</v>
      </c>
      <c r="F22" s="379">
        <v>650000000</v>
      </c>
      <c r="G22" s="261">
        <f>C13+H28</f>
        <v>759901.1260273972</v>
      </c>
      <c r="H22" s="261">
        <f>F22-G22</f>
        <v>649240098.8739727</v>
      </c>
      <c r="I22" s="391">
        <v>0.0017923188287136441</v>
      </c>
      <c r="J22" s="211">
        <f>ROUND(H22*I22*E22/360,6)</f>
        <v>1179806.993201</v>
      </c>
      <c r="K22" s="153"/>
      <c r="L22" s="38"/>
      <c r="M22" s="35"/>
      <c r="N22" s="35"/>
      <c r="O22" s="35"/>
    </row>
    <row r="23" spans="1:15" ht="12" thickBot="1">
      <c r="A23" s="193">
        <f>A22+1</f>
        <v>19</v>
      </c>
      <c r="B23" s="265" t="s">
        <v>130</v>
      </c>
      <c r="C23" s="41"/>
      <c r="D23" s="278"/>
      <c r="E23" s="333"/>
      <c r="F23" s="279"/>
      <c r="G23" s="283"/>
      <c r="H23" s="283"/>
      <c r="I23" s="280"/>
      <c r="J23" s="380">
        <f>SUM(J22:J22)</f>
        <v>1179806.993201</v>
      </c>
      <c r="K23" s="188"/>
      <c r="L23" s="38"/>
      <c r="M23" s="35"/>
      <c r="N23" s="35"/>
      <c r="O23" s="35"/>
    </row>
    <row r="24" spans="1:15" ht="12" thickTop="1">
      <c r="A24" s="193">
        <f t="shared" si="0"/>
        <v>20</v>
      </c>
      <c r="B24" s="265"/>
      <c r="C24" s="41"/>
      <c r="D24" s="278"/>
      <c r="E24" s="333"/>
      <c r="F24" s="279"/>
      <c r="G24" s="283"/>
      <c r="H24" s="283"/>
      <c r="I24" s="280"/>
      <c r="J24" s="377"/>
      <c r="K24" s="188"/>
      <c r="L24" s="38"/>
      <c r="M24" s="35"/>
      <c r="N24" s="35"/>
      <c r="O24" s="35"/>
    </row>
    <row r="25" spans="1:15" ht="11.25">
      <c r="A25" s="193">
        <f t="shared" si="0"/>
        <v>21</v>
      </c>
      <c r="B25" s="244"/>
      <c r="C25" s="41"/>
      <c r="D25" s="278"/>
      <c r="E25" s="333"/>
      <c r="F25" s="333"/>
      <c r="G25" s="278"/>
      <c r="H25" s="281"/>
      <c r="I25" s="281"/>
      <c r="J25" s="281"/>
      <c r="K25" s="188"/>
      <c r="L25" s="38"/>
      <c r="M25" s="35"/>
      <c r="N25" s="35"/>
      <c r="O25" s="35"/>
    </row>
    <row r="26" spans="1:15" ht="12">
      <c r="A26" s="193">
        <f t="shared" si="0"/>
        <v>22</v>
      </c>
      <c r="B26" s="264" t="s">
        <v>132</v>
      </c>
      <c r="C26" s="282"/>
      <c r="F26" s="40" t="s">
        <v>177</v>
      </c>
      <c r="G26" s="40" t="s">
        <v>51</v>
      </c>
      <c r="H26" s="40" t="s">
        <v>160</v>
      </c>
      <c r="I26" s="278"/>
      <c r="J26" s="281"/>
      <c r="K26" s="188"/>
      <c r="L26" s="38"/>
      <c r="M26" s="35"/>
      <c r="N26" s="35"/>
      <c r="O26" s="35"/>
    </row>
    <row r="27" spans="1:15" ht="11.25">
      <c r="A27" s="193">
        <f t="shared" si="0"/>
        <v>23</v>
      </c>
      <c r="B27" s="265" t="s">
        <v>161</v>
      </c>
      <c r="C27" s="283"/>
      <c r="F27" s="416" t="s">
        <v>181</v>
      </c>
      <c r="G27" s="417">
        <v>365</v>
      </c>
      <c r="H27" s="329">
        <v>4405024.616438356</v>
      </c>
      <c r="I27" s="391">
        <v>0.01</v>
      </c>
      <c r="J27" s="261">
        <f>(I27*H27)*(G27/360)+12.92*12</f>
        <v>44817.095138888886</v>
      </c>
      <c r="K27" s="188"/>
      <c r="L27" s="38"/>
      <c r="M27" s="35"/>
      <c r="N27" s="35"/>
      <c r="O27" s="35"/>
    </row>
    <row r="28" spans="1:15" ht="12.75" customHeight="1">
      <c r="A28" s="193">
        <f>A27+1</f>
        <v>24</v>
      </c>
      <c r="B28" s="265" t="s">
        <v>179</v>
      </c>
      <c r="C28" s="283"/>
      <c r="F28" s="416" t="s">
        <v>264</v>
      </c>
      <c r="G28" s="417">
        <v>365</v>
      </c>
      <c r="H28" s="329">
        <v>485928.52602739725</v>
      </c>
      <c r="I28" s="391">
        <v>0.015813559322033904</v>
      </c>
      <c r="J28" s="261">
        <f>(I28*H28)*(G28/360)</f>
        <v>7790.985400000003</v>
      </c>
      <c r="K28" s="153"/>
      <c r="L28" s="38"/>
      <c r="M28" s="35"/>
      <c r="N28" s="35"/>
      <c r="O28" s="35"/>
    </row>
    <row r="29" spans="1:15" ht="12.75" customHeight="1" thickBot="1">
      <c r="A29" s="193">
        <f t="shared" si="0"/>
        <v>25</v>
      </c>
      <c r="B29" s="339" t="s">
        <v>162</v>
      </c>
      <c r="C29" s="283"/>
      <c r="D29" s="283"/>
      <c r="E29" s="378"/>
      <c r="F29" s="379"/>
      <c r="G29" s="356"/>
      <c r="H29" s="42"/>
      <c r="I29" s="42"/>
      <c r="J29" s="380">
        <f>SUM(J27:J28)</f>
        <v>52608.08053888889</v>
      </c>
      <c r="K29" s="153"/>
      <c r="L29" s="38"/>
      <c r="M29" s="35"/>
      <c r="N29" s="35"/>
      <c r="O29" s="35"/>
    </row>
    <row r="30" spans="1:15" ht="12.75" customHeight="1" thickTop="1">
      <c r="A30" s="193">
        <f t="shared" si="0"/>
        <v>26</v>
      </c>
      <c r="B30" s="265"/>
      <c r="C30" s="283"/>
      <c r="D30" s="283"/>
      <c r="E30" s="283"/>
      <c r="F30" s="331"/>
      <c r="G30" s="332"/>
      <c r="H30" s="42"/>
      <c r="I30" s="42"/>
      <c r="J30" s="42"/>
      <c r="K30" s="153"/>
      <c r="L30" s="38"/>
      <c r="M30" s="35"/>
      <c r="N30" s="35"/>
      <c r="O30" s="35"/>
    </row>
    <row r="31" spans="1:11" ht="12">
      <c r="A31" s="193">
        <f t="shared" si="0"/>
        <v>27</v>
      </c>
      <c r="B31" s="186"/>
      <c r="C31" s="184"/>
      <c r="D31" s="184"/>
      <c r="E31" s="89"/>
      <c r="F31" s="89"/>
      <c r="G31" s="89"/>
      <c r="H31" s="149"/>
      <c r="I31" s="149"/>
      <c r="J31" s="149"/>
      <c r="K31" s="153"/>
    </row>
    <row r="32" spans="1:19" ht="12" thickBot="1">
      <c r="A32" s="193">
        <f t="shared" si="0"/>
        <v>28</v>
      </c>
      <c r="B32" s="127" t="s">
        <v>83</v>
      </c>
      <c r="C32" s="190"/>
      <c r="D32" s="190"/>
      <c r="E32" s="154"/>
      <c r="F32" s="154"/>
      <c r="G32" s="154"/>
      <c r="H32" s="191"/>
      <c r="I32" s="191"/>
      <c r="J32" s="191"/>
      <c r="K32" s="189"/>
      <c r="S32" s="126">
        <f>12.92*12</f>
        <v>155.04</v>
      </c>
    </row>
  </sheetData>
  <sheetProtection/>
  <mergeCells count="2">
    <mergeCell ref="B19:C19"/>
    <mergeCell ref="B18:C18"/>
  </mergeCells>
  <printOptions/>
  <pageMargins left="0.5" right="0.5" top="0.51" bottom="0.96" header="0.29" footer="0.28"/>
  <pageSetup horizontalDpi="600" verticalDpi="600" orientation="landscape" r:id="rId3"/>
  <headerFooter alignWithMargins="0">
    <oddFooter>&amp;C&amp;A&amp;R&amp;8&amp;F</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55"/>
  <sheetViews>
    <sheetView tabSelected="1" zoomScalePageLayoutView="0" workbookViewId="0" topLeftCell="A1">
      <selection activeCell="D16" sqref="D16"/>
    </sheetView>
  </sheetViews>
  <sheetFormatPr defaultColWidth="9.33203125" defaultRowHeight="11.25"/>
  <cols>
    <col min="1" max="1" width="4.83203125" style="0" customWidth="1"/>
    <col min="2" max="2" width="52.66015625" style="0" bestFit="1" customWidth="1"/>
    <col min="3" max="6" width="21.66015625" style="0" customWidth="1"/>
    <col min="7" max="7" width="15.83203125" style="0" customWidth="1"/>
    <col min="8" max="9" width="12" style="126" customWidth="1"/>
  </cols>
  <sheetData>
    <row r="1" ht="12">
      <c r="B1" s="36" t="s">
        <v>46</v>
      </c>
    </row>
    <row r="2" spans="1:2" ht="12">
      <c r="A2" s="89"/>
      <c r="B2" s="128" t="s">
        <v>105</v>
      </c>
    </row>
    <row r="3" spans="1:2" ht="12">
      <c r="A3" s="89"/>
      <c r="B3" s="582">
        <f>'Pg 1 CofCap'!B5</f>
        <v>42004</v>
      </c>
    </row>
    <row r="4" spans="1:7" ht="12">
      <c r="A4" s="38"/>
      <c r="B4" s="36"/>
      <c r="C4" s="392"/>
      <c r="D4" s="392"/>
      <c r="E4" s="392"/>
      <c r="F4" s="392"/>
      <c r="G4" s="392"/>
    </row>
    <row r="5" spans="1:7" ht="12">
      <c r="A5" s="393" t="s">
        <v>5</v>
      </c>
      <c r="B5" s="393" t="s">
        <v>27</v>
      </c>
      <c r="C5" s="393" t="s">
        <v>52</v>
      </c>
      <c r="D5" s="393" t="s">
        <v>64</v>
      </c>
      <c r="E5" s="393" t="s">
        <v>64</v>
      </c>
      <c r="F5" s="393" t="s">
        <v>65</v>
      </c>
      <c r="G5" s="393" t="s">
        <v>66</v>
      </c>
    </row>
    <row r="6" spans="1:7" ht="11.25" customHeight="1">
      <c r="A6" s="392"/>
      <c r="B6" s="394"/>
      <c r="C6" s="394"/>
      <c r="D6" s="394"/>
      <c r="E6" s="394"/>
      <c r="F6" s="394"/>
      <c r="G6" s="394"/>
    </row>
    <row r="7" spans="1:6" ht="11.25" customHeight="1">
      <c r="A7" s="193"/>
      <c r="B7" s="163"/>
      <c r="C7" s="344"/>
      <c r="D7" s="344"/>
      <c r="E7" s="344"/>
      <c r="F7" s="344"/>
    </row>
    <row r="8" spans="1:7" ht="11.25" customHeight="1">
      <c r="A8" s="193">
        <v>1</v>
      </c>
      <c r="B8" s="395" t="s">
        <v>9</v>
      </c>
      <c r="C8" s="396" t="s">
        <v>166</v>
      </c>
      <c r="D8" s="396" t="s">
        <v>166</v>
      </c>
      <c r="E8" s="396" t="s">
        <v>266</v>
      </c>
      <c r="F8" s="396" t="s">
        <v>266</v>
      </c>
      <c r="G8" s="392"/>
    </row>
    <row r="9" spans="1:7" ht="11.25" customHeight="1">
      <c r="A9" s="193">
        <f>A8+1</f>
        <v>2</v>
      </c>
      <c r="B9" s="395"/>
      <c r="C9" s="397" t="s">
        <v>167</v>
      </c>
      <c r="D9" s="397" t="s">
        <v>297</v>
      </c>
      <c r="E9" s="397" t="s">
        <v>267</v>
      </c>
      <c r="F9" s="397" t="s">
        <v>299</v>
      </c>
      <c r="G9" s="398" t="s">
        <v>168</v>
      </c>
    </row>
    <row r="10" spans="1:7" ht="11.25" customHeight="1">
      <c r="A10" s="193">
        <f aca="true" t="shared" si="0" ref="A10:A31">A9+1</f>
        <v>3</v>
      </c>
      <c r="B10" s="128" t="s">
        <v>148</v>
      </c>
      <c r="C10" s="399" t="s">
        <v>298</v>
      </c>
      <c r="D10" s="399">
        <v>18900423</v>
      </c>
      <c r="E10" s="399">
        <v>18100673</v>
      </c>
      <c r="F10" s="399">
        <v>18900443</v>
      </c>
      <c r="G10" s="399" t="s">
        <v>169</v>
      </c>
    </row>
    <row r="11" spans="1:7" ht="11.25" customHeight="1">
      <c r="A11" s="193">
        <f t="shared" si="0"/>
        <v>4</v>
      </c>
      <c r="B11" s="128"/>
      <c r="C11" s="400"/>
      <c r="D11" s="400"/>
      <c r="E11" s="392"/>
      <c r="F11" s="392"/>
      <c r="G11" s="392"/>
    </row>
    <row r="12" spans="1:7" ht="11.25">
      <c r="A12" s="193">
        <f t="shared" si="0"/>
        <v>5</v>
      </c>
      <c r="B12" s="401" t="s">
        <v>62</v>
      </c>
      <c r="C12" s="392"/>
      <c r="D12" s="392"/>
      <c r="E12" s="392"/>
      <c r="F12" s="392"/>
      <c r="G12" s="402"/>
    </row>
    <row r="13" spans="1:7" ht="11.25">
      <c r="A13" s="193">
        <f t="shared" si="0"/>
        <v>6</v>
      </c>
      <c r="B13" s="35" t="s">
        <v>301</v>
      </c>
      <c r="C13" s="329">
        <f>258483.07+1094831.27</f>
        <v>1353314.34</v>
      </c>
      <c r="D13" s="329">
        <v>1353341.67</v>
      </c>
      <c r="E13" s="329">
        <v>1991728.74</v>
      </c>
      <c r="F13" s="329">
        <v>0</v>
      </c>
      <c r="G13" s="404"/>
    </row>
    <row r="14" spans="1:7" ht="11.25">
      <c r="A14" s="193">
        <f t="shared" si="0"/>
        <v>7</v>
      </c>
      <c r="B14" s="35"/>
      <c r="C14" s="405"/>
      <c r="D14" s="405"/>
      <c r="E14" s="405"/>
      <c r="F14" s="405"/>
      <c r="G14" s="404"/>
    </row>
    <row r="15" spans="1:7" ht="11.25">
      <c r="A15" s="193">
        <f t="shared" si="0"/>
        <v>8</v>
      </c>
      <c r="B15" s="415">
        <v>41640</v>
      </c>
      <c r="C15" s="405">
        <f aca="true" t="shared" si="1" ref="C15:C25">-22343.5-5275.16</f>
        <v>-27618.66</v>
      </c>
      <c r="D15" s="405">
        <v>-27619.22</v>
      </c>
      <c r="E15" s="405">
        <v>-40643</v>
      </c>
      <c r="F15" s="405"/>
      <c r="G15" s="404"/>
    </row>
    <row r="16" spans="1:7" ht="11.25">
      <c r="A16" s="193">
        <f t="shared" si="0"/>
        <v>9</v>
      </c>
      <c r="B16" s="415">
        <v>41671</v>
      </c>
      <c r="C16" s="405">
        <f t="shared" si="1"/>
        <v>-27618.66</v>
      </c>
      <c r="D16" s="405">
        <v>-27619.22</v>
      </c>
      <c r="E16" s="405">
        <v>-40869.28</v>
      </c>
      <c r="F16" s="405"/>
      <c r="G16" s="404"/>
    </row>
    <row r="17" spans="1:7" ht="11.25">
      <c r="A17" s="193">
        <f t="shared" si="0"/>
        <v>10</v>
      </c>
      <c r="B17" s="415">
        <v>41699</v>
      </c>
      <c r="C17" s="405">
        <f t="shared" si="1"/>
        <v>-27618.66</v>
      </c>
      <c r="D17" s="405">
        <v>-27619.22</v>
      </c>
      <c r="E17" s="405">
        <v>-40653.23</v>
      </c>
      <c r="F17" s="405"/>
      <c r="G17" s="404"/>
    </row>
    <row r="18" spans="1:7" ht="11.25">
      <c r="A18" s="193">
        <f t="shared" si="0"/>
        <v>11</v>
      </c>
      <c r="B18" s="415">
        <v>41730</v>
      </c>
      <c r="C18" s="405">
        <f t="shared" si="1"/>
        <v>-27618.66</v>
      </c>
      <c r="D18" s="405">
        <v>-27619.22</v>
      </c>
      <c r="E18" s="405">
        <f>-40653.23-19515.87+20326.62</f>
        <v>-39842.48000000001</v>
      </c>
      <c r="F18" s="405">
        <v>-1507.53</v>
      </c>
      <c r="G18" s="404"/>
    </row>
    <row r="19" spans="1:8" ht="11.25">
      <c r="A19" s="193">
        <f t="shared" si="0"/>
        <v>12</v>
      </c>
      <c r="B19" s="415">
        <v>41760</v>
      </c>
      <c r="C19" s="405">
        <f t="shared" si="1"/>
        <v>-27618.66</v>
      </c>
      <c r="D19" s="405">
        <v>-27619.22</v>
      </c>
      <c r="E19" s="405">
        <v>-37556.67</v>
      </c>
      <c r="F19" s="405"/>
      <c r="G19" s="403"/>
      <c r="H19" s="374"/>
    </row>
    <row r="20" spans="1:7" ht="11.25">
      <c r="A20" s="193">
        <f t="shared" si="0"/>
        <v>13</v>
      </c>
      <c r="B20" s="415">
        <v>41791</v>
      </c>
      <c r="C20" s="405">
        <f t="shared" si="1"/>
        <v>-27618.66</v>
      </c>
      <c r="D20" s="405">
        <v>-27619.22</v>
      </c>
      <c r="E20" s="405">
        <v>-40723.6</v>
      </c>
      <c r="F20" s="405"/>
      <c r="G20" s="404"/>
    </row>
    <row r="21" spans="1:7" ht="11.25">
      <c r="A21" s="193">
        <f t="shared" si="0"/>
        <v>14</v>
      </c>
      <c r="B21" s="415">
        <v>41821</v>
      </c>
      <c r="C21" s="405">
        <f t="shared" si="1"/>
        <v>-27618.66</v>
      </c>
      <c r="D21" s="405">
        <v>-27619.22</v>
      </c>
      <c r="E21" s="405">
        <v>-39008.64</v>
      </c>
      <c r="F21" s="405">
        <v>-6934.65</v>
      </c>
      <c r="G21" s="404"/>
    </row>
    <row r="22" spans="1:7" ht="11.25">
      <c r="A22" s="193">
        <f t="shared" si="0"/>
        <v>15</v>
      </c>
      <c r="B22" s="415">
        <v>41852</v>
      </c>
      <c r="C22" s="405">
        <f t="shared" si="1"/>
        <v>-27618.66</v>
      </c>
      <c r="D22" s="405">
        <v>-27619.22</v>
      </c>
      <c r="E22" s="405">
        <v>-36989.14</v>
      </c>
      <c r="F22" s="405">
        <v>-2285.1</v>
      </c>
      <c r="G22" s="404"/>
    </row>
    <row r="23" spans="1:7" ht="11.25">
      <c r="A23" s="193">
        <f t="shared" si="0"/>
        <v>16</v>
      </c>
      <c r="B23" s="415">
        <v>41883</v>
      </c>
      <c r="C23" s="405">
        <f t="shared" si="1"/>
        <v>-27618.66</v>
      </c>
      <c r="D23" s="405">
        <v>-27619.22</v>
      </c>
      <c r="E23" s="405">
        <v>-36989.14</v>
      </c>
      <c r="F23" s="405">
        <v>-2285.1</v>
      </c>
      <c r="G23" s="404"/>
    </row>
    <row r="24" spans="1:7" ht="11.25">
      <c r="A24" s="193">
        <f t="shared" si="0"/>
        <v>17</v>
      </c>
      <c r="B24" s="415">
        <v>41926</v>
      </c>
      <c r="C24" s="405">
        <f t="shared" si="1"/>
        <v>-27618.66</v>
      </c>
      <c r="D24" s="405">
        <v>-27619.22</v>
      </c>
      <c r="E24" s="405">
        <v>-36989.14</v>
      </c>
      <c r="F24" s="405">
        <v>-2285.1</v>
      </c>
      <c r="G24" s="404"/>
    </row>
    <row r="25" spans="1:7" ht="11.25">
      <c r="A25" s="193">
        <v>18</v>
      </c>
      <c r="B25" s="415">
        <v>41944</v>
      </c>
      <c r="C25" s="405">
        <f t="shared" si="1"/>
        <v>-27618.66</v>
      </c>
      <c r="D25" s="405">
        <v>-27619.22</v>
      </c>
      <c r="E25" s="405">
        <v>-36989.14</v>
      </c>
      <c r="F25" s="405">
        <v>-2285.1</v>
      </c>
      <c r="G25" s="404"/>
    </row>
    <row r="26" spans="1:7" ht="12" thickBot="1">
      <c r="A26" s="193">
        <v>19</v>
      </c>
      <c r="B26" s="415">
        <v>41974</v>
      </c>
      <c r="C26" s="405">
        <v>-27618.66</v>
      </c>
      <c r="D26" s="405">
        <v>-27619.22</v>
      </c>
      <c r="E26" s="405">
        <v>-36989.14</v>
      </c>
      <c r="F26" s="405">
        <v>-2285.1</v>
      </c>
      <c r="G26" s="404"/>
    </row>
    <row r="27" spans="1:7" ht="12" thickBot="1">
      <c r="A27" s="193">
        <f>A26+1</f>
        <v>20</v>
      </c>
      <c r="B27" s="406" t="s">
        <v>174</v>
      </c>
      <c r="C27" s="412">
        <f>SUM(C15:C26)</f>
        <v>-331423.9199999999</v>
      </c>
      <c r="D27" s="412">
        <f>SUM(D15:D26)</f>
        <v>-331430.64</v>
      </c>
      <c r="E27" s="412">
        <f>SUM(E15:E26)</f>
        <v>-464242.6000000001</v>
      </c>
      <c r="F27" s="412">
        <f>SUM(F15:F26)</f>
        <v>-19867.68</v>
      </c>
      <c r="G27" s="413">
        <f>SUM(C27:F27)</f>
        <v>-1146964.84</v>
      </c>
    </row>
    <row r="28" spans="1:7" ht="11.25">
      <c r="A28" s="193">
        <f t="shared" si="0"/>
        <v>21</v>
      </c>
      <c r="B28" s="401"/>
      <c r="C28" s="407"/>
      <c r="D28" s="407"/>
      <c r="E28" s="407"/>
      <c r="F28" s="407"/>
      <c r="G28" s="402"/>
    </row>
    <row r="29" spans="1:7" ht="11.25">
      <c r="A29" s="193">
        <f t="shared" si="0"/>
        <v>22</v>
      </c>
      <c r="B29" s="408" t="s">
        <v>164</v>
      </c>
      <c r="C29" s="405"/>
      <c r="D29" s="405"/>
      <c r="E29" s="405">
        <f>529498.77+5142.92</f>
        <v>534641.6900000001</v>
      </c>
      <c r="F29" s="405">
        <v>138692.75</v>
      </c>
      <c r="G29" s="404"/>
    </row>
    <row r="30" spans="1:7" ht="11.25">
      <c r="A30" s="193">
        <f t="shared" si="0"/>
        <v>23</v>
      </c>
      <c r="B30" s="409" t="s">
        <v>165</v>
      </c>
      <c r="C30" s="405"/>
      <c r="D30" s="405"/>
      <c r="E30" s="405">
        <v>-138692.75</v>
      </c>
      <c r="F30" s="405"/>
      <c r="G30" s="404"/>
    </row>
    <row r="31" spans="1:7" ht="12" thickBot="1">
      <c r="A31" s="193">
        <f t="shared" si="0"/>
        <v>24</v>
      </c>
      <c r="B31" s="207" t="s">
        <v>63</v>
      </c>
      <c r="C31" s="584">
        <f>C13+C27+C29+C30</f>
        <v>1021890.4200000002</v>
      </c>
      <c r="D31" s="414">
        <f>D13+D27+D29+D30</f>
        <v>1021911.0299999999</v>
      </c>
      <c r="E31" s="414">
        <f>E13+E27+E29+E30</f>
        <v>1923435.08</v>
      </c>
      <c r="F31" s="414">
        <f>F13+F27+F29+F30</f>
        <v>118825.07</v>
      </c>
      <c r="G31" s="404"/>
    </row>
    <row r="32" spans="1:7" ht="12" thickTop="1">
      <c r="A32" s="193"/>
      <c r="B32" s="410"/>
      <c r="C32" s="392"/>
      <c r="D32" s="392"/>
      <c r="E32" s="392"/>
      <c r="F32" s="392"/>
      <c r="G32" s="392"/>
    </row>
    <row r="33" spans="1:7" ht="11.25">
      <c r="A33" s="193"/>
      <c r="B33" s="392"/>
      <c r="C33" s="403"/>
      <c r="D33" s="403"/>
      <c r="E33" s="403"/>
      <c r="F33" s="403"/>
      <c r="G33" s="35"/>
    </row>
    <row r="34" spans="1:7" ht="11.25">
      <c r="A34" s="193"/>
      <c r="B34" s="35"/>
      <c r="C34" s="411"/>
      <c r="D34" s="411"/>
      <c r="E34" s="411"/>
      <c r="F34" s="411"/>
      <c r="G34" s="35"/>
    </row>
    <row r="35" spans="1:7" ht="11.25">
      <c r="A35" s="193"/>
      <c r="B35" s="35"/>
      <c r="C35" s="35"/>
      <c r="D35" s="35"/>
      <c r="E35" s="35"/>
      <c r="F35" s="35"/>
      <c r="G35" s="35"/>
    </row>
    <row r="36" ht="9.75">
      <c r="A36" s="193"/>
    </row>
    <row r="37" ht="9.75">
      <c r="A37" s="193"/>
    </row>
    <row r="38" spans="1:2" ht="9.75">
      <c r="A38" s="193"/>
      <c r="B38" s="222"/>
    </row>
    <row r="39" ht="9.75">
      <c r="A39" s="193"/>
    </row>
    <row r="40" ht="9.75">
      <c r="A40" s="193"/>
    </row>
    <row r="41" ht="9.75">
      <c r="A41" s="193"/>
    </row>
    <row r="42" ht="9.75">
      <c r="A42" s="193"/>
    </row>
    <row r="43" spans="1:2" ht="9.75">
      <c r="A43" s="193"/>
      <c r="B43" s="161"/>
    </row>
    <row r="44" ht="9.75">
      <c r="A44" s="193"/>
    </row>
    <row r="45" ht="9.75">
      <c r="A45" s="193"/>
    </row>
    <row r="46" spans="1:2" ht="9.75">
      <c r="A46" s="193"/>
      <c r="B46" s="224"/>
    </row>
    <row r="47" ht="9.75">
      <c r="A47" s="193"/>
    </row>
    <row r="48" ht="9.75">
      <c r="A48" s="193"/>
    </row>
    <row r="49" ht="9.75">
      <c r="A49" s="193"/>
    </row>
    <row r="50" ht="9.75">
      <c r="A50" s="193"/>
    </row>
    <row r="51" ht="9.75">
      <c r="A51" s="193"/>
    </row>
    <row r="52" ht="9.75">
      <c r="A52" s="193"/>
    </row>
    <row r="53" spans="1:2" ht="9.75">
      <c r="A53" s="193"/>
      <c r="B53" s="162"/>
    </row>
    <row r="54" spans="1:2" ht="9.75">
      <c r="A54" s="193"/>
      <c r="B54" s="162"/>
    </row>
    <row r="55" spans="1:2" ht="9.75">
      <c r="A55" s="193"/>
      <c r="B55" s="224"/>
    </row>
  </sheetData>
  <sheetProtection/>
  <printOptions/>
  <pageMargins left="0.79" right="0.67" top="0.44" bottom="0.44" header="0.23" footer="0.17"/>
  <pageSetup fitToHeight="1" fitToWidth="1" horizontalDpi="600" verticalDpi="600" orientation="landscape" scale="96"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D59"/>
  <sheetViews>
    <sheetView tabSelected="1" zoomScalePageLayoutView="0" workbookViewId="0" topLeftCell="A1">
      <pane xSplit="5" ySplit="5" topLeftCell="F12" activePane="bottomRight" state="frozen"/>
      <selection pane="topLeft" activeCell="D16" sqref="D16"/>
      <selection pane="topRight" activeCell="D16" sqref="D16"/>
      <selection pane="bottomLeft" activeCell="D16" sqref="D16"/>
      <selection pane="bottomRight" activeCell="D16" sqref="D16"/>
    </sheetView>
  </sheetViews>
  <sheetFormatPr defaultColWidth="8.83203125" defaultRowHeight="11.25" outlineLevelCol="1"/>
  <cols>
    <col min="1" max="1" width="5.66015625" style="25" bestFit="1" customWidth="1"/>
    <col min="2" max="2" width="7" style="23" customWidth="1"/>
    <col min="3" max="3" width="8.33203125" style="23" customWidth="1"/>
    <col min="4" max="5" width="7.16015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015625" style="23" customWidth="1"/>
    <col min="15" max="15" width="9.83203125" style="23" customWidth="1"/>
    <col min="16" max="16" width="9.16015625" style="23" customWidth="1"/>
    <col min="17" max="17" width="9.83203125" style="23" customWidth="1"/>
    <col min="18" max="22" width="8.83203125" style="23" customWidth="1"/>
    <col min="23" max="24" width="6" style="23" customWidth="1"/>
    <col min="25" max="25" width="8.83203125" style="23" customWidth="1" outlineLevel="1"/>
    <col min="26" max="26" width="10.83203125" style="23" bestFit="1" customWidth="1" outlineLevel="1"/>
    <col min="27" max="27" width="8.83203125" style="23" customWidth="1" outlineLevel="1"/>
    <col min="28" max="16384" width="8.83203125" style="23" customWidth="1"/>
  </cols>
  <sheetData>
    <row r="1" spans="1:9" ht="12.75" customHeight="1">
      <c r="A1" s="234" t="s">
        <v>96</v>
      </c>
      <c r="B1" s="156"/>
      <c r="C1" s="156"/>
      <c r="D1" s="155"/>
      <c r="E1" s="157"/>
      <c r="F1" s="155"/>
      <c r="G1" s="156"/>
      <c r="H1" s="156"/>
      <c r="I1" s="156"/>
    </row>
    <row r="2" spans="1:22" s="57" customFormat="1" ht="12.75" customHeight="1">
      <c r="A2" s="268">
        <f>'Pg 1 CofCap'!B5</f>
        <v>42004</v>
      </c>
      <c r="B2" s="158"/>
      <c r="C2" s="158"/>
      <c r="D2" s="158"/>
      <c r="E2" s="159"/>
      <c r="F2" s="158"/>
      <c r="G2" s="160"/>
      <c r="H2" s="159"/>
      <c r="I2" s="158"/>
      <c r="J2" s="199"/>
      <c r="K2" s="199"/>
      <c r="L2" s="199"/>
      <c r="M2" s="199"/>
      <c r="N2" s="199"/>
      <c r="O2" s="199"/>
      <c r="P2" s="199"/>
      <c r="Q2" s="199"/>
      <c r="R2" s="199"/>
      <c r="S2" s="199"/>
      <c r="T2" s="199"/>
      <c r="U2" s="199"/>
      <c r="V2" s="199"/>
    </row>
    <row r="3" spans="1:22" s="57" customFormat="1" ht="12.75" customHeight="1">
      <c r="A3" s="268"/>
      <c r="B3" s="158"/>
      <c r="C3" s="158"/>
      <c r="D3" s="158"/>
      <c r="E3" s="159"/>
      <c r="F3" s="158"/>
      <c r="G3" s="160"/>
      <c r="H3" s="159"/>
      <c r="I3" s="158"/>
      <c r="J3" s="199"/>
      <c r="K3" s="199"/>
      <c r="L3" s="199"/>
      <c r="M3" s="199"/>
      <c r="N3" s="199"/>
      <c r="O3" s="199"/>
      <c r="P3" s="199"/>
      <c r="Q3" s="199"/>
      <c r="R3" s="199"/>
      <c r="S3" s="199"/>
      <c r="T3" s="199"/>
      <c r="U3" s="199"/>
      <c r="V3" s="199"/>
    </row>
    <row r="4" spans="1:27" ht="10.5" customHeight="1">
      <c r="A4" s="180" t="s">
        <v>5</v>
      </c>
      <c r="B4" s="180" t="s">
        <v>27</v>
      </c>
      <c r="C4" s="180" t="s">
        <v>52</v>
      </c>
      <c r="D4" s="180" t="s">
        <v>64</v>
      </c>
      <c r="E4" s="180" t="s">
        <v>65</v>
      </c>
      <c r="F4" s="180" t="s">
        <v>66</v>
      </c>
      <c r="G4" s="180" t="s">
        <v>67</v>
      </c>
      <c r="H4" s="180" t="s">
        <v>68</v>
      </c>
      <c r="I4" s="180" t="s">
        <v>69</v>
      </c>
      <c r="J4" s="180" t="s">
        <v>71</v>
      </c>
      <c r="K4" s="180" t="s">
        <v>72</v>
      </c>
      <c r="L4" s="180" t="s">
        <v>73</v>
      </c>
      <c r="M4" s="180" t="s">
        <v>74</v>
      </c>
      <c r="N4" s="180" t="s">
        <v>75</v>
      </c>
      <c r="O4" s="180" t="s">
        <v>76</v>
      </c>
      <c r="P4" s="180" t="s">
        <v>87</v>
      </c>
      <c r="Q4" s="180" t="s">
        <v>88</v>
      </c>
      <c r="R4" s="180" t="s">
        <v>89</v>
      </c>
      <c r="S4" s="180" t="s">
        <v>90</v>
      </c>
      <c r="T4" s="180" t="s">
        <v>91</v>
      </c>
      <c r="U4" s="180" t="s">
        <v>92</v>
      </c>
      <c r="V4" s="180" t="s">
        <v>170</v>
      </c>
      <c r="Y4" s="588"/>
      <c r="Z4" s="589"/>
      <c r="AA4" s="589"/>
    </row>
    <row r="5" spans="1:27" ht="30.75">
      <c r="A5" s="369">
        <v>1</v>
      </c>
      <c r="B5" s="370" t="s">
        <v>127</v>
      </c>
      <c r="C5" s="370" t="s">
        <v>100</v>
      </c>
      <c r="D5" s="370" t="s">
        <v>57</v>
      </c>
      <c r="E5" s="370" t="s">
        <v>104</v>
      </c>
      <c r="F5" s="370" t="s">
        <v>117</v>
      </c>
      <c r="G5" s="370" t="s">
        <v>84</v>
      </c>
      <c r="H5" s="370" t="s">
        <v>94</v>
      </c>
      <c r="I5" s="370" t="s">
        <v>80</v>
      </c>
      <c r="J5" s="371">
        <f>'Pg 2 CapStructure'!C6</f>
        <v>41639</v>
      </c>
      <c r="K5" s="371">
        <f>'Pg 2 CapStructure'!D6</f>
        <v>41670</v>
      </c>
      <c r="L5" s="371">
        <f>'Pg 2 CapStructure'!E6</f>
        <v>41698</v>
      </c>
      <c r="M5" s="371">
        <f>'Pg 2 CapStructure'!F6</f>
        <v>41729</v>
      </c>
      <c r="N5" s="371">
        <f>'Pg 2 CapStructure'!G6</f>
        <v>41759</v>
      </c>
      <c r="O5" s="371">
        <f>'Pg 2 CapStructure'!H6</f>
        <v>41790</v>
      </c>
      <c r="P5" s="371">
        <f>'Pg 2 CapStructure'!I6</f>
        <v>41820</v>
      </c>
      <c r="Q5" s="371">
        <f>'Pg 2 CapStructure'!J6</f>
        <v>41851</v>
      </c>
      <c r="R5" s="371">
        <f>'Pg 2 CapStructure'!K6</f>
        <v>41882</v>
      </c>
      <c r="S5" s="371">
        <f>'Pg 2 CapStructure'!L6</f>
        <v>41912</v>
      </c>
      <c r="T5" s="371">
        <f>'Pg 2 CapStructure'!M6</f>
        <v>41943</v>
      </c>
      <c r="U5" s="371">
        <f>'Pg 2 CapStructure'!N6</f>
        <v>41973</v>
      </c>
      <c r="V5" s="371">
        <f>'Pg 2 CapStructure'!O6</f>
        <v>41974</v>
      </c>
      <c r="Y5" s="370"/>
      <c r="Z5" s="370"/>
      <c r="AA5" s="589"/>
    </row>
    <row r="6" spans="1:27" ht="12.75">
      <c r="A6" s="134">
        <v>2</v>
      </c>
      <c r="B6" s="138" t="s">
        <v>23</v>
      </c>
      <c r="C6" s="284">
        <v>0.0735</v>
      </c>
      <c r="D6" s="285">
        <v>34953</v>
      </c>
      <c r="E6" s="285">
        <v>42258</v>
      </c>
      <c r="F6" s="273">
        <f aca="true" t="shared" si="0" ref="F6:F21">ROUND(((+J6+V6)+(SUM(K6:U6)*2))/24,0)</f>
        <v>10000000</v>
      </c>
      <c r="G6" s="286">
        <v>98.84387199999999</v>
      </c>
      <c r="H6" s="183">
        <f aca="true" t="shared" si="1" ref="H6:H14">ROUND(YIELD(D6,E6,C6,G6,100,2,2),4)</f>
        <v>0.0746</v>
      </c>
      <c r="I6" s="273">
        <f aca="true" t="shared" si="2" ref="I6:I14">ROUND(+H6*F6,0)</f>
        <v>746000</v>
      </c>
      <c r="J6" s="273">
        <v>10000000</v>
      </c>
      <c r="K6" s="273">
        <v>10000000</v>
      </c>
      <c r="L6" s="273">
        <v>10000000</v>
      </c>
      <c r="M6" s="273">
        <v>10000000</v>
      </c>
      <c r="N6" s="273">
        <v>10000000</v>
      </c>
      <c r="O6" s="273">
        <v>10000000</v>
      </c>
      <c r="P6" s="273">
        <v>10000000</v>
      </c>
      <c r="Q6" s="273">
        <v>10000000</v>
      </c>
      <c r="R6" s="273">
        <v>10000000</v>
      </c>
      <c r="S6" s="273">
        <v>10000000</v>
      </c>
      <c r="T6" s="273">
        <v>10000000</v>
      </c>
      <c r="U6" s="273">
        <v>10000000</v>
      </c>
      <c r="V6" s="273">
        <v>10000000</v>
      </c>
      <c r="Y6" s="277"/>
      <c r="Z6" s="589"/>
      <c r="AA6" s="589"/>
    </row>
    <row r="7" spans="1:27" s="27" customFormat="1" ht="12.75">
      <c r="A7" s="134">
        <f>A6+1</f>
        <v>3</v>
      </c>
      <c r="B7" s="138" t="s">
        <v>23</v>
      </c>
      <c r="C7" s="284">
        <v>0.0736</v>
      </c>
      <c r="D7" s="285">
        <v>34953</v>
      </c>
      <c r="E7" s="285">
        <v>42262</v>
      </c>
      <c r="F7" s="273">
        <f t="shared" si="0"/>
        <v>2000000</v>
      </c>
      <c r="G7" s="286">
        <v>98.84392</v>
      </c>
      <c r="H7" s="183">
        <f t="shared" si="1"/>
        <v>0.0747</v>
      </c>
      <c r="I7" s="273">
        <f t="shared" si="2"/>
        <v>149400</v>
      </c>
      <c r="J7" s="273">
        <v>2000000</v>
      </c>
      <c r="K7" s="273">
        <v>2000000</v>
      </c>
      <c r="L7" s="273">
        <v>2000000</v>
      </c>
      <c r="M7" s="273">
        <v>2000000</v>
      </c>
      <c r="N7" s="273">
        <v>2000000</v>
      </c>
      <c r="O7" s="273">
        <v>2000000</v>
      </c>
      <c r="P7" s="273">
        <v>2000000</v>
      </c>
      <c r="Q7" s="273">
        <v>2000000</v>
      </c>
      <c r="R7" s="273">
        <v>2000000</v>
      </c>
      <c r="S7" s="273">
        <v>2000000</v>
      </c>
      <c r="T7" s="273">
        <v>2000000</v>
      </c>
      <c r="U7" s="273">
        <v>2000000</v>
      </c>
      <c r="V7" s="273">
        <v>2000000</v>
      </c>
      <c r="Y7" s="277"/>
      <c r="Z7" s="589"/>
      <c r="AA7" s="590"/>
    </row>
    <row r="8" spans="1:27" s="27" customFormat="1" ht="12.75">
      <c r="A8" s="134">
        <f>A7+1</f>
        <v>4</v>
      </c>
      <c r="B8" s="138" t="s">
        <v>95</v>
      </c>
      <c r="C8" s="284">
        <v>0.05197</v>
      </c>
      <c r="D8" s="285">
        <v>38637</v>
      </c>
      <c r="E8" s="285">
        <v>42278</v>
      </c>
      <c r="F8" s="273">
        <f>ROUND(((+J8+V8)+(SUM(K8:U8)*2))/24,0)</f>
        <v>150000000</v>
      </c>
      <c r="G8" s="286">
        <v>99.19303999333334</v>
      </c>
      <c r="H8" s="183">
        <f t="shared" si="1"/>
        <v>0.053</v>
      </c>
      <c r="I8" s="273">
        <f>ROUND(+H8*F8,0)</f>
        <v>7950000</v>
      </c>
      <c r="J8" s="273">
        <v>150000000</v>
      </c>
      <c r="K8" s="273">
        <v>150000000</v>
      </c>
      <c r="L8" s="273">
        <v>150000000</v>
      </c>
      <c r="M8" s="273">
        <v>150000000</v>
      </c>
      <c r="N8" s="273">
        <v>150000000</v>
      </c>
      <c r="O8" s="273">
        <v>150000000</v>
      </c>
      <c r="P8" s="273">
        <v>150000000</v>
      </c>
      <c r="Q8" s="273">
        <v>150000000</v>
      </c>
      <c r="R8" s="273">
        <v>150000000</v>
      </c>
      <c r="S8" s="273">
        <v>150000000</v>
      </c>
      <c r="T8" s="273">
        <v>150000000</v>
      </c>
      <c r="U8" s="273">
        <v>150000000</v>
      </c>
      <c r="V8" s="273">
        <v>150000000</v>
      </c>
      <c r="Y8" s="277"/>
      <c r="Z8" s="589"/>
      <c r="AA8" s="590"/>
    </row>
    <row r="9" spans="1:27" s="27" customFormat="1" ht="12.75">
      <c r="A9" s="134">
        <f aca="true" t="shared" si="3" ref="A9:A33">A8+1</f>
        <v>5</v>
      </c>
      <c r="B9" s="138" t="s">
        <v>95</v>
      </c>
      <c r="C9" s="284">
        <v>0.0675</v>
      </c>
      <c r="D9" s="285">
        <v>39836</v>
      </c>
      <c r="E9" s="285">
        <v>42384</v>
      </c>
      <c r="F9" s="273">
        <f>ROUND(((+J9+V9)+(SUM(K9:U9)*2))/24,0)</f>
        <v>250000000</v>
      </c>
      <c r="G9" s="286">
        <v>99.2399</v>
      </c>
      <c r="H9" s="183">
        <f t="shared" si="1"/>
        <v>0.0689</v>
      </c>
      <c r="I9" s="273">
        <f>ROUND(+H9*F9,0)</f>
        <v>17225000</v>
      </c>
      <c r="J9" s="273">
        <v>250000000</v>
      </c>
      <c r="K9" s="273">
        <v>250000000</v>
      </c>
      <c r="L9" s="273">
        <v>250000000</v>
      </c>
      <c r="M9" s="273">
        <v>250000000</v>
      </c>
      <c r="N9" s="273">
        <v>250000000</v>
      </c>
      <c r="O9" s="273">
        <v>250000000</v>
      </c>
      <c r="P9" s="273">
        <v>250000000</v>
      </c>
      <c r="Q9" s="273">
        <v>250000000</v>
      </c>
      <c r="R9" s="273">
        <v>250000000</v>
      </c>
      <c r="S9" s="273">
        <v>250000000</v>
      </c>
      <c r="T9" s="273">
        <v>250000000</v>
      </c>
      <c r="U9" s="273">
        <v>250000000</v>
      </c>
      <c r="V9" s="273">
        <v>250000000</v>
      </c>
      <c r="Y9" s="277"/>
      <c r="Z9" s="589"/>
      <c r="AA9" s="590"/>
    </row>
    <row r="10" spans="1:27" s="27" customFormat="1" ht="12.75">
      <c r="A10" s="134">
        <f t="shared" si="3"/>
        <v>6</v>
      </c>
      <c r="B10" s="138" t="s">
        <v>21</v>
      </c>
      <c r="C10" s="284">
        <v>0.0674</v>
      </c>
      <c r="D10" s="285">
        <v>35961</v>
      </c>
      <c r="E10" s="285">
        <v>43266</v>
      </c>
      <c r="F10" s="273">
        <f t="shared" si="0"/>
        <v>200000000</v>
      </c>
      <c r="G10" s="286">
        <v>98.98509159000001</v>
      </c>
      <c r="H10" s="183">
        <f t="shared" si="1"/>
        <v>0.0683</v>
      </c>
      <c r="I10" s="273">
        <f t="shared" si="2"/>
        <v>13660000</v>
      </c>
      <c r="J10" s="273">
        <v>200000000</v>
      </c>
      <c r="K10" s="273">
        <v>200000000</v>
      </c>
      <c r="L10" s="273">
        <v>200000000</v>
      </c>
      <c r="M10" s="273">
        <v>200000000</v>
      </c>
      <c r="N10" s="273">
        <v>200000000</v>
      </c>
      <c r="O10" s="273">
        <v>200000000</v>
      </c>
      <c r="P10" s="273">
        <v>200000000</v>
      </c>
      <c r="Q10" s="273">
        <v>200000000</v>
      </c>
      <c r="R10" s="273">
        <v>200000000</v>
      </c>
      <c r="S10" s="273">
        <v>200000000</v>
      </c>
      <c r="T10" s="273">
        <v>200000000</v>
      </c>
      <c r="U10" s="273">
        <v>200000000</v>
      </c>
      <c r="V10" s="273">
        <v>200000000</v>
      </c>
      <c r="Y10" s="277"/>
      <c r="Z10" s="590"/>
      <c r="AA10" s="590"/>
    </row>
    <row r="11" spans="1:27" s="28" customFormat="1" ht="12.75">
      <c r="A11" s="134">
        <f>A10+1</f>
        <v>7</v>
      </c>
      <c r="B11" s="138" t="s">
        <v>23</v>
      </c>
      <c r="C11" s="284">
        <v>0.0715</v>
      </c>
      <c r="D11" s="285">
        <v>35053</v>
      </c>
      <c r="E11" s="285">
        <v>46010</v>
      </c>
      <c r="F11" s="273">
        <f t="shared" si="0"/>
        <v>15000000</v>
      </c>
      <c r="G11" s="286">
        <v>99.211912</v>
      </c>
      <c r="H11" s="183">
        <f t="shared" si="1"/>
        <v>0.0721</v>
      </c>
      <c r="I11" s="273">
        <f t="shared" si="2"/>
        <v>1081500</v>
      </c>
      <c r="J11" s="273">
        <v>15000000</v>
      </c>
      <c r="K11" s="273">
        <v>15000000</v>
      </c>
      <c r="L11" s="273">
        <v>15000000</v>
      </c>
      <c r="M11" s="273">
        <v>15000000</v>
      </c>
      <c r="N11" s="273">
        <v>15000000</v>
      </c>
      <c r="O11" s="273">
        <v>15000000</v>
      </c>
      <c r="P11" s="273">
        <v>15000000</v>
      </c>
      <c r="Q11" s="273">
        <v>15000000</v>
      </c>
      <c r="R11" s="273">
        <v>15000000</v>
      </c>
      <c r="S11" s="273">
        <v>15000000</v>
      </c>
      <c r="T11" s="273">
        <v>15000000</v>
      </c>
      <c r="U11" s="273">
        <v>15000000</v>
      </c>
      <c r="V11" s="273">
        <v>15000000</v>
      </c>
      <c r="Y11" s="277"/>
      <c r="Z11" s="590"/>
      <c r="AA11" s="591"/>
    </row>
    <row r="12" spans="1:27" s="28" customFormat="1" ht="12.75">
      <c r="A12" s="134">
        <f t="shared" si="3"/>
        <v>8</v>
      </c>
      <c r="B12" s="138" t="s">
        <v>23</v>
      </c>
      <c r="C12" s="284">
        <v>0.072</v>
      </c>
      <c r="D12" s="285">
        <v>35054</v>
      </c>
      <c r="E12" s="285">
        <v>46013</v>
      </c>
      <c r="F12" s="273">
        <f t="shared" si="0"/>
        <v>2000000</v>
      </c>
      <c r="G12" s="286">
        <v>99.2116</v>
      </c>
      <c r="H12" s="183">
        <f t="shared" si="1"/>
        <v>0.0726</v>
      </c>
      <c r="I12" s="273">
        <f t="shared" si="2"/>
        <v>145200</v>
      </c>
      <c r="J12" s="273">
        <v>2000000</v>
      </c>
      <c r="K12" s="273">
        <v>2000000</v>
      </c>
      <c r="L12" s="273">
        <v>2000000</v>
      </c>
      <c r="M12" s="273">
        <v>2000000</v>
      </c>
      <c r="N12" s="273">
        <v>2000000</v>
      </c>
      <c r="O12" s="273">
        <v>2000000</v>
      </c>
      <c r="P12" s="273">
        <v>2000000</v>
      </c>
      <c r="Q12" s="273">
        <v>2000000</v>
      </c>
      <c r="R12" s="273">
        <v>2000000</v>
      </c>
      <c r="S12" s="273">
        <v>2000000</v>
      </c>
      <c r="T12" s="273">
        <v>2000000</v>
      </c>
      <c r="U12" s="273">
        <v>2000000</v>
      </c>
      <c r="V12" s="273">
        <v>2000000</v>
      </c>
      <c r="Y12" s="277"/>
      <c r="Z12" s="591"/>
      <c r="AA12" s="591"/>
    </row>
    <row r="13" spans="1:27" s="28" customFormat="1" ht="12.75">
      <c r="A13" s="134">
        <f t="shared" si="3"/>
        <v>9</v>
      </c>
      <c r="B13" s="138" t="s">
        <v>21</v>
      </c>
      <c r="C13" s="284">
        <v>0.0702</v>
      </c>
      <c r="D13" s="285">
        <v>35786</v>
      </c>
      <c r="E13" s="285">
        <v>46722</v>
      </c>
      <c r="F13" s="273">
        <f t="shared" si="0"/>
        <v>300000000</v>
      </c>
      <c r="G13" s="286">
        <v>98.98573577666666</v>
      </c>
      <c r="H13" s="183">
        <f t="shared" si="1"/>
        <v>0.071</v>
      </c>
      <c r="I13" s="273">
        <f t="shared" si="2"/>
        <v>21300000</v>
      </c>
      <c r="J13" s="273">
        <v>300000000</v>
      </c>
      <c r="K13" s="273">
        <v>300000000</v>
      </c>
      <c r="L13" s="273">
        <v>300000000</v>
      </c>
      <c r="M13" s="273">
        <v>300000000</v>
      </c>
      <c r="N13" s="273">
        <v>300000000</v>
      </c>
      <c r="O13" s="273">
        <v>300000000</v>
      </c>
      <c r="P13" s="273">
        <v>300000000</v>
      </c>
      <c r="Q13" s="273">
        <v>300000000</v>
      </c>
      <c r="R13" s="273">
        <v>300000000</v>
      </c>
      <c r="S13" s="273">
        <v>300000000</v>
      </c>
      <c r="T13" s="273">
        <v>300000000</v>
      </c>
      <c r="U13" s="273">
        <v>300000000</v>
      </c>
      <c r="V13" s="273">
        <v>300000000</v>
      </c>
      <c r="Y13" s="277"/>
      <c r="Z13" s="591"/>
      <c r="AA13" s="591"/>
    </row>
    <row r="14" spans="1:27" ht="12.75">
      <c r="A14" s="134">
        <f t="shared" si="3"/>
        <v>10</v>
      </c>
      <c r="B14" s="138" t="s">
        <v>22</v>
      </c>
      <c r="C14" s="284">
        <v>0.07</v>
      </c>
      <c r="D14" s="285">
        <v>36228</v>
      </c>
      <c r="E14" s="285">
        <v>47186</v>
      </c>
      <c r="F14" s="273">
        <f t="shared" si="0"/>
        <v>100000000</v>
      </c>
      <c r="G14" s="286">
        <v>99.04287054999999</v>
      </c>
      <c r="H14" s="183">
        <f t="shared" si="1"/>
        <v>0.0708</v>
      </c>
      <c r="I14" s="273">
        <f t="shared" si="2"/>
        <v>7080000</v>
      </c>
      <c r="J14" s="273">
        <v>100000000</v>
      </c>
      <c r="K14" s="273">
        <v>100000000</v>
      </c>
      <c r="L14" s="273">
        <v>100000000</v>
      </c>
      <c r="M14" s="273">
        <v>100000000</v>
      </c>
      <c r="N14" s="273">
        <v>100000000</v>
      </c>
      <c r="O14" s="273">
        <v>100000000</v>
      </c>
      <c r="P14" s="273">
        <v>100000000</v>
      </c>
      <c r="Q14" s="273">
        <v>100000000</v>
      </c>
      <c r="R14" s="273">
        <v>100000000</v>
      </c>
      <c r="S14" s="273">
        <v>100000000</v>
      </c>
      <c r="T14" s="273">
        <v>100000000</v>
      </c>
      <c r="U14" s="273">
        <v>100000000</v>
      </c>
      <c r="V14" s="273">
        <v>100000000</v>
      </c>
      <c r="Y14" s="277"/>
      <c r="Z14" s="591"/>
      <c r="AA14" s="589"/>
    </row>
    <row r="15" spans="1:27" ht="12.75">
      <c r="A15" s="134">
        <f>A14+1</f>
        <v>11</v>
      </c>
      <c r="B15" s="287" t="s">
        <v>24</v>
      </c>
      <c r="C15" s="284">
        <v>0.039</v>
      </c>
      <c r="D15" s="288">
        <v>41417</v>
      </c>
      <c r="E15" s="289">
        <v>47908</v>
      </c>
      <c r="F15" s="273">
        <f>ROUND(((+J15+V15)+(SUM(K15:U15)*2))/24,0)</f>
        <v>138460000</v>
      </c>
      <c r="G15" s="286">
        <v>98.9391</v>
      </c>
      <c r="H15" s="183">
        <f aca="true" t="shared" si="4" ref="H15:H26">ROUND(YIELD(D15,E15,C15,G15,100,2,2),4)</f>
        <v>0.0398</v>
      </c>
      <c r="I15" s="273">
        <f aca="true" t="shared" si="5" ref="I15:I26">ROUND(+H15*F15,0)</f>
        <v>5510708</v>
      </c>
      <c r="J15" s="273">
        <v>138460000</v>
      </c>
      <c r="K15" s="273">
        <v>138460000</v>
      </c>
      <c r="L15" s="273">
        <v>138460000</v>
      </c>
      <c r="M15" s="273">
        <v>138460000</v>
      </c>
      <c r="N15" s="273">
        <v>138460000</v>
      </c>
      <c r="O15" s="273">
        <v>138460000</v>
      </c>
      <c r="P15" s="273">
        <v>138460000</v>
      </c>
      <c r="Q15" s="273">
        <v>138460000</v>
      </c>
      <c r="R15" s="273">
        <v>138460000</v>
      </c>
      <c r="S15" s="273">
        <v>138460000</v>
      </c>
      <c r="T15" s="273">
        <v>138460000</v>
      </c>
      <c r="U15" s="273">
        <v>138460000</v>
      </c>
      <c r="V15" s="273">
        <v>138460000</v>
      </c>
      <c r="Y15" s="277"/>
      <c r="Z15" s="589"/>
      <c r="AA15" s="589"/>
    </row>
    <row r="16" spans="1:27" ht="12.75">
      <c r="A16" s="134">
        <f t="shared" si="3"/>
        <v>12</v>
      </c>
      <c r="B16" s="287" t="s">
        <v>24</v>
      </c>
      <c r="C16" s="284">
        <v>0.04</v>
      </c>
      <c r="D16" s="288">
        <v>41417</v>
      </c>
      <c r="E16" s="289">
        <v>47908</v>
      </c>
      <c r="F16" s="273">
        <f>ROUND(((+J16+V16)+(SUM(K16:U16)*2))/24,0)</f>
        <v>23400000</v>
      </c>
      <c r="G16" s="286">
        <v>98.9391</v>
      </c>
      <c r="H16" s="183">
        <f t="shared" si="4"/>
        <v>0.0408</v>
      </c>
      <c r="I16" s="273">
        <f t="shared" si="5"/>
        <v>954720</v>
      </c>
      <c r="J16" s="273">
        <v>23400000</v>
      </c>
      <c r="K16" s="273">
        <v>23400000</v>
      </c>
      <c r="L16" s="273">
        <v>23400000</v>
      </c>
      <c r="M16" s="273">
        <v>23400000</v>
      </c>
      <c r="N16" s="273">
        <v>23400000</v>
      </c>
      <c r="O16" s="273">
        <v>23400000</v>
      </c>
      <c r="P16" s="273">
        <v>23400000</v>
      </c>
      <c r="Q16" s="273">
        <v>23400000</v>
      </c>
      <c r="R16" s="273">
        <v>23400000</v>
      </c>
      <c r="S16" s="273">
        <v>23400000</v>
      </c>
      <c r="T16" s="273">
        <v>23400000</v>
      </c>
      <c r="U16" s="273">
        <v>23400000</v>
      </c>
      <c r="V16" s="273">
        <v>23400000</v>
      </c>
      <c r="Y16" s="277"/>
      <c r="Z16" s="589"/>
      <c r="AA16" s="589"/>
    </row>
    <row r="17" spans="1:27" ht="12.75">
      <c r="A17" s="134">
        <f>A16+1</f>
        <v>13</v>
      </c>
      <c r="B17" s="138" t="s">
        <v>95</v>
      </c>
      <c r="C17" s="284">
        <v>0.05483</v>
      </c>
      <c r="D17" s="285">
        <v>38499</v>
      </c>
      <c r="E17" s="285">
        <v>49461</v>
      </c>
      <c r="F17" s="273">
        <f t="shared" si="0"/>
        <v>250000000</v>
      </c>
      <c r="G17" s="286">
        <v>84.886606836</v>
      </c>
      <c r="H17" s="183">
        <f t="shared" si="4"/>
        <v>0.0665</v>
      </c>
      <c r="I17" s="277">
        <f t="shared" si="5"/>
        <v>16625000</v>
      </c>
      <c r="J17" s="277">
        <v>250000000</v>
      </c>
      <c r="K17" s="277">
        <v>250000000</v>
      </c>
      <c r="L17" s="277">
        <v>250000000</v>
      </c>
      <c r="M17" s="277">
        <v>250000000</v>
      </c>
      <c r="N17" s="277">
        <v>250000000</v>
      </c>
      <c r="O17" s="277">
        <v>250000000</v>
      </c>
      <c r="P17" s="277">
        <v>250000000</v>
      </c>
      <c r="Q17" s="277">
        <v>250000000</v>
      </c>
      <c r="R17" s="277">
        <v>250000000</v>
      </c>
      <c r="S17" s="277">
        <v>250000000</v>
      </c>
      <c r="T17" s="277">
        <v>250000000</v>
      </c>
      <c r="U17" s="277">
        <v>250000000</v>
      </c>
      <c r="V17" s="277">
        <v>250000000</v>
      </c>
      <c r="Y17" s="277"/>
      <c r="Z17" s="589"/>
      <c r="AA17" s="589"/>
    </row>
    <row r="18" spans="1:27" ht="12.75">
      <c r="A18" s="134">
        <f t="shared" si="3"/>
        <v>14</v>
      </c>
      <c r="B18" s="138" t="s">
        <v>95</v>
      </c>
      <c r="C18" s="284">
        <v>0.06724</v>
      </c>
      <c r="D18" s="285">
        <v>38898</v>
      </c>
      <c r="E18" s="285">
        <v>49841</v>
      </c>
      <c r="F18" s="273">
        <f>ROUND(((+J18+V18)+(SUM(K18:U18)*2))/24,0)</f>
        <v>250000000</v>
      </c>
      <c r="G18" s="286">
        <v>107.515271756</v>
      </c>
      <c r="H18" s="183">
        <f t="shared" si="4"/>
        <v>0.0617</v>
      </c>
      <c r="I18" s="277">
        <f t="shared" si="5"/>
        <v>15425000</v>
      </c>
      <c r="J18" s="277">
        <v>250000000</v>
      </c>
      <c r="K18" s="277">
        <v>250000000</v>
      </c>
      <c r="L18" s="277">
        <v>250000000</v>
      </c>
      <c r="M18" s="277">
        <v>250000000</v>
      </c>
      <c r="N18" s="277">
        <v>250000000</v>
      </c>
      <c r="O18" s="277">
        <v>250000000</v>
      </c>
      <c r="P18" s="277">
        <v>250000000</v>
      </c>
      <c r="Q18" s="277">
        <v>250000000</v>
      </c>
      <c r="R18" s="277">
        <v>250000000</v>
      </c>
      <c r="S18" s="277">
        <v>250000000</v>
      </c>
      <c r="T18" s="277">
        <v>250000000</v>
      </c>
      <c r="U18" s="277">
        <v>250000000</v>
      </c>
      <c r="V18" s="277">
        <v>250000000</v>
      </c>
      <c r="Y18" s="277"/>
      <c r="Z18" s="589"/>
      <c r="AA18" s="589"/>
    </row>
    <row r="19" spans="1:27" ht="12.75">
      <c r="A19" s="134">
        <f t="shared" si="3"/>
        <v>15</v>
      </c>
      <c r="B19" s="138" t="s">
        <v>95</v>
      </c>
      <c r="C19" s="284">
        <v>0.06274</v>
      </c>
      <c r="D19" s="285">
        <v>38978</v>
      </c>
      <c r="E19" s="285">
        <v>50114</v>
      </c>
      <c r="F19" s="273">
        <f t="shared" si="0"/>
        <v>300000000</v>
      </c>
      <c r="G19" s="286">
        <v>98.8127</v>
      </c>
      <c r="H19" s="183">
        <f t="shared" si="4"/>
        <v>0.0636</v>
      </c>
      <c r="I19" s="277">
        <f t="shared" si="5"/>
        <v>19080000</v>
      </c>
      <c r="J19" s="277">
        <v>300000000</v>
      </c>
      <c r="K19" s="277">
        <v>300000000</v>
      </c>
      <c r="L19" s="277">
        <v>300000000</v>
      </c>
      <c r="M19" s="277">
        <v>300000000</v>
      </c>
      <c r="N19" s="277">
        <v>300000000</v>
      </c>
      <c r="O19" s="277">
        <v>300000000</v>
      </c>
      <c r="P19" s="277">
        <v>300000000</v>
      </c>
      <c r="Q19" s="277">
        <v>300000000</v>
      </c>
      <c r="R19" s="277">
        <v>300000000</v>
      </c>
      <c r="S19" s="277">
        <v>300000000</v>
      </c>
      <c r="T19" s="277">
        <v>300000000</v>
      </c>
      <c r="U19" s="277">
        <v>300000000</v>
      </c>
      <c r="V19" s="277">
        <v>300000000</v>
      </c>
      <c r="Y19" s="277"/>
      <c r="Z19" s="589"/>
      <c r="AA19" s="589"/>
    </row>
    <row r="20" spans="1:27" ht="12.75">
      <c r="A20" s="134">
        <f t="shared" si="3"/>
        <v>16</v>
      </c>
      <c r="B20" s="138" t="s">
        <v>95</v>
      </c>
      <c r="C20" s="284">
        <v>0.05757</v>
      </c>
      <c r="D20" s="285">
        <v>40067</v>
      </c>
      <c r="E20" s="285">
        <v>51058</v>
      </c>
      <c r="F20" s="273">
        <f t="shared" si="0"/>
        <v>350000000</v>
      </c>
      <c r="G20" s="286">
        <v>98.9836</v>
      </c>
      <c r="H20" s="183">
        <f t="shared" si="4"/>
        <v>0.0583</v>
      </c>
      <c r="I20" s="277">
        <f t="shared" si="5"/>
        <v>20405000</v>
      </c>
      <c r="J20" s="277">
        <v>350000000</v>
      </c>
      <c r="K20" s="277">
        <v>350000000</v>
      </c>
      <c r="L20" s="277">
        <v>350000000</v>
      </c>
      <c r="M20" s="277">
        <v>350000000</v>
      </c>
      <c r="N20" s="277">
        <v>350000000</v>
      </c>
      <c r="O20" s="277">
        <v>350000000</v>
      </c>
      <c r="P20" s="277">
        <v>350000000</v>
      </c>
      <c r="Q20" s="277">
        <v>350000000</v>
      </c>
      <c r="R20" s="277">
        <v>350000000</v>
      </c>
      <c r="S20" s="277">
        <v>350000000</v>
      </c>
      <c r="T20" s="277">
        <v>350000000</v>
      </c>
      <c r="U20" s="277">
        <v>350000000</v>
      </c>
      <c r="V20" s="277">
        <v>350000000</v>
      </c>
      <c r="Y20" s="277"/>
      <c r="Z20" s="589"/>
      <c r="AA20" s="589"/>
    </row>
    <row r="21" spans="1:27" ht="12.75">
      <c r="A21" s="134">
        <f t="shared" si="3"/>
        <v>17</v>
      </c>
      <c r="B21" s="138" t="s">
        <v>95</v>
      </c>
      <c r="C21" s="284">
        <v>0.05795</v>
      </c>
      <c r="D21" s="285">
        <v>40245</v>
      </c>
      <c r="E21" s="285">
        <v>51210</v>
      </c>
      <c r="F21" s="273">
        <f t="shared" si="0"/>
        <v>325000000</v>
      </c>
      <c r="G21" s="286">
        <v>98.9588</v>
      </c>
      <c r="H21" s="183">
        <f t="shared" si="4"/>
        <v>0.0587</v>
      </c>
      <c r="I21" s="277">
        <f t="shared" si="5"/>
        <v>19077500</v>
      </c>
      <c r="J21" s="277">
        <v>325000000</v>
      </c>
      <c r="K21" s="277">
        <v>325000000</v>
      </c>
      <c r="L21" s="277">
        <v>325000000</v>
      </c>
      <c r="M21" s="277">
        <v>325000000</v>
      </c>
      <c r="N21" s="277">
        <v>325000000</v>
      </c>
      <c r="O21" s="277">
        <v>325000000</v>
      </c>
      <c r="P21" s="277">
        <v>325000000</v>
      </c>
      <c r="Q21" s="277">
        <v>325000000</v>
      </c>
      <c r="R21" s="277">
        <v>325000000</v>
      </c>
      <c r="S21" s="277">
        <v>325000000</v>
      </c>
      <c r="T21" s="277">
        <v>325000000</v>
      </c>
      <c r="U21" s="277">
        <v>325000000</v>
      </c>
      <c r="V21" s="277">
        <v>325000000</v>
      </c>
      <c r="Y21" s="277"/>
      <c r="Z21" s="589"/>
      <c r="AA21" s="589"/>
    </row>
    <row r="22" spans="1:27" ht="12.75">
      <c r="A22" s="134">
        <f t="shared" si="3"/>
        <v>18</v>
      </c>
      <c r="B22" s="138" t="s">
        <v>95</v>
      </c>
      <c r="C22" s="284">
        <v>0.05764</v>
      </c>
      <c r="D22" s="285">
        <v>40358</v>
      </c>
      <c r="E22" s="285">
        <v>51332</v>
      </c>
      <c r="F22" s="273">
        <f>ROUND(((+J22+V22)+(SUM(K22:U22)*2))/24,0)</f>
        <v>250000000</v>
      </c>
      <c r="G22" s="286">
        <v>98.9652</v>
      </c>
      <c r="H22" s="183">
        <f t="shared" si="4"/>
        <v>0.0584</v>
      </c>
      <c r="I22" s="277">
        <f t="shared" si="5"/>
        <v>14600000</v>
      </c>
      <c r="J22" s="277">
        <v>250000000</v>
      </c>
      <c r="K22" s="277">
        <v>250000000</v>
      </c>
      <c r="L22" s="277">
        <v>250000000</v>
      </c>
      <c r="M22" s="277">
        <v>250000000</v>
      </c>
      <c r="N22" s="277">
        <v>250000000</v>
      </c>
      <c r="O22" s="277">
        <v>250000000</v>
      </c>
      <c r="P22" s="277">
        <v>250000000</v>
      </c>
      <c r="Q22" s="277">
        <v>250000000</v>
      </c>
      <c r="R22" s="277">
        <v>250000000</v>
      </c>
      <c r="S22" s="277">
        <v>250000000</v>
      </c>
      <c r="T22" s="277">
        <v>250000000</v>
      </c>
      <c r="U22" s="277">
        <v>250000000</v>
      </c>
      <c r="V22" s="277">
        <v>250000000</v>
      </c>
      <c r="Y22" s="277"/>
      <c r="Z22" s="589"/>
      <c r="AA22" s="589"/>
    </row>
    <row r="23" spans="1:27" ht="12.75">
      <c r="A23" s="134">
        <v>25</v>
      </c>
      <c r="B23" s="138" t="s">
        <v>95</v>
      </c>
      <c r="C23" s="284">
        <v>0.05638</v>
      </c>
      <c r="D23" s="285">
        <v>40627</v>
      </c>
      <c r="E23" s="285">
        <v>51606</v>
      </c>
      <c r="F23" s="273">
        <f>ROUND(((+J23+V23)+(SUM(K23:U23)*2))/24,0)</f>
        <v>300000000</v>
      </c>
      <c r="G23" s="286">
        <v>98.971</v>
      </c>
      <c r="H23" s="183">
        <f t="shared" si="4"/>
        <v>0.0571</v>
      </c>
      <c r="I23" s="277">
        <f t="shared" si="5"/>
        <v>17130000</v>
      </c>
      <c r="J23" s="277">
        <v>300000000</v>
      </c>
      <c r="K23" s="277">
        <v>300000000</v>
      </c>
      <c r="L23" s="277">
        <v>300000000</v>
      </c>
      <c r="M23" s="277">
        <v>300000000</v>
      </c>
      <c r="N23" s="277">
        <v>300000000</v>
      </c>
      <c r="O23" s="277">
        <v>300000000</v>
      </c>
      <c r="P23" s="277">
        <v>300000000</v>
      </c>
      <c r="Q23" s="277">
        <v>300000000</v>
      </c>
      <c r="R23" s="277">
        <v>300000000</v>
      </c>
      <c r="S23" s="277">
        <v>300000000</v>
      </c>
      <c r="T23" s="277">
        <v>300000000</v>
      </c>
      <c r="U23" s="277">
        <v>300000000</v>
      </c>
      <c r="V23" s="277">
        <v>300000000</v>
      </c>
      <c r="Y23" s="277"/>
      <c r="Z23" s="589"/>
      <c r="AA23" s="589"/>
    </row>
    <row r="24" spans="1:27" ht="12.75">
      <c r="A24" s="134">
        <v>26</v>
      </c>
      <c r="B24" s="138" t="s">
        <v>95</v>
      </c>
      <c r="C24" s="284">
        <v>0.04434</v>
      </c>
      <c r="D24" s="285">
        <v>40863</v>
      </c>
      <c r="E24" s="285">
        <v>51820</v>
      </c>
      <c r="F24" s="273">
        <f>ROUND(((+J24+V24)+(SUM(K24:U24)*2))/24,0)</f>
        <v>250000000</v>
      </c>
      <c r="G24" s="286">
        <v>98.963</v>
      </c>
      <c r="H24" s="183">
        <f t="shared" si="4"/>
        <v>0.045</v>
      </c>
      <c r="I24" s="277">
        <f t="shared" si="5"/>
        <v>11250000</v>
      </c>
      <c r="J24" s="277">
        <v>250000000</v>
      </c>
      <c r="K24" s="277">
        <v>250000000</v>
      </c>
      <c r="L24" s="277">
        <v>250000000</v>
      </c>
      <c r="M24" s="277">
        <v>250000000</v>
      </c>
      <c r="N24" s="277">
        <v>250000000</v>
      </c>
      <c r="O24" s="277">
        <v>250000000</v>
      </c>
      <c r="P24" s="277">
        <v>250000000</v>
      </c>
      <c r="Q24" s="277">
        <v>250000000</v>
      </c>
      <c r="R24" s="277">
        <v>250000000</v>
      </c>
      <c r="S24" s="277">
        <v>250000000</v>
      </c>
      <c r="T24" s="277">
        <v>250000000</v>
      </c>
      <c r="U24" s="277">
        <v>250000000</v>
      </c>
      <c r="V24" s="277">
        <v>250000000</v>
      </c>
      <c r="Y24" s="277"/>
      <c r="Z24" s="589"/>
      <c r="AA24" s="589"/>
    </row>
    <row r="25" spans="1:27" ht="12.75">
      <c r="A25" s="134">
        <v>27</v>
      </c>
      <c r="B25" s="138" t="s">
        <v>95</v>
      </c>
      <c r="C25" s="284">
        <v>0.047</v>
      </c>
      <c r="D25" s="285">
        <v>40869</v>
      </c>
      <c r="E25" s="285">
        <v>55472</v>
      </c>
      <c r="F25" s="273">
        <f>ROUND(((+J25+V25)+(SUM(K25:U25)*2))/24,0)</f>
        <v>45000000</v>
      </c>
      <c r="G25" s="286">
        <v>98.8639</v>
      </c>
      <c r="H25" s="183">
        <f t="shared" si="4"/>
        <v>0.0476</v>
      </c>
      <c r="I25" s="277">
        <f t="shared" si="5"/>
        <v>2142000</v>
      </c>
      <c r="J25" s="277">
        <v>45000000</v>
      </c>
      <c r="K25" s="277">
        <v>45000000</v>
      </c>
      <c r="L25" s="277">
        <v>45000000</v>
      </c>
      <c r="M25" s="277">
        <v>45000000</v>
      </c>
      <c r="N25" s="277">
        <v>45000000</v>
      </c>
      <c r="O25" s="277">
        <v>45000000</v>
      </c>
      <c r="P25" s="277">
        <v>45000000</v>
      </c>
      <c r="Q25" s="277">
        <v>45000000</v>
      </c>
      <c r="R25" s="277">
        <v>45000000</v>
      </c>
      <c r="S25" s="277">
        <v>45000000</v>
      </c>
      <c r="T25" s="277">
        <v>45000000</v>
      </c>
      <c r="U25" s="277">
        <v>45000000</v>
      </c>
      <c r="V25" s="277">
        <v>45000000</v>
      </c>
      <c r="Y25" s="277"/>
      <c r="Z25" s="589"/>
      <c r="AA25" s="589"/>
    </row>
    <row r="26" spans="1:27" ht="12.75">
      <c r="A26" s="134">
        <v>28</v>
      </c>
      <c r="B26" s="138" t="s">
        <v>126</v>
      </c>
      <c r="C26" s="284">
        <v>0.06974</v>
      </c>
      <c r="D26" s="285">
        <v>39237</v>
      </c>
      <c r="E26" s="285">
        <v>42887</v>
      </c>
      <c r="F26" s="273">
        <f>ROUND(((+J26+V26)+(SUM(K26:U26)*2))/24,0)</f>
        <v>250000000</v>
      </c>
      <c r="G26" s="286">
        <v>98.2262</v>
      </c>
      <c r="H26" s="183">
        <f t="shared" si="4"/>
        <v>0.0723</v>
      </c>
      <c r="I26" s="277">
        <f t="shared" si="5"/>
        <v>18075000</v>
      </c>
      <c r="J26" s="273">
        <v>250000000</v>
      </c>
      <c r="K26" s="273">
        <v>250000000</v>
      </c>
      <c r="L26" s="273">
        <v>250000000</v>
      </c>
      <c r="M26" s="273">
        <v>250000000</v>
      </c>
      <c r="N26" s="273">
        <v>250000000</v>
      </c>
      <c r="O26" s="273">
        <v>250000000</v>
      </c>
      <c r="P26" s="273">
        <v>250000000</v>
      </c>
      <c r="Q26" s="273">
        <v>250000000</v>
      </c>
      <c r="R26" s="273">
        <v>250000000</v>
      </c>
      <c r="S26" s="273">
        <v>250000000</v>
      </c>
      <c r="T26" s="273">
        <v>250000000</v>
      </c>
      <c r="U26" s="273">
        <v>250000000</v>
      </c>
      <c r="V26" s="273">
        <v>250000000</v>
      </c>
      <c r="Y26" s="277"/>
      <c r="Z26" s="589"/>
      <c r="AA26" s="589"/>
    </row>
    <row r="27" spans="1:27" ht="12.75">
      <c r="A27" s="134">
        <f t="shared" si="3"/>
        <v>29</v>
      </c>
      <c r="B27" s="138"/>
      <c r="C27" s="284"/>
      <c r="D27" s="285"/>
      <c r="E27" s="285"/>
      <c r="F27" s="273"/>
      <c r="G27" s="294"/>
      <c r="H27" s="183"/>
      <c r="I27" s="277"/>
      <c r="J27" s="273"/>
      <c r="K27" s="273"/>
      <c r="L27" s="273"/>
      <c r="M27" s="273"/>
      <c r="N27" s="273"/>
      <c r="O27" s="273"/>
      <c r="P27" s="273"/>
      <c r="Q27" s="273"/>
      <c r="R27" s="273"/>
      <c r="S27" s="273"/>
      <c r="T27" s="273"/>
      <c r="U27" s="273"/>
      <c r="V27" s="273"/>
      <c r="Y27" s="592"/>
      <c r="Z27" s="589"/>
      <c r="AA27" s="589"/>
    </row>
    <row r="28" spans="1:27" ht="13.5" thickBot="1">
      <c r="A28" s="134">
        <f t="shared" si="3"/>
        <v>30</v>
      </c>
      <c r="B28" s="138"/>
      <c r="C28" s="140" t="s">
        <v>116</v>
      </c>
      <c r="D28" s="285"/>
      <c r="E28" s="285"/>
      <c r="F28" s="273"/>
      <c r="G28" s="290"/>
      <c r="H28" s="183"/>
      <c r="I28" s="291">
        <f>'Pg 7 Reacquired Debt'!I28</f>
        <v>1870892.9999999998</v>
      </c>
      <c r="J28" s="231"/>
      <c r="K28" s="231"/>
      <c r="L28" s="231"/>
      <c r="M28" s="231"/>
      <c r="N28" s="231"/>
      <c r="O28" s="231"/>
      <c r="P28" s="231"/>
      <c r="Q28" s="231"/>
      <c r="R28" s="231"/>
      <c r="S28" s="231"/>
      <c r="T28" s="231"/>
      <c r="U28" s="231"/>
      <c r="V28" s="231"/>
      <c r="Y28" s="592"/>
      <c r="Z28" s="589"/>
      <c r="AA28" s="589"/>
    </row>
    <row r="29" spans="1:27" ht="13.5" thickBot="1">
      <c r="A29" s="134">
        <f t="shared" si="3"/>
        <v>31</v>
      </c>
      <c r="B29" s="140" t="s">
        <v>129</v>
      </c>
      <c r="C29" s="284"/>
      <c r="D29" s="285"/>
      <c r="E29" s="285"/>
      <c r="F29" s="291">
        <f>SUM(F6:F28)</f>
        <v>3760860000</v>
      </c>
      <c r="G29" s="292"/>
      <c r="H29" s="216">
        <f>ROUND(+I29/F29,4)</f>
        <v>0.0616</v>
      </c>
      <c r="I29" s="295">
        <f aca="true" t="shared" si="6" ref="I29:V29">SUM(I6:I28)</f>
        <v>231482921</v>
      </c>
      <c r="J29" s="295">
        <f t="shared" si="6"/>
        <v>3760860000</v>
      </c>
      <c r="K29" s="295">
        <f t="shared" si="6"/>
        <v>3760860000</v>
      </c>
      <c r="L29" s="295">
        <f t="shared" si="6"/>
        <v>3760860000</v>
      </c>
      <c r="M29" s="295">
        <f t="shared" si="6"/>
        <v>3760860000</v>
      </c>
      <c r="N29" s="295">
        <f t="shared" si="6"/>
        <v>3760860000</v>
      </c>
      <c r="O29" s="295">
        <f t="shared" si="6"/>
        <v>3760860000</v>
      </c>
      <c r="P29" s="295">
        <f t="shared" si="6"/>
        <v>3760860000</v>
      </c>
      <c r="Q29" s="295">
        <f t="shared" si="6"/>
        <v>3760860000</v>
      </c>
      <c r="R29" s="295">
        <f t="shared" si="6"/>
        <v>3760860000</v>
      </c>
      <c r="S29" s="295">
        <f t="shared" si="6"/>
        <v>3760860000</v>
      </c>
      <c r="T29" s="295">
        <f t="shared" si="6"/>
        <v>3760860000</v>
      </c>
      <c r="U29" s="295">
        <f t="shared" si="6"/>
        <v>3760860000</v>
      </c>
      <c r="V29" s="295">
        <f t="shared" si="6"/>
        <v>3760860000</v>
      </c>
      <c r="Y29" s="293"/>
      <c r="Z29" s="593"/>
      <c r="AA29" s="589"/>
    </row>
    <row r="30" spans="1:27" ht="12.75">
      <c r="A30" s="134">
        <f t="shared" si="3"/>
        <v>32</v>
      </c>
      <c r="B30" s="138"/>
      <c r="C30" s="284"/>
      <c r="D30" s="285"/>
      <c r="E30" s="285"/>
      <c r="F30" s="293"/>
      <c r="G30" s="290"/>
      <c r="H30" s="246"/>
      <c r="I30" s="293"/>
      <c r="J30" s="508"/>
      <c r="K30" s="508"/>
      <c r="L30" s="508"/>
      <c r="M30" s="508"/>
      <c r="N30" s="508"/>
      <c r="O30" s="508"/>
      <c r="P30" s="508"/>
      <c r="Q30" s="508"/>
      <c r="R30" s="508"/>
      <c r="S30" s="508"/>
      <c r="T30" s="508"/>
      <c r="U30" s="508"/>
      <c r="V30" s="508"/>
      <c r="Y30" s="293"/>
      <c r="Z30" s="589"/>
      <c r="AA30" s="589"/>
    </row>
    <row r="31" spans="1:25" ht="12.75">
      <c r="A31" s="134">
        <f t="shared" si="3"/>
        <v>33</v>
      </c>
      <c r="B31" s="140"/>
      <c r="C31" s="137"/>
      <c r="D31" s="137"/>
      <c r="E31" s="137"/>
      <c r="F31" s="293"/>
      <c r="G31" s="25"/>
      <c r="H31" s="246"/>
      <c r="I31" s="293"/>
      <c r="J31" s="277"/>
      <c r="K31" s="351"/>
      <c r="L31" s="351"/>
      <c r="M31" s="351"/>
      <c r="N31" s="351"/>
      <c r="O31" s="351"/>
      <c r="P31" s="351"/>
      <c r="Q31" s="351"/>
      <c r="R31" s="351"/>
      <c r="S31" s="351"/>
      <c r="T31" s="351"/>
      <c r="U31" s="351"/>
      <c r="V31" s="351"/>
      <c r="Y31" s="273">
        <f>I31</f>
        <v>0</v>
      </c>
    </row>
    <row r="32" spans="1:26" ht="12.75">
      <c r="A32" s="134">
        <f t="shared" si="3"/>
        <v>34</v>
      </c>
      <c r="B32" s="136" t="s">
        <v>85</v>
      </c>
      <c r="C32" s="137"/>
      <c r="D32" s="137"/>
      <c r="E32" s="137"/>
      <c r="F32" s="137"/>
      <c r="G32" s="137"/>
      <c r="H32" s="137"/>
      <c r="I32" s="137"/>
      <c r="Y32" s="293"/>
      <c r="Z32" s="246"/>
    </row>
    <row r="33" spans="1:9" ht="12.75">
      <c r="A33" s="134">
        <f t="shared" si="3"/>
        <v>35</v>
      </c>
      <c r="B33" s="136" t="s">
        <v>93</v>
      </c>
      <c r="C33" s="137"/>
      <c r="D33" s="137"/>
      <c r="E33" s="137"/>
      <c r="F33" s="137"/>
      <c r="G33" s="139"/>
      <c r="H33" s="137"/>
      <c r="I33" s="137"/>
    </row>
    <row r="34" spans="1:9" ht="12.75">
      <c r="A34" s="134"/>
      <c r="B34" s="136"/>
      <c r="C34" s="137"/>
      <c r="D34" s="137"/>
      <c r="E34" s="137"/>
      <c r="F34" s="137"/>
      <c r="G34" s="139"/>
      <c r="H34" s="137"/>
      <c r="I34" s="137"/>
    </row>
    <row r="35" spans="1:56" ht="12.75">
      <c r="A35" s="134"/>
      <c r="B35" s="135"/>
      <c r="C35" s="135"/>
      <c r="D35" s="135"/>
      <c r="E35" s="327"/>
      <c r="G35" s="135"/>
      <c r="H35" s="296"/>
      <c r="I35" s="297"/>
      <c r="J35" s="298"/>
      <c r="K35" s="298"/>
      <c r="L35" s="298"/>
      <c r="M35" s="298"/>
      <c r="N35" s="298"/>
      <c r="O35" s="298"/>
      <c r="P35" s="298"/>
      <c r="Q35" s="298"/>
      <c r="R35" s="298"/>
      <c r="S35" s="298"/>
      <c r="T35" s="298"/>
      <c r="U35" s="298"/>
      <c r="V35" s="29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row>
    <row r="36" spans="1:22" ht="12.75">
      <c r="A36" s="44"/>
      <c r="B36" s="299"/>
      <c r="C36" s="299"/>
      <c r="D36" s="299"/>
      <c r="E36" s="299"/>
      <c r="F36" s="272"/>
      <c r="G36" s="299"/>
      <c r="H36" s="137"/>
      <c r="I36" s="179"/>
      <c r="J36" s="300"/>
      <c r="K36" s="300"/>
      <c r="L36" s="300"/>
      <c r="M36" s="300"/>
      <c r="N36" s="138"/>
      <c r="O36" s="138"/>
      <c r="P36" s="138"/>
      <c r="Q36" s="138"/>
      <c r="R36" s="138"/>
      <c r="S36" s="138"/>
      <c r="T36" s="138"/>
      <c r="U36" s="138"/>
      <c r="V36" s="138"/>
    </row>
    <row r="37" spans="1:22" ht="12.75">
      <c r="A37" s="44"/>
      <c r="B37" s="299"/>
      <c r="C37" s="299"/>
      <c r="D37" s="299"/>
      <c r="E37" s="299"/>
      <c r="F37" s="271"/>
      <c r="G37" s="299"/>
      <c r="H37" s="135"/>
      <c r="I37" s="297"/>
      <c r="J37" s="274"/>
      <c r="K37" s="274"/>
      <c r="L37" s="274"/>
      <c r="M37" s="274"/>
      <c r="N37" s="274"/>
      <c r="O37" s="274"/>
      <c r="P37" s="274"/>
      <c r="Q37" s="274"/>
      <c r="R37" s="274"/>
      <c r="S37" s="274"/>
      <c r="T37" s="274"/>
      <c r="U37" s="274"/>
      <c r="V37" s="274"/>
    </row>
    <row r="38" spans="1:22" ht="12.75">
      <c r="A38" s="44"/>
      <c r="B38" s="28"/>
      <c r="C38" s="28"/>
      <c r="D38" s="28"/>
      <c r="E38" s="28"/>
      <c r="F38" s="272"/>
      <c r="G38" s="28"/>
      <c r="H38" s="28"/>
      <c r="I38" s="45"/>
      <c r="J38" s="221">
        <f aca="true" t="shared" si="7" ref="J38:V38">IF(J37&lt;&gt;0,"ERROR","")</f>
      </c>
      <c r="K38" s="221">
        <f t="shared" si="7"/>
      </c>
      <c r="L38" s="221">
        <f t="shared" si="7"/>
      </c>
      <c r="M38" s="221">
        <f t="shared" si="7"/>
      </c>
      <c r="N38" s="221">
        <f t="shared" si="7"/>
      </c>
      <c r="O38" s="221">
        <f t="shared" si="7"/>
      </c>
      <c r="P38" s="221">
        <f t="shared" si="7"/>
      </c>
      <c r="Q38" s="221">
        <f t="shared" si="7"/>
      </c>
      <c r="R38" s="221">
        <f t="shared" si="7"/>
      </c>
      <c r="S38" s="221">
        <f t="shared" si="7"/>
      </c>
      <c r="T38" s="221">
        <f t="shared" si="7"/>
      </c>
      <c r="U38" s="221">
        <f>IF(U37&lt;&gt;0,"ERROR","")</f>
      </c>
      <c r="V38" s="44">
        <f t="shared" si="7"/>
      </c>
    </row>
    <row r="39" spans="1:8" ht="12.75">
      <c r="A39" s="44"/>
      <c r="B39" s="28"/>
      <c r="C39" s="28"/>
      <c r="D39" s="28"/>
      <c r="E39" s="28"/>
      <c r="F39" s="45"/>
      <c r="G39" s="28"/>
      <c r="H39" s="183"/>
    </row>
    <row r="40" spans="1:9" ht="12.75">
      <c r="A40" s="46"/>
      <c r="B40" s="47"/>
      <c r="C40" s="48"/>
      <c r="D40" s="49"/>
      <c r="E40" s="49"/>
      <c r="F40" s="262"/>
      <c r="G40" s="51"/>
      <c r="H40" s="183"/>
      <c r="I40" s="97"/>
    </row>
    <row r="41" spans="1:9" ht="12.75">
      <c r="A41" s="46"/>
      <c r="B41" s="47"/>
      <c r="C41" s="48"/>
      <c r="D41" s="49"/>
      <c r="E41" s="49"/>
      <c r="F41" s="50"/>
      <c r="G41" s="51"/>
      <c r="H41" s="52"/>
      <c r="I41" s="53"/>
    </row>
    <row r="42" spans="1:9" ht="12.75">
      <c r="A42" s="46"/>
      <c r="B42" s="47"/>
      <c r="C42" s="48"/>
      <c r="D42" s="49"/>
      <c r="E42" s="49"/>
      <c r="F42" s="50"/>
      <c r="G42" s="51"/>
      <c r="H42" s="52"/>
      <c r="I42" s="53"/>
    </row>
    <row r="43" spans="1:9" ht="12.75" hidden="1">
      <c r="A43" s="54"/>
      <c r="B43" s="28"/>
      <c r="C43" s="28"/>
      <c r="D43" s="28"/>
      <c r="E43" s="28"/>
      <c r="F43" s="45"/>
      <c r="G43" s="28"/>
      <c r="H43" s="55"/>
      <c r="I43" s="45"/>
    </row>
    <row r="44" spans="1:9" ht="12.75" hidden="1">
      <c r="A44" s="54"/>
      <c r="B44" s="28"/>
      <c r="C44" s="28"/>
      <c r="D44" s="28"/>
      <c r="E44" s="28"/>
      <c r="F44" s="45"/>
      <c r="G44" s="28"/>
      <c r="H44" s="56"/>
      <c r="I44" s="45"/>
    </row>
    <row r="45" spans="1:9" ht="12.75" hidden="1">
      <c r="A45" s="54"/>
      <c r="B45" s="28"/>
      <c r="C45" s="28"/>
      <c r="D45" s="28"/>
      <c r="E45" s="28"/>
      <c r="F45" s="45"/>
      <c r="G45" s="28"/>
      <c r="H45" s="28"/>
      <c r="I45" s="45"/>
    </row>
    <row r="46" spans="1:9" ht="12.75">
      <c r="A46" s="46"/>
      <c r="B46" s="47"/>
      <c r="C46" s="48"/>
      <c r="D46" s="49"/>
      <c r="E46" s="49"/>
      <c r="F46" s="50"/>
      <c r="G46" s="51"/>
      <c r="H46" s="52"/>
      <c r="I46" s="53"/>
    </row>
    <row r="47" spans="1:9" ht="12.75">
      <c r="A47" s="46"/>
      <c r="B47" s="47"/>
      <c r="C47" s="48"/>
      <c r="D47" s="49"/>
      <c r="E47" s="49"/>
      <c r="F47" s="50"/>
      <c r="G47" s="51"/>
      <c r="H47" s="52"/>
      <c r="I47" s="53"/>
    </row>
    <row r="48" spans="1:9" ht="12.75">
      <c r="A48" s="54"/>
      <c r="B48" s="28"/>
      <c r="C48" s="28"/>
      <c r="D48" s="28"/>
      <c r="E48" s="28"/>
      <c r="F48" s="45"/>
      <c r="G48" s="28"/>
      <c r="H48" s="28"/>
      <c r="I48" s="45"/>
    </row>
    <row r="49" spans="1:9" ht="12.75">
      <c r="A49" s="54"/>
      <c r="B49" s="28"/>
      <c r="C49" s="28"/>
      <c r="D49" s="28"/>
      <c r="E49" s="28"/>
      <c r="F49" s="45"/>
      <c r="G49" s="28"/>
      <c r="H49" s="28"/>
      <c r="I49" s="45"/>
    </row>
    <row r="50" spans="1:9" ht="12.75">
      <c r="A50" s="54"/>
      <c r="B50" s="28"/>
      <c r="C50" s="28"/>
      <c r="D50" s="28"/>
      <c r="E50" s="28"/>
      <c r="F50" s="45"/>
      <c r="G50" s="28"/>
      <c r="H50" s="28"/>
      <c r="I50" s="45"/>
    </row>
    <row r="51" spans="1:9" ht="12.75">
      <c r="A51" s="54"/>
      <c r="B51" s="28"/>
      <c r="C51" s="28"/>
      <c r="D51" s="28"/>
      <c r="E51" s="28"/>
      <c r="F51" s="45"/>
      <c r="G51" s="28"/>
      <c r="H51" s="28"/>
      <c r="I51" s="45"/>
    </row>
    <row r="52" spans="1:9" ht="12.75">
      <c r="A52" s="54"/>
      <c r="B52" s="28"/>
      <c r="C52" s="28"/>
      <c r="D52" s="28"/>
      <c r="E52" s="28"/>
      <c r="F52" s="45"/>
      <c r="G52" s="28"/>
      <c r="H52" s="28"/>
      <c r="I52" s="45"/>
    </row>
    <row r="53" spans="1:9" ht="12.75">
      <c r="A53" s="54"/>
      <c r="B53" s="28"/>
      <c r="C53" s="28"/>
      <c r="D53" s="28"/>
      <c r="E53" s="28"/>
      <c r="F53" s="45"/>
      <c r="G53" s="28"/>
      <c r="H53" s="28"/>
      <c r="I53" s="45"/>
    </row>
    <row r="54" spans="1:9" ht="12.75">
      <c r="A54" s="54"/>
      <c r="B54" s="28"/>
      <c r="C54" s="28"/>
      <c r="D54" s="28"/>
      <c r="E54" s="28"/>
      <c r="F54" s="45"/>
      <c r="G54" s="28"/>
      <c r="H54" s="28"/>
      <c r="I54" s="45"/>
    </row>
    <row r="55" spans="1:9" ht="12.75">
      <c r="A55" s="54"/>
      <c r="B55" s="28"/>
      <c r="C55" s="28"/>
      <c r="D55" s="28"/>
      <c r="E55" s="28"/>
      <c r="F55" s="45"/>
      <c r="G55" s="28"/>
      <c r="H55" s="28"/>
      <c r="I55" s="45"/>
    </row>
    <row r="56" spans="1:9" ht="12.75">
      <c r="A56" s="54"/>
      <c r="B56" s="28"/>
      <c r="C56" s="28"/>
      <c r="D56" s="28"/>
      <c r="E56" s="28"/>
      <c r="F56" s="45"/>
      <c r="G56" s="28"/>
      <c r="H56" s="28"/>
      <c r="I56" s="45"/>
    </row>
    <row r="57" spans="1:9" ht="12.75">
      <c r="A57" s="44"/>
      <c r="B57" s="28"/>
      <c r="C57" s="47"/>
      <c r="D57" s="28"/>
      <c r="E57" s="28"/>
      <c r="F57" s="45"/>
      <c r="G57" s="28"/>
      <c r="H57" s="28"/>
      <c r="I57" s="45"/>
    </row>
    <row r="58" spans="3:5" ht="12.75">
      <c r="C58" s="24"/>
      <c r="E58" s="30"/>
    </row>
    <row r="59" ht="12.75">
      <c r="C59" s="29"/>
    </row>
  </sheetData>
  <sheetProtection/>
  <printOptions horizontalCentered="1"/>
  <pageMargins left="0.2" right="0.2" top="0.41" bottom="0.35" header="0.17" footer="0.17"/>
  <pageSetup fitToHeight="1" fitToWidth="1" horizontalDpi="600" verticalDpi="600" orientation="landscape" scale="89" r:id="rId1"/>
  <headerFooter alignWithMargins="0">
    <oddFooter>&amp;C&amp;A&amp;R&amp;8&amp;F</oddFooter>
  </headerFooter>
</worksheet>
</file>

<file path=xl/worksheets/sheet8.xml><?xml version="1.0" encoding="utf-8"?>
<worksheet xmlns="http://schemas.openxmlformats.org/spreadsheetml/2006/main" xmlns:r="http://schemas.openxmlformats.org/officeDocument/2006/relationships">
  <dimension ref="A1:S44"/>
  <sheetViews>
    <sheetView tabSelected="1" zoomScalePageLayoutView="0" workbookViewId="0" topLeftCell="A1">
      <pane xSplit="2" ySplit="7" topLeftCell="C8" activePane="bottomRight" state="frozen"/>
      <selection pane="topLeft" activeCell="D16" sqref="D16"/>
      <selection pane="topRight" activeCell="D16" sqref="D16"/>
      <selection pane="bottomLeft" activeCell="D16" sqref="D16"/>
      <selection pane="bottomRight" activeCell="D16" sqref="D16"/>
    </sheetView>
  </sheetViews>
  <sheetFormatPr defaultColWidth="8.83203125" defaultRowHeight="11.25" outlineLevelCol="1"/>
  <cols>
    <col min="1" max="1" width="4.66015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5.16015625" style="31" customWidth="1"/>
    <col min="10" max="10" width="12.16015625" style="31" customWidth="1"/>
    <col min="11" max="11" width="6.33203125" style="31" customWidth="1"/>
    <col min="12" max="12" width="12" style="31" hidden="1" customWidth="1" outlineLevel="1"/>
    <col min="13" max="13" width="14.66015625" style="31" hidden="1" customWidth="1" outlineLevel="1"/>
    <col min="14" max="14" width="15.16015625" style="31" hidden="1" customWidth="1" outlineLevel="1"/>
    <col min="15" max="15" width="12.16015625" style="31" hidden="1" customWidth="1" outlineLevel="1"/>
    <col min="16" max="16" width="9.66015625" style="31" hidden="1" customWidth="1" outlineLevel="1"/>
    <col min="17" max="17" width="13.5" style="31" bestFit="1" customWidth="1" collapsed="1"/>
    <col min="18" max="18" width="10.5" style="31" bestFit="1" customWidth="1"/>
    <col min="19" max="19" width="9.16015625" style="31" bestFit="1" customWidth="1"/>
    <col min="20" max="16384" width="8.83203125" style="31" customWidth="1"/>
  </cols>
  <sheetData>
    <row r="1" spans="2:16" ht="12.75" customHeight="1">
      <c r="B1" s="66" t="s">
        <v>25</v>
      </c>
      <c r="C1" s="59"/>
      <c r="D1" s="59"/>
      <c r="E1" s="59"/>
      <c r="F1" s="59"/>
      <c r="G1" s="59"/>
      <c r="H1" s="59"/>
      <c r="I1" s="59"/>
      <c r="J1" s="60"/>
      <c r="K1" s="58"/>
      <c r="L1" s="58"/>
      <c r="M1" s="58"/>
      <c r="N1" s="58"/>
      <c r="O1" s="58"/>
      <c r="P1" s="58"/>
    </row>
    <row r="2" spans="2:16" s="32" customFormat="1" ht="12.75" customHeight="1">
      <c r="B2" s="66" t="s">
        <v>26</v>
      </c>
      <c r="C2" s="59"/>
      <c r="D2" s="59"/>
      <c r="E2" s="59"/>
      <c r="F2" s="59"/>
      <c r="G2" s="59"/>
      <c r="H2" s="59"/>
      <c r="I2" s="59"/>
      <c r="J2" s="62"/>
      <c r="K2" s="58"/>
      <c r="L2" s="58"/>
      <c r="M2" s="58"/>
      <c r="N2" s="58"/>
      <c r="O2" s="58"/>
      <c r="P2" s="58"/>
    </row>
    <row r="3" spans="2:16" s="32" customFormat="1" ht="12.75" customHeight="1">
      <c r="B3" s="600">
        <f>+'Pg 1 CofCap'!B5</f>
        <v>42004</v>
      </c>
      <c r="C3" s="600"/>
      <c r="D3" s="600"/>
      <c r="E3" s="59"/>
      <c r="F3" s="59"/>
      <c r="G3" s="59"/>
      <c r="H3" s="59"/>
      <c r="I3" s="59"/>
      <c r="J3" s="60"/>
      <c r="K3" s="58"/>
      <c r="L3" s="58"/>
      <c r="M3" s="58"/>
      <c r="N3" s="58"/>
      <c r="O3" s="58"/>
      <c r="P3" s="58"/>
    </row>
    <row r="4" spans="2:16" s="32" customFormat="1" ht="12.75" customHeight="1">
      <c r="B4" s="125"/>
      <c r="C4" s="125"/>
      <c r="D4" s="125"/>
      <c r="E4" s="59"/>
      <c r="F4" s="59"/>
      <c r="G4" s="59"/>
      <c r="H4" s="59"/>
      <c r="I4" s="59"/>
      <c r="J4" s="60"/>
      <c r="K4" s="58"/>
      <c r="L4" s="517" t="s">
        <v>231</v>
      </c>
      <c r="M4" s="58"/>
      <c r="N4" s="58"/>
      <c r="O4" s="58"/>
      <c r="P4" s="58"/>
    </row>
    <row r="5" spans="1:16" s="32" customFormat="1" ht="12.75" customHeight="1">
      <c r="A5" s="237">
        <v>1</v>
      </c>
      <c r="B5" s="129" t="s">
        <v>5</v>
      </c>
      <c r="C5" s="129" t="s">
        <v>27</v>
      </c>
      <c r="D5" s="129" t="s">
        <v>52</v>
      </c>
      <c r="E5" s="129" t="s">
        <v>64</v>
      </c>
      <c r="F5" s="129" t="s">
        <v>65</v>
      </c>
      <c r="G5" s="263" t="s">
        <v>66</v>
      </c>
      <c r="H5" s="129" t="s">
        <v>67</v>
      </c>
      <c r="I5" s="129" t="s">
        <v>68</v>
      </c>
      <c r="J5" s="129" t="s">
        <v>69</v>
      </c>
      <c r="K5" s="58"/>
      <c r="L5" s="58"/>
      <c r="M5" s="58"/>
      <c r="N5" s="58"/>
      <c r="O5" s="58"/>
      <c r="P5" s="58"/>
    </row>
    <row r="6" spans="1:16" s="32" customFormat="1" ht="12.75" customHeight="1">
      <c r="A6" s="237">
        <f aca="true" t="shared" si="0" ref="A6:A26">A5+1</f>
        <v>2</v>
      </c>
      <c r="B6" s="61" t="s">
        <v>2</v>
      </c>
      <c r="C6" s="249" t="s">
        <v>17</v>
      </c>
      <c r="D6" s="250" t="s">
        <v>107</v>
      </c>
      <c r="E6" s="223" t="s">
        <v>143</v>
      </c>
      <c r="F6" s="223" t="s">
        <v>144</v>
      </c>
      <c r="G6" s="223" t="s">
        <v>144</v>
      </c>
      <c r="H6" s="223" t="s">
        <v>70</v>
      </c>
      <c r="I6" s="250" t="s">
        <v>18</v>
      </c>
      <c r="J6" s="60"/>
      <c r="K6" s="58"/>
      <c r="L6" s="516" t="s">
        <v>228</v>
      </c>
      <c r="M6" s="58"/>
      <c r="N6" s="58"/>
      <c r="O6" s="58"/>
      <c r="P6" s="58"/>
    </row>
    <row r="7" spans="1:16" s="32" customFormat="1" ht="12.75" customHeight="1">
      <c r="A7" s="237">
        <f t="shared" si="0"/>
        <v>3</v>
      </c>
      <c r="B7" s="115" t="s">
        <v>17</v>
      </c>
      <c r="C7" s="63" t="s">
        <v>108</v>
      </c>
      <c r="D7" s="63" t="s">
        <v>108</v>
      </c>
      <c r="E7" s="63" t="s">
        <v>108</v>
      </c>
      <c r="F7" s="63" t="s">
        <v>17</v>
      </c>
      <c r="G7" s="63" t="s">
        <v>108</v>
      </c>
      <c r="H7" s="63" t="s">
        <v>145</v>
      </c>
      <c r="I7" s="63" t="s">
        <v>142</v>
      </c>
      <c r="J7" s="64" t="s">
        <v>56</v>
      </c>
      <c r="K7" s="58"/>
      <c r="L7" s="516" t="s">
        <v>229</v>
      </c>
      <c r="M7" s="58"/>
      <c r="N7" s="58"/>
      <c r="O7" s="511">
        <v>40543</v>
      </c>
      <c r="P7" s="58"/>
    </row>
    <row r="8" spans="1:16" s="32" customFormat="1" ht="12.75" customHeight="1">
      <c r="A8" s="237">
        <f t="shared" si="0"/>
        <v>4</v>
      </c>
      <c r="B8" s="116"/>
      <c r="C8" s="117"/>
      <c r="D8" s="117"/>
      <c r="E8" s="117"/>
      <c r="F8" s="117"/>
      <c r="G8" s="117"/>
      <c r="H8" s="301"/>
      <c r="I8" s="65"/>
      <c r="J8" s="118"/>
      <c r="L8" s="512">
        <v>40543</v>
      </c>
      <c r="M8" s="510" t="s">
        <v>225</v>
      </c>
      <c r="N8" s="510" t="s">
        <v>226</v>
      </c>
      <c r="O8" s="510" t="s">
        <v>230</v>
      </c>
      <c r="P8" s="510" t="s">
        <v>227</v>
      </c>
    </row>
    <row r="9" spans="1:19" s="32" customFormat="1" ht="12.75" customHeight="1">
      <c r="A9" s="237">
        <f>A8+1</f>
        <v>5</v>
      </c>
      <c r="B9" s="116">
        <v>0.1025</v>
      </c>
      <c r="C9" s="117">
        <v>32140</v>
      </c>
      <c r="D9" s="117">
        <v>35779</v>
      </c>
      <c r="E9" s="117">
        <v>35048</v>
      </c>
      <c r="F9" s="117"/>
      <c r="G9" s="117"/>
      <c r="H9" s="301">
        <v>42684</v>
      </c>
      <c r="I9" s="302">
        <v>18336</v>
      </c>
      <c r="J9" s="118">
        <v>18900013</v>
      </c>
      <c r="L9" s="509"/>
      <c r="M9" s="515"/>
      <c r="N9" s="515"/>
      <c r="O9" s="513"/>
      <c r="P9" s="515"/>
      <c r="Q9" s="302"/>
      <c r="R9" s="302"/>
      <c r="S9" s="583"/>
    </row>
    <row r="10" spans="1:19" s="32" customFormat="1" ht="12.75" customHeight="1">
      <c r="A10" s="237">
        <f t="shared" si="0"/>
        <v>6</v>
      </c>
      <c r="B10" s="116" t="s">
        <v>124</v>
      </c>
      <c r="C10" s="117">
        <v>35587</v>
      </c>
      <c r="D10" s="117">
        <v>46539</v>
      </c>
      <c r="E10" s="117">
        <v>39234</v>
      </c>
      <c r="F10" s="117" t="s">
        <v>133</v>
      </c>
      <c r="G10" s="117">
        <v>39237</v>
      </c>
      <c r="H10" s="301">
        <v>42887</v>
      </c>
      <c r="I10" s="302">
        <f>15912.9*12</f>
        <v>190954.8</v>
      </c>
      <c r="J10" s="118">
        <v>18900383</v>
      </c>
      <c r="L10" s="509"/>
      <c r="M10" s="515"/>
      <c r="N10" s="515"/>
      <c r="O10" s="513"/>
      <c r="P10" s="515"/>
      <c r="Q10" s="302"/>
      <c r="R10" s="302"/>
      <c r="S10" s="583"/>
    </row>
    <row r="11" spans="1:19" s="32" customFormat="1" ht="12.75" customHeight="1">
      <c r="A11" s="237">
        <f t="shared" si="0"/>
        <v>7</v>
      </c>
      <c r="B11" s="116" t="s">
        <v>138</v>
      </c>
      <c r="C11" s="117">
        <v>33410</v>
      </c>
      <c r="D11" s="117">
        <v>37063</v>
      </c>
      <c r="E11" s="117">
        <v>35961</v>
      </c>
      <c r="F11" s="117" t="s">
        <v>134</v>
      </c>
      <c r="G11" s="117">
        <v>35961</v>
      </c>
      <c r="H11" s="301">
        <v>43266</v>
      </c>
      <c r="I11" s="302">
        <v>3498.84</v>
      </c>
      <c r="J11" s="118">
        <v>18900243</v>
      </c>
      <c r="L11" s="509"/>
      <c r="M11" s="515"/>
      <c r="N11" s="515"/>
      <c r="O11" s="513"/>
      <c r="P11" s="515"/>
      <c r="Q11" s="302"/>
      <c r="R11" s="302"/>
      <c r="S11" s="583"/>
    </row>
    <row r="12" spans="1:19" s="32" customFormat="1" ht="12.75" customHeight="1">
      <c r="A12" s="237">
        <f t="shared" si="0"/>
        <v>8</v>
      </c>
      <c r="B12" s="303" t="s">
        <v>44</v>
      </c>
      <c r="C12" s="117">
        <v>33616</v>
      </c>
      <c r="D12" s="117">
        <f>DATE(2022,1,12)</f>
        <v>44573</v>
      </c>
      <c r="E12" s="304">
        <v>37701</v>
      </c>
      <c r="F12" s="304"/>
      <c r="G12" s="304"/>
      <c r="H12" s="301">
        <f>DATE(2022,1,12)</f>
        <v>44573</v>
      </c>
      <c r="I12" s="302">
        <f>95.09*12</f>
        <v>1141.08</v>
      </c>
      <c r="J12" s="118">
        <v>18900293</v>
      </c>
      <c r="L12" s="509"/>
      <c r="M12" s="515"/>
      <c r="N12" s="515"/>
      <c r="O12" s="513"/>
      <c r="P12" s="515"/>
      <c r="Q12" s="302"/>
      <c r="R12" s="302"/>
      <c r="S12" s="583"/>
    </row>
    <row r="13" spans="1:18" s="32" customFormat="1" ht="12.75" customHeight="1">
      <c r="A13" s="237">
        <f t="shared" si="0"/>
        <v>9</v>
      </c>
      <c r="B13" s="303" t="s">
        <v>45</v>
      </c>
      <c r="C13" s="117">
        <v>33616</v>
      </c>
      <c r="D13" s="117">
        <f>DATE(2022,1,13)</f>
        <v>44574</v>
      </c>
      <c r="E13" s="304">
        <v>37701</v>
      </c>
      <c r="F13" s="304"/>
      <c r="G13" s="304"/>
      <c r="H13" s="301">
        <f>DATE(2022,1,13)</f>
        <v>44574</v>
      </c>
      <c r="I13" s="302">
        <f>221.88*12</f>
        <v>2662.56</v>
      </c>
      <c r="J13" s="118">
        <v>18900303</v>
      </c>
      <c r="K13" s="509"/>
      <c r="L13" s="514"/>
      <c r="M13" s="515"/>
      <c r="N13" s="515"/>
      <c r="O13" s="513"/>
      <c r="P13" s="515"/>
      <c r="Q13" s="302"/>
      <c r="R13" s="302"/>
    </row>
    <row r="14" spans="1:18" s="32" customFormat="1" ht="12.75" customHeight="1">
      <c r="A14" s="237">
        <f t="shared" si="0"/>
        <v>10</v>
      </c>
      <c r="B14" s="303" t="s">
        <v>125</v>
      </c>
      <c r="C14" s="117">
        <v>33828</v>
      </c>
      <c r="D14" s="117">
        <v>44785</v>
      </c>
      <c r="E14" s="304">
        <v>37770</v>
      </c>
      <c r="F14" s="304"/>
      <c r="G14" s="304"/>
      <c r="H14" s="301">
        <v>44785</v>
      </c>
      <c r="I14" s="302">
        <f>5207.14*12</f>
        <v>62485.68000000001</v>
      </c>
      <c r="J14" s="118">
        <v>18900323</v>
      </c>
      <c r="L14" s="514"/>
      <c r="M14" s="515"/>
      <c r="N14" s="515"/>
      <c r="O14" s="513"/>
      <c r="P14" s="515"/>
      <c r="Q14" s="302"/>
      <c r="R14" s="302"/>
    </row>
    <row r="15" spans="1:18" s="32" customFormat="1" ht="12.75" customHeight="1">
      <c r="A15" s="237">
        <f t="shared" si="0"/>
        <v>11</v>
      </c>
      <c r="B15" s="303" t="s">
        <v>146</v>
      </c>
      <c r="C15" s="117">
        <v>34199</v>
      </c>
      <c r="D15" s="117">
        <v>45156</v>
      </c>
      <c r="E15" s="304">
        <v>37851</v>
      </c>
      <c r="H15" s="301">
        <v>45156</v>
      </c>
      <c r="I15" s="302">
        <f>887.99*12</f>
        <v>10655.880000000001</v>
      </c>
      <c r="J15" s="118">
        <v>18900353</v>
      </c>
      <c r="K15" s="509"/>
      <c r="L15" s="514"/>
      <c r="M15" s="515"/>
      <c r="N15" s="515"/>
      <c r="O15" s="513"/>
      <c r="P15" s="515"/>
      <c r="Q15" s="302"/>
      <c r="R15" s="302"/>
    </row>
    <row r="16" spans="1:18" s="32" customFormat="1" ht="12.75" customHeight="1">
      <c r="A16" s="237">
        <f t="shared" si="0"/>
        <v>12</v>
      </c>
      <c r="B16" s="116" t="s">
        <v>139</v>
      </c>
      <c r="C16" s="117">
        <v>33161</v>
      </c>
      <c r="D16" s="117">
        <v>35718</v>
      </c>
      <c r="E16" s="117">
        <v>34372</v>
      </c>
      <c r="F16" s="117" t="s">
        <v>135</v>
      </c>
      <c r="G16" s="117">
        <v>34366</v>
      </c>
      <c r="H16" s="301">
        <v>45323</v>
      </c>
      <c r="I16" s="302">
        <v>168880.08</v>
      </c>
      <c r="J16" s="118">
        <v>18900173</v>
      </c>
      <c r="L16" s="509"/>
      <c r="M16" s="515"/>
      <c r="N16" s="515"/>
      <c r="O16" s="513"/>
      <c r="P16" s="515"/>
      <c r="Q16" s="302"/>
      <c r="R16" s="302"/>
    </row>
    <row r="17" spans="1:18" s="32" customFormat="1" ht="12.75" customHeight="1">
      <c r="A17" s="237">
        <f t="shared" si="0"/>
        <v>13</v>
      </c>
      <c r="B17" s="116" t="s">
        <v>123</v>
      </c>
      <c r="C17" s="117">
        <v>35587</v>
      </c>
      <c r="D17" s="117">
        <v>46539</v>
      </c>
      <c r="E17" s="117">
        <v>38504</v>
      </c>
      <c r="F17" s="117"/>
      <c r="G17" s="117"/>
      <c r="H17" s="301">
        <v>46539</v>
      </c>
      <c r="I17" s="302">
        <f>229804.2</f>
        <v>229804.2</v>
      </c>
      <c r="J17" s="118">
        <v>18900193</v>
      </c>
      <c r="L17" s="509"/>
      <c r="M17" s="515"/>
      <c r="N17" s="515"/>
      <c r="O17" s="513"/>
      <c r="P17" s="515"/>
      <c r="Q17" s="302"/>
      <c r="R17" s="302"/>
    </row>
    <row r="18" spans="1:18" s="32" customFormat="1" ht="12.75" customHeight="1">
      <c r="A18" s="237">
        <f t="shared" si="0"/>
        <v>14</v>
      </c>
      <c r="B18" s="303" t="s">
        <v>40</v>
      </c>
      <c r="C18" s="117">
        <v>33457</v>
      </c>
      <c r="D18" s="117">
        <f>DATE(2021,8,1)</f>
        <v>44409</v>
      </c>
      <c r="E18" s="304">
        <v>37691</v>
      </c>
      <c r="F18" s="304" t="s">
        <v>136</v>
      </c>
      <c r="G18" s="304">
        <v>37691</v>
      </c>
      <c r="H18" s="301">
        <v>47908</v>
      </c>
      <c r="I18" s="302">
        <v>45480.48</v>
      </c>
      <c r="J18" s="118">
        <v>18900253</v>
      </c>
      <c r="L18" s="509"/>
      <c r="M18" s="515"/>
      <c r="N18" s="515"/>
      <c r="O18" s="513"/>
      <c r="P18" s="515"/>
      <c r="Q18" s="302"/>
      <c r="R18" s="302"/>
    </row>
    <row r="19" spans="1:18" s="32" customFormat="1" ht="12.75" customHeight="1">
      <c r="A19" s="237">
        <f t="shared" si="0"/>
        <v>15</v>
      </c>
      <c r="B19" s="303" t="s">
        <v>41</v>
      </c>
      <c r="C19" s="117">
        <v>33457</v>
      </c>
      <c r="D19" s="117">
        <f>DATE(2021,8,1)</f>
        <v>44409</v>
      </c>
      <c r="E19" s="304">
        <v>37691</v>
      </c>
      <c r="F19" s="304" t="s">
        <v>136</v>
      </c>
      <c r="G19" s="304">
        <v>37691</v>
      </c>
      <c r="H19" s="301">
        <v>47908</v>
      </c>
      <c r="I19" s="302">
        <v>34561.44</v>
      </c>
      <c r="J19" s="118">
        <v>18900263</v>
      </c>
      <c r="L19" s="509"/>
      <c r="M19" s="515"/>
      <c r="N19" s="515"/>
      <c r="O19" s="513"/>
      <c r="P19" s="515"/>
      <c r="Q19" s="302"/>
      <c r="R19" s="302"/>
    </row>
    <row r="20" spans="1:18" s="32" customFormat="1" ht="12.75" customHeight="1">
      <c r="A20" s="237">
        <f t="shared" si="0"/>
        <v>16</v>
      </c>
      <c r="B20" s="303" t="s">
        <v>42</v>
      </c>
      <c r="C20" s="117">
        <v>33664</v>
      </c>
      <c r="D20" s="117">
        <f>DATE(2022,3,1)</f>
        <v>44621</v>
      </c>
      <c r="E20" s="304">
        <v>37691</v>
      </c>
      <c r="F20" s="304" t="s">
        <v>136</v>
      </c>
      <c r="G20" s="304">
        <v>37691</v>
      </c>
      <c r="H20" s="301">
        <v>47908</v>
      </c>
      <c r="I20" s="302">
        <v>105825.48</v>
      </c>
      <c r="J20" s="118">
        <v>18900273</v>
      </c>
      <c r="L20" s="509"/>
      <c r="M20" s="515"/>
      <c r="N20" s="515"/>
      <c r="O20" s="513"/>
      <c r="P20" s="515"/>
      <c r="Q20" s="302"/>
      <c r="R20" s="302"/>
    </row>
    <row r="21" spans="1:18" s="32" customFormat="1" ht="12.75" customHeight="1">
      <c r="A21" s="237">
        <f t="shared" si="0"/>
        <v>17</v>
      </c>
      <c r="B21" s="303" t="s">
        <v>43</v>
      </c>
      <c r="C21" s="117">
        <v>33664</v>
      </c>
      <c r="D21" s="117">
        <f>DATE(2022,3,1)</f>
        <v>44621</v>
      </c>
      <c r="E21" s="304">
        <v>37691</v>
      </c>
      <c r="F21" s="304" t="s">
        <v>136</v>
      </c>
      <c r="G21" s="304">
        <v>37691</v>
      </c>
      <c r="H21" s="301">
        <v>47908</v>
      </c>
      <c r="I21" s="302">
        <v>32297.76</v>
      </c>
      <c r="J21" s="118">
        <v>18900283</v>
      </c>
      <c r="L21" s="509"/>
      <c r="M21" s="515"/>
      <c r="N21" s="515"/>
      <c r="O21" s="513"/>
      <c r="P21" s="515"/>
      <c r="Q21" s="302"/>
      <c r="R21" s="302"/>
    </row>
    <row r="22" spans="1:18" s="32" customFormat="1" ht="12.75" customHeight="1">
      <c r="A22" s="237">
        <f t="shared" si="0"/>
        <v>18</v>
      </c>
      <c r="B22" s="303" t="s">
        <v>268</v>
      </c>
      <c r="C22" s="117">
        <v>37691</v>
      </c>
      <c r="D22" s="117">
        <v>47908</v>
      </c>
      <c r="E22" s="304">
        <v>41449</v>
      </c>
      <c r="F22" s="304" t="s">
        <v>269</v>
      </c>
      <c r="G22" s="304">
        <v>41417</v>
      </c>
      <c r="H22" s="301">
        <v>47908</v>
      </c>
      <c r="I22" s="302">
        <f>12*24927.39</f>
        <v>299128.68</v>
      </c>
      <c r="J22" s="118">
        <v>18900433</v>
      </c>
      <c r="L22" s="509"/>
      <c r="M22" s="515"/>
      <c r="N22" s="515"/>
      <c r="O22" s="513"/>
      <c r="P22" s="515"/>
      <c r="Q22" s="302"/>
      <c r="R22" s="302"/>
    </row>
    <row r="23" spans="1:18" s="32" customFormat="1" ht="12.75" customHeight="1">
      <c r="A23" s="237">
        <f t="shared" si="0"/>
        <v>19</v>
      </c>
      <c r="B23" s="303" t="s">
        <v>268</v>
      </c>
      <c r="C23" s="117">
        <v>37691</v>
      </c>
      <c r="D23" s="117">
        <v>47908</v>
      </c>
      <c r="E23" s="304">
        <v>41449</v>
      </c>
      <c r="F23" s="304" t="s">
        <v>269</v>
      </c>
      <c r="G23" s="304">
        <v>41417</v>
      </c>
      <c r="H23" s="301">
        <v>47908</v>
      </c>
      <c r="I23" s="302">
        <f>12*4212.77</f>
        <v>50553.240000000005</v>
      </c>
      <c r="J23" s="118">
        <v>18900533</v>
      </c>
      <c r="L23" s="509"/>
      <c r="M23" s="515"/>
      <c r="N23" s="515"/>
      <c r="O23" s="513"/>
      <c r="P23" s="515"/>
      <c r="Q23" s="302"/>
      <c r="R23" s="302"/>
    </row>
    <row r="24" spans="1:18" s="32" customFormat="1" ht="12.75" customHeight="1">
      <c r="A24" s="237">
        <f>A23+1</f>
        <v>20</v>
      </c>
      <c r="B24" s="116" t="s">
        <v>101</v>
      </c>
      <c r="C24" s="117">
        <v>38183</v>
      </c>
      <c r="D24" s="117">
        <v>38913</v>
      </c>
      <c r="E24" s="117">
        <v>38499</v>
      </c>
      <c r="F24" s="117" t="s">
        <v>102</v>
      </c>
      <c r="G24" s="117">
        <v>38499</v>
      </c>
      <c r="H24" s="301">
        <v>49456</v>
      </c>
      <c r="I24" s="302">
        <f>17086.56</f>
        <v>17086.56</v>
      </c>
      <c r="J24" s="118">
        <v>18900183</v>
      </c>
      <c r="L24" s="509"/>
      <c r="M24" s="515"/>
      <c r="N24" s="515"/>
      <c r="O24" s="513"/>
      <c r="P24" s="515"/>
      <c r="Q24" s="302"/>
      <c r="R24" s="302"/>
    </row>
    <row r="25" spans="1:18" s="32" customFormat="1" ht="12.75" customHeight="1">
      <c r="A25" s="237">
        <f t="shared" si="0"/>
        <v>21</v>
      </c>
      <c r="B25" s="116" t="s">
        <v>29</v>
      </c>
      <c r="C25" s="117">
        <v>37035</v>
      </c>
      <c r="D25" s="117">
        <v>51682</v>
      </c>
      <c r="E25" s="117">
        <v>38898</v>
      </c>
      <c r="F25" s="117" t="s">
        <v>137</v>
      </c>
      <c r="G25" s="117">
        <v>38898</v>
      </c>
      <c r="H25" s="301">
        <v>49841</v>
      </c>
      <c r="I25" s="302">
        <f>(16418.45*12)</f>
        <v>197021.40000000002</v>
      </c>
      <c r="J25" s="118">
        <v>18900373</v>
      </c>
      <c r="L25" s="509"/>
      <c r="M25" s="515"/>
      <c r="N25" s="515"/>
      <c r="O25" s="513"/>
      <c r="P25" s="515"/>
      <c r="Q25" s="302"/>
      <c r="R25" s="302"/>
    </row>
    <row r="26" spans="1:18" s="32" customFormat="1" ht="12.75" customHeight="1">
      <c r="A26" s="237">
        <f t="shared" si="0"/>
        <v>22</v>
      </c>
      <c r="B26" s="116" t="s">
        <v>259</v>
      </c>
      <c r="C26" s="117">
        <v>33117</v>
      </c>
      <c r="D26" s="117">
        <v>44075</v>
      </c>
      <c r="E26" s="117">
        <v>40900</v>
      </c>
      <c r="F26" s="117" t="s">
        <v>260</v>
      </c>
      <c r="G26" s="117">
        <v>40869</v>
      </c>
      <c r="H26" s="301">
        <v>55472</v>
      </c>
      <c r="I26" s="302">
        <v>400518.84</v>
      </c>
      <c r="J26" s="118">
        <v>18900393</v>
      </c>
      <c r="L26" s="509"/>
      <c r="M26" s="275"/>
      <c r="N26" s="275"/>
      <c r="O26" s="275"/>
      <c r="P26" s="275"/>
      <c r="Q26" s="302"/>
      <c r="R26" s="302"/>
    </row>
    <row r="27" spans="1:10" s="32" customFormat="1" ht="12.75" customHeight="1">
      <c r="A27" s="237">
        <v>28</v>
      </c>
      <c r="B27" s="116"/>
      <c r="C27" s="117"/>
      <c r="D27" s="117"/>
      <c r="E27" s="117"/>
      <c r="F27" s="117"/>
      <c r="G27" s="117"/>
      <c r="H27" s="301"/>
      <c r="I27" s="305"/>
      <c r="J27" s="306"/>
    </row>
    <row r="28" spans="1:10" s="32" customFormat="1" ht="15" customHeight="1" thickBot="1">
      <c r="A28" s="237">
        <v>29</v>
      </c>
      <c r="B28" s="114" t="s">
        <v>28</v>
      </c>
      <c r="C28" s="119"/>
      <c r="D28" s="119"/>
      <c r="E28" s="119"/>
      <c r="F28" s="119"/>
      <c r="G28" s="119"/>
      <c r="H28" s="119"/>
      <c r="I28" s="307">
        <f>SUM(I8:I27)</f>
        <v>1870892.9999999998</v>
      </c>
      <c r="J28" s="121"/>
    </row>
    <row r="29" spans="1:10" s="32" customFormat="1" ht="12.75" customHeight="1" thickTop="1">
      <c r="A29" s="237">
        <v>30</v>
      </c>
      <c r="B29" s="122"/>
      <c r="C29" s="123"/>
      <c r="D29" s="123"/>
      <c r="E29" s="123"/>
      <c r="F29" s="123"/>
      <c r="G29" s="123"/>
      <c r="H29" s="123"/>
      <c r="I29" s="65"/>
      <c r="J29" s="120"/>
    </row>
    <row r="30" spans="1:10" s="32" customFormat="1" ht="12.75" customHeight="1">
      <c r="A30" s="237">
        <v>31</v>
      </c>
      <c r="C30" s="58"/>
      <c r="D30" s="58"/>
      <c r="E30" s="58"/>
      <c r="F30" s="58"/>
      <c r="G30" s="58"/>
      <c r="H30" s="150"/>
      <c r="I30" s="65"/>
      <c r="J30" s="120"/>
    </row>
    <row r="31" spans="1:9" s="32" customFormat="1" ht="12.75" customHeight="1">
      <c r="A31" s="237">
        <v>32</v>
      </c>
      <c r="B31" s="235"/>
      <c r="C31" s="236"/>
      <c r="D31" s="236"/>
      <c r="E31" s="236"/>
      <c r="F31" s="236"/>
      <c r="H31" s="33"/>
      <c r="I31" s="65"/>
    </row>
    <row r="32" spans="1:10" s="32" customFormat="1" ht="12.75" customHeight="1">
      <c r="A32" s="237">
        <v>33</v>
      </c>
      <c r="B32" s="58" t="s">
        <v>141</v>
      </c>
      <c r="H32" s="33"/>
      <c r="I32" s="65"/>
      <c r="J32" s="118"/>
    </row>
    <row r="33" spans="1:9" s="32" customFormat="1" ht="12.75" customHeight="1">
      <c r="A33" s="237">
        <v>34</v>
      </c>
      <c r="B33" s="266" t="s">
        <v>140</v>
      </c>
      <c r="H33" s="33"/>
      <c r="I33" s="33"/>
    </row>
    <row r="34" spans="1:9" s="32" customFormat="1" ht="12.75" customHeight="1">
      <c r="A34" s="238"/>
      <c r="H34" s="33"/>
      <c r="I34" s="33"/>
    </row>
    <row r="35" spans="8:9" s="32" customFormat="1" ht="12.75" customHeight="1">
      <c r="H35" s="33"/>
      <c r="I35" s="33"/>
    </row>
    <row r="36" spans="8:9" s="32" customFormat="1" ht="12.75" customHeight="1">
      <c r="H36" s="33"/>
      <c r="I36" s="225"/>
    </row>
    <row r="37" spans="8:9" s="32" customFormat="1" ht="12.75" customHeight="1">
      <c r="H37" s="33"/>
      <c r="I37" s="33"/>
    </row>
    <row r="38" spans="8:9" s="32" customFormat="1" ht="12.75" customHeight="1">
      <c r="H38" s="33"/>
      <c r="I38" s="33"/>
    </row>
    <row r="39" spans="8:9" s="32" customFormat="1" ht="12.75" customHeight="1">
      <c r="H39" s="33"/>
      <c r="I39" s="33"/>
    </row>
    <row r="40" spans="8:9" s="32" customFormat="1" ht="12.75" customHeight="1">
      <c r="H40" s="33"/>
      <c r="I40" s="33"/>
    </row>
    <row r="41" spans="8:9" s="32" customFormat="1" ht="12.75" customHeight="1">
      <c r="H41" s="33"/>
      <c r="I41" s="33"/>
    </row>
    <row r="42" spans="8:9" s="32" customFormat="1" ht="12.75" customHeight="1">
      <c r="H42" s="33"/>
      <c r="I42" s="33"/>
    </row>
    <row r="43" spans="8:9" s="32" customFormat="1" ht="12.75" customHeight="1">
      <c r="H43" s="33"/>
      <c r="I43" s="33"/>
    </row>
    <row r="44" spans="8:9" s="32" customFormat="1" ht="12.75" customHeight="1">
      <c r="H44" s="33"/>
      <c r="I44" s="33"/>
    </row>
    <row r="45" s="32" customFormat="1" ht="12.75" customHeight="1"/>
    <row r="46" s="32" customFormat="1" ht="12.75" customHeight="1"/>
    <row r="47" s="32" customFormat="1" ht="12.75" customHeight="1"/>
    <row r="48" s="32" customFormat="1" ht="12.75" customHeight="1"/>
    <row r="49" s="32" customFormat="1" ht="12.75" customHeight="1"/>
    <row r="50" s="32" customFormat="1" ht="12.75" customHeight="1"/>
    <row r="51" s="32" customFormat="1" ht="12.75" customHeight="1"/>
    <row r="52" s="32" customFormat="1" ht="15"/>
    <row r="53" s="32" customFormat="1" ht="15"/>
    <row r="54" s="32" customFormat="1" ht="15"/>
    <row r="55" s="32" customFormat="1" ht="15"/>
    <row r="56" s="32" customFormat="1" ht="15"/>
    <row r="57" s="32" customFormat="1" ht="15"/>
    <row r="58" s="32" customFormat="1" ht="15"/>
    <row r="59" s="32" customFormat="1" ht="15"/>
    <row r="60" s="32" customFormat="1" ht="15"/>
    <row r="61" s="32" customFormat="1" ht="15"/>
    <row r="62" s="32" customFormat="1" ht="15"/>
    <row r="63" s="32" customFormat="1" ht="15"/>
    <row r="64" s="32" customFormat="1" ht="15"/>
    <row r="65" s="32" customFormat="1" ht="15"/>
    <row r="66" s="32" customFormat="1" ht="15"/>
    <row r="67" s="32" customFormat="1" ht="15"/>
    <row r="68" s="32" customFormat="1" ht="15"/>
    <row r="69" s="32" customFormat="1" ht="15"/>
    <row r="70" s="32" customFormat="1" ht="15"/>
    <row r="71" s="32" customFormat="1" ht="15"/>
    <row r="72" s="32" customFormat="1" ht="15"/>
    <row r="73" s="32" customFormat="1" ht="15"/>
    <row r="74" s="32" customFormat="1" ht="15"/>
    <row r="75" s="32" customFormat="1" ht="15"/>
    <row r="76" s="32" customFormat="1" ht="15"/>
  </sheetData>
  <sheetProtection/>
  <mergeCells count="1">
    <mergeCell ref="B3:D3"/>
  </mergeCells>
  <printOptions horizontalCentered="1"/>
  <pageMargins left="0.2" right="0.2" top="0.75" bottom="0.4" header="0.36" footer="0.17"/>
  <pageSetup horizontalDpi="600" verticalDpi="600" orientation="landscape" r:id="rId3"/>
  <headerFooter alignWithMargins="0">
    <oddFooter>&amp;C&amp;A&amp;R&amp;7&amp;F</oddFooter>
  </headerFooter>
  <legacyDrawing r:id="rId2"/>
</worksheet>
</file>

<file path=xl/worksheets/sheet9.xml><?xml version="1.0" encoding="utf-8"?>
<worksheet xmlns="http://schemas.openxmlformats.org/spreadsheetml/2006/main" xmlns:r="http://schemas.openxmlformats.org/officeDocument/2006/relationships">
  <dimension ref="B1:S72"/>
  <sheetViews>
    <sheetView zoomScalePageLayoutView="0" workbookViewId="0" topLeftCell="A13">
      <selection activeCell="N64" sqref="N64"/>
    </sheetView>
  </sheetViews>
  <sheetFormatPr defaultColWidth="9.33203125" defaultRowHeight="11.25"/>
  <cols>
    <col min="2" max="2" width="9.33203125" style="581" customWidth="1"/>
    <col min="5" max="5" width="10.83203125" style="577" bestFit="1" customWidth="1"/>
    <col min="8" max="8" width="39" style="0" customWidth="1"/>
    <col min="9" max="10" width="9.33203125" style="0" customWidth="1"/>
    <col min="11" max="11" width="10.83203125" style="0" customWidth="1"/>
    <col min="12" max="12" width="9.33203125" style="0" customWidth="1"/>
    <col min="13" max="13" width="10.83203125" style="0" customWidth="1"/>
    <col min="14" max="17" width="9.33203125" style="0" customWidth="1"/>
  </cols>
  <sheetData>
    <row r="1" ht="12.75">
      <c r="B1" s="581" t="s">
        <v>296</v>
      </c>
    </row>
    <row r="2" spans="3:15" ht="12.75">
      <c r="C2">
        <v>1000</v>
      </c>
      <c r="E2" s="577">
        <v>18900013</v>
      </c>
      <c r="H2" t="s">
        <v>271</v>
      </c>
      <c r="K2">
        <v>52742</v>
      </c>
      <c r="M2">
        <v>52742</v>
      </c>
      <c r="O2">
        <v>0</v>
      </c>
    </row>
    <row r="3" spans="3:15" ht="12.75">
      <c r="C3">
        <v>1000</v>
      </c>
      <c r="E3" s="577">
        <v>18900173</v>
      </c>
      <c r="H3" t="s">
        <v>272</v>
      </c>
      <c r="K3">
        <v>1702874.8</v>
      </c>
      <c r="M3">
        <v>1702874.8</v>
      </c>
      <c r="O3">
        <v>0</v>
      </c>
    </row>
    <row r="4" spans="3:15" ht="12.75">
      <c r="C4">
        <v>1000</v>
      </c>
      <c r="E4" s="577">
        <v>18900183</v>
      </c>
      <c r="H4" t="s">
        <v>273</v>
      </c>
      <c r="K4">
        <v>365936.61</v>
      </c>
      <c r="M4">
        <v>365936.61</v>
      </c>
      <c r="O4">
        <v>0</v>
      </c>
    </row>
    <row r="5" spans="3:15" ht="12.75">
      <c r="C5">
        <v>1000</v>
      </c>
      <c r="E5" s="577">
        <v>18900193</v>
      </c>
      <c r="H5" t="s">
        <v>274</v>
      </c>
      <c r="K5">
        <v>3083205.61</v>
      </c>
      <c r="M5">
        <v>3083205.61</v>
      </c>
      <c r="O5">
        <v>0</v>
      </c>
    </row>
    <row r="6" spans="3:15" ht="12.75">
      <c r="C6">
        <v>1000</v>
      </c>
      <c r="E6" s="577">
        <v>18900243</v>
      </c>
      <c r="H6" t="s">
        <v>275</v>
      </c>
      <c r="K6">
        <v>15744.35</v>
      </c>
      <c r="M6">
        <v>15744.35</v>
      </c>
      <c r="O6">
        <v>0</v>
      </c>
    </row>
    <row r="7" spans="3:15" ht="12.75">
      <c r="C7">
        <v>1000</v>
      </c>
      <c r="E7" s="577">
        <v>18900253</v>
      </c>
      <c r="H7" t="s">
        <v>276</v>
      </c>
      <c r="K7">
        <v>780747.67</v>
      </c>
      <c r="M7">
        <v>780747.67</v>
      </c>
      <c r="O7">
        <v>0</v>
      </c>
    </row>
    <row r="8" spans="3:15" ht="12.75">
      <c r="C8">
        <v>1000</v>
      </c>
      <c r="E8" s="577">
        <v>18900263</v>
      </c>
      <c r="H8" t="s">
        <v>277</v>
      </c>
      <c r="K8">
        <v>593303.82</v>
      </c>
      <c r="M8">
        <v>593303.82</v>
      </c>
      <c r="O8">
        <v>0</v>
      </c>
    </row>
    <row r="9" spans="3:15" ht="12.75">
      <c r="C9">
        <v>1000</v>
      </c>
      <c r="E9" s="577">
        <v>18900273</v>
      </c>
      <c r="H9" t="s">
        <v>278</v>
      </c>
      <c r="K9">
        <v>1816669.69</v>
      </c>
      <c r="M9">
        <v>1816669.69</v>
      </c>
      <c r="O9">
        <v>0</v>
      </c>
    </row>
    <row r="10" spans="3:15" ht="12.75">
      <c r="C10">
        <v>1000</v>
      </c>
      <c r="E10" s="577">
        <v>18900283</v>
      </c>
      <c r="H10" t="s">
        <v>279</v>
      </c>
      <c r="K10">
        <v>554446.11</v>
      </c>
      <c r="M10">
        <v>554446.11</v>
      </c>
      <c r="O10">
        <v>0</v>
      </c>
    </row>
    <row r="11" spans="3:15" ht="12.75">
      <c r="C11">
        <v>1000</v>
      </c>
      <c r="E11" s="577">
        <v>18900293</v>
      </c>
      <c r="H11" t="s">
        <v>280</v>
      </c>
      <c r="K11">
        <v>9128.82</v>
      </c>
      <c r="M11">
        <v>9128.82</v>
      </c>
      <c r="O11">
        <v>0</v>
      </c>
    </row>
    <row r="12" spans="3:15" ht="12.75">
      <c r="C12">
        <v>1000</v>
      </c>
      <c r="E12" s="577">
        <v>18900303</v>
      </c>
      <c r="H12" t="s">
        <v>281</v>
      </c>
      <c r="K12">
        <v>21299.61</v>
      </c>
      <c r="M12">
        <v>21299.61</v>
      </c>
      <c r="O12">
        <v>0</v>
      </c>
    </row>
    <row r="13" spans="3:15" ht="12.75">
      <c r="C13">
        <v>1000</v>
      </c>
      <c r="E13" s="577">
        <v>18900323</v>
      </c>
      <c r="H13" t="s">
        <v>282</v>
      </c>
      <c r="K13">
        <v>541542.92</v>
      </c>
      <c r="M13">
        <v>541542.92</v>
      </c>
      <c r="O13">
        <v>0</v>
      </c>
    </row>
    <row r="14" spans="3:15" ht="12.75">
      <c r="C14">
        <v>1000</v>
      </c>
      <c r="E14" s="577">
        <v>18900353</v>
      </c>
      <c r="H14" t="s">
        <v>283</v>
      </c>
      <c r="K14">
        <v>102120.9</v>
      </c>
      <c r="M14">
        <v>102120.9</v>
      </c>
      <c r="O14">
        <v>0</v>
      </c>
    </row>
    <row r="15" spans="3:15" ht="12.75">
      <c r="C15">
        <v>1000</v>
      </c>
      <c r="E15" s="577">
        <v>18900373</v>
      </c>
      <c r="H15" t="s">
        <v>284</v>
      </c>
      <c r="K15">
        <v>4432980.76</v>
      </c>
      <c r="M15">
        <v>4432980.76</v>
      </c>
      <c r="O15">
        <v>0</v>
      </c>
    </row>
    <row r="16" spans="3:15" ht="12.75">
      <c r="C16">
        <v>1000</v>
      </c>
      <c r="E16" s="577">
        <v>18900383</v>
      </c>
      <c r="H16" t="s">
        <v>285</v>
      </c>
      <c r="K16">
        <v>652428.99</v>
      </c>
      <c r="M16">
        <v>652428.99</v>
      </c>
      <c r="O16">
        <v>0</v>
      </c>
    </row>
    <row r="17" spans="3:15" ht="12.75">
      <c r="C17">
        <v>1000</v>
      </c>
      <c r="E17" s="577">
        <v>18900393</v>
      </c>
      <c r="H17" t="s">
        <v>286</v>
      </c>
      <c r="K17">
        <v>15152963.5</v>
      </c>
      <c r="M17">
        <v>15152963.5</v>
      </c>
      <c r="O17">
        <v>0</v>
      </c>
    </row>
    <row r="18" spans="3:17" ht="12.75">
      <c r="C18" s="578">
        <v>1000</v>
      </c>
      <c r="D18" s="578"/>
      <c r="E18" s="579">
        <v>18900403</v>
      </c>
      <c r="F18" s="578"/>
      <c r="G18" s="578"/>
      <c r="H18" s="578" t="s">
        <v>287</v>
      </c>
      <c r="I18" s="578"/>
      <c r="J18" s="578"/>
      <c r="K18" s="578">
        <v>258483.07</v>
      </c>
      <c r="L18" s="578"/>
      <c r="M18" s="578">
        <v>258483.07</v>
      </c>
      <c r="N18" s="578"/>
      <c r="O18" s="578">
        <v>0</v>
      </c>
      <c r="P18" s="578"/>
      <c r="Q18" s="578"/>
    </row>
    <row r="19" spans="3:17" ht="12.75">
      <c r="C19" s="578">
        <v>1000</v>
      </c>
      <c r="D19" s="578"/>
      <c r="E19" s="579">
        <v>18900413</v>
      </c>
      <c r="F19" s="578"/>
      <c r="G19" s="578"/>
      <c r="H19" s="578" t="s">
        <v>288</v>
      </c>
      <c r="I19" s="578"/>
      <c r="J19" s="578"/>
      <c r="K19" s="578">
        <v>339527.78</v>
      </c>
      <c r="L19" s="578"/>
      <c r="M19" s="578">
        <v>339527.78</v>
      </c>
      <c r="N19" s="578"/>
      <c r="O19" s="578">
        <v>0</v>
      </c>
      <c r="P19" s="578"/>
      <c r="Q19" s="578"/>
    </row>
    <row r="20" spans="3:17" ht="12.75">
      <c r="C20" s="578">
        <v>1000</v>
      </c>
      <c r="D20" s="578"/>
      <c r="E20" s="579">
        <v>18900423</v>
      </c>
      <c r="F20" s="578"/>
      <c r="G20" s="578"/>
      <c r="H20" s="578" t="s">
        <v>289</v>
      </c>
      <c r="I20" s="578"/>
      <c r="J20" s="578"/>
      <c r="K20" s="578">
        <v>1353341.67</v>
      </c>
      <c r="L20" s="578"/>
      <c r="M20" s="578">
        <v>1353341.67</v>
      </c>
      <c r="N20" s="578"/>
      <c r="O20" s="578">
        <v>0</v>
      </c>
      <c r="P20" s="578"/>
      <c r="Q20" s="578"/>
    </row>
    <row r="21" spans="3:15" ht="12.75">
      <c r="C21">
        <v>1000</v>
      </c>
      <c r="E21" s="577">
        <v>18900433</v>
      </c>
      <c r="H21" t="s">
        <v>290</v>
      </c>
      <c r="K21">
        <v>5135043.88</v>
      </c>
      <c r="M21">
        <v>5135043.88</v>
      </c>
      <c r="O21">
        <v>0</v>
      </c>
    </row>
    <row r="22" spans="3:15" ht="12.75">
      <c r="C22">
        <v>1000</v>
      </c>
      <c r="E22" s="577">
        <v>18900533</v>
      </c>
      <c r="H22" t="s">
        <v>291</v>
      </c>
      <c r="K22">
        <v>867832.16</v>
      </c>
      <c r="M22">
        <v>867832.16</v>
      </c>
      <c r="O22">
        <v>0</v>
      </c>
    </row>
    <row r="24" ht="12.75">
      <c r="B24" s="581" t="s">
        <v>294</v>
      </c>
    </row>
    <row r="25" spans="3:17" ht="12.75">
      <c r="C25">
        <v>1000</v>
      </c>
      <c r="E25" s="577">
        <v>18900013</v>
      </c>
      <c r="H25" t="s">
        <v>271</v>
      </c>
      <c r="K25">
        <v>43574</v>
      </c>
      <c r="M25">
        <v>52742</v>
      </c>
      <c r="O25">
        <v>-9168</v>
      </c>
      <c r="Q25">
        <v>-17.4</v>
      </c>
    </row>
    <row r="26" spans="3:17" ht="12.75">
      <c r="C26">
        <v>1000</v>
      </c>
      <c r="E26" s="577">
        <v>18900173</v>
      </c>
      <c r="H26" t="s">
        <v>272</v>
      </c>
      <c r="K26">
        <v>1618434.76</v>
      </c>
      <c r="M26">
        <v>1702874.8</v>
      </c>
      <c r="O26">
        <v>-84440.04</v>
      </c>
      <c r="Q26">
        <v>-5</v>
      </c>
    </row>
    <row r="27" spans="3:17" ht="12.75">
      <c r="C27">
        <v>1000</v>
      </c>
      <c r="E27" s="577">
        <v>18900183</v>
      </c>
      <c r="H27" t="s">
        <v>273</v>
      </c>
      <c r="K27">
        <v>357393.33</v>
      </c>
      <c r="M27">
        <v>365936.61</v>
      </c>
      <c r="O27">
        <v>-8543.28</v>
      </c>
      <c r="Q27">
        <v>-2.3</v>
      </c>
    </row>
    <row r="28" spans="3:17" ht="12.75">
      <c r="C28">
        <v>1000</v>
      </c>
      <c r="E28" s="577">
        <v>18900193</v>
      </c>
      <c r="H28" t="s">
        <v>274</v>
      </c>
      <c r="K28">
        <v>2968303.51</v>
      </c>
      <c r="M28">
        <v>3083205.61</v>
      </c>
      <c r="O28">
        <v>-114902.1</v>
      </c>
      <c r="Q28">
        <v>-3.7</v>
      </c>
    </row>
    <row r="29" spans="3:17" ht="12.75">
      <c r="C29">
        <v>1000</v>
      </c>
      <c r="E29" s="577">
        <v>18900243</v>
      </c>
      <c r="H29" t="s">
        <v>275</v>
      </c>
      <c r="K29">
        <v>13994.93</v>
      </c>
      <c r="M29">
        <v>15744.35</v>
      </c>
      <c r="O29">
        <v>-1749.42</v>
      </c>
      <c r="Q29">
        <v>-11.1</v>
      </c>
    </row>
    <row r="30" spans="3:17" ht="12.75">
      <c r="C30">
        <v>1000</v>
      </c>
      <c r="E30" s="577">
        <v>18900253</v>
      </c>
      <c r="H30" t="s">
        <v>276</v>
      </c>
      <c r="K30">
        <v>758007.43</v>
      </c>
      <c r="M30">
        <v>780747.67</v>
      </c>
      <c r="O30">
        <v>-22740.24</v>
      </c>
      <c r="Q30">
        <v>-2.9</v>
      </c>
    </row>
    <row r="31" spans="3:17" ht="12.75">
      <c r="C31">
        <v>1000</v>
      </c>
      <c r="E31" s="577">
        <v>18900263</v>
      </c>
      <c r="H31" t="s">
        <v>277</v>
      </c>
      <c r="K31">
        <v>576023.1</v>
      </c>
      <c r="M31">
        <v>593303.82</v>
      </c>
      <c r="O31">
        <v>-17280.72</v>
      </c>
      <c r="Q31">
        <v>-2.9</v>
      </c>
    </row>
    <row r="32" spans="3:17" ht="12.75">
      <c r="C32">
        <v>1000</v>
      </c>
      <c r="E32" s="577">
        <v>18900273</v>
      </c>
      <c r="H32" t="s">
        <v>278</v>
      </c>
      <c r="K32">
        <v>1763756.95</v>
      </c>
      <c r="M32">
        <v>1816669.69</v>
      </c>
      <c r="O32">
        <v>-52912.74</v>
      </c>
      <c r="Q32">
        <v>-2.9</v>
      </c>
    </row>
    <row r="33" spans="3:17" ht="12.75">
      <c r="C33">
        <v>1000</v>
      </c>
      <c r="E33" s="577">
        <v>18900283</v>
      </c>
      <c r="H33" t="s">
        <v>279</v>
      </c>
      <c r="K33">
        <v>538297.23</v>
      </c>
      <c r="M33">
        <v>554446.11</v>
      </c>
      <c r="O33">
        <v>-16148.88</v>
      </c>
      <c r="Q33">
        <v>-2.9</v>
      </c>
    </row>
    <row r="34" spans="3:17" ht="12.75">
      <c r="C34">
        <v>1000</v>
      </c>
      <c r="E34" s="577">
        <v>18900293</v>
      </c>
      <c r="H34" t="s">
        <v>280</v>
      </c>
      <c r="K34">
        <v>8558.28</v>
      </c>
      <c r="M34">
        <v>9128.82</v>
      </c>
      <c r="O34">
        <v>-570.54</v>
      </c>
      <c r="Q34">
        <v>-6.2</v>
      </c>
    </row>
    <row r="35" spans="3:17" ht="12.75">
      <c r="C35">
        <v>1000</v>
      </c>
      <c r="E35" s="577">
        <v>18900303</v>
      </c>
      <c r="H35" t="s">
        <v>281</v>
      </c>
      <c r="K35">
        <v>19968.33</v>
      </c>
      <c r="M35">
        <v>21299.61</v>
      </c>
      <c r="O35">
        <v>-1331.28</v>
      </c>
      <c r="Q35">
        <v>-6.3</v>
      </c>
    </row>
    <row r="36" spans="3:17" ht="12.75">
      <c r="C36">
        <v>1000</v>
      </c>
      <c r="E36" s="577">
        <v>18900323</v>
      </c>
      <c r="H36" t="s">
        <v>282</v>
      </c>
      <c r="K36">
        <v>510300.08</v>
      </c>
      <c r="M36">
        <v>541542.92</v>
      </c>
      <c r="O36">
        <v>-31242.84</v>
      </c>
      <c r="Q36">
        <v>-5.8</v>
      </c>
    </row>
    <row r="37" spans="3:17" ht="12.75">
      <c r="C37">
        <v>1000</v>
      </c>
      <c r="E37" s="577">
        <v>18900353</v>
      </c>
      <c r="H37" t="s">
        <v>283</v>
      </c>
      <c r="K37">
        <v>96792.96</v>
      </c>
      <c r="M37">
        <v>102120.9</v>
      </c>
      <c r="O37">
        <v>-5327.94</v>
      </c>
      <c r="Q37">
        <v>-5.2</v>
      </c>
    </row>
    <row r="38" spans="3:17" ht="12.75">
      <c r="C38">
        <v>1000</v>
      </c>
      <c r="E38" s="577">
        <v>18900373</v>
      </c>
      <c r="H38" t="s">
        <v>284</v>
      </c>
      <c r="K38">
        <v>4334470.06</v>
      </c>
      <c r="M38">
        <v>4432980.76</v>
      </c>
      <c r="O38">
        <v>-98510.7</v>
      </c>
      <c r="Q38">
        <v>-2.2</v>
      </c>
    </row>
    <row r="39" spans="3:17" ht="12.75">
      <c r="C39">
        <v>1000</v>
      </c>
      <c r="E39" s="577">
        <v>18900383</v>
      </c>
      <c r="H39" t="s">
        <v>285</v>
      </c>
      <c r="K39">
        <v>556951.59</v>
      </c>
      <c r="M39">
        <v>652428.99</v>
      </c>
      <c r="O39">
        <v>-95477.4</v>
      </c>
      <c r="Q39">
        <v>-14.6</v>
      </c>
    </row>
    <row r="40" spans="3:17" ht="12.75">
      <c r="C40">
        <v>1000</v>
      </c>
      <c r="E40" s="577">
        <v>18900393</v>
      </c>
      <c r="H40" t="s">
        <v>286</v>
      </c>
      <c r="K40">
        <v>14952704.08</v>
      </c>
      <c r="M40">
        <v>15152963.5</v>
      </c>
      <c r="O40">
        <v>-200259.42</v>
      </c>
      <c r="Q40">
        <v>-1.3</v>
      </c>
    </row>
    <row r="41" spans="3:19" ht="12.75">
      <c r="C41" s="578">
        <v>1000</v>
      </c>
      <c r="D41" s="578"/>
      <c r="E41" s="579">
        <v>18900403</v>
      </c>
      <c r="F41" s="578"/>
      <c r="G41" s="578"/>
      <c r="H41" s="578" t="s">
        <v>287</v>
      </c>
      <c r="I41" s="578"/>
      <c r="J41" s="578"/>
      <c r="K41" s="578">
        <v>226832.11</v>
      </c>
      <c r="L41" s="578"/>
      <c r="M41" s="578">
        <v>258483.07</v>
      </c>
      <c r="N41" s="578"/>
      <c r="O41" s="578">
        <v>-31650.96</v>
      </c>
      <c r="P41" s="578"/>
      <c r="Q41" s="578">
        <v>-12.2</v>
      </c>
      <c r="S41">
        <f>K41-K68</f>
        <v>-35683.26000000001</v>
      </c>
    </row>
    <row r="42" spans="3:19" ht="12.75">
      <c r="C42" s="578">
        <v>1000</v>
      </c>
      <c r="D42" s="578"/>
      <c r="E42" s="579">
        <v>18900413</v>
      </c>
      <c r="F42" s="578"/>
      <c r="G42" s="578"/>
      <c r="H42" s="578" t="s">
        <v>288</v>
      </c>
      <c r="I42" s="578"/>
      <c r="J42" s="578"/>
      <c r="K42" s="578">
        <v>297952.94</v>
      </c>
      <c r="L42" s="578"/>
      <c r="M42" s="578">
        <v>339527.78</v>
      </c>
      <c r="N42" s="578"/>
      <c r="O42" s="578">
        <v>-41574.84</v>
      </c>
      <c r="P42" s="578"/>
      <c r="Q42" s="578">
        <v>-12.2</v>
      </c>
      <c r="S42">
        <f>K42-K69</f>
        <v>-59006.340000000026</v>
      </c>
    </row>
    <row r="43" spans="3:19" ht="12.75">
      <c r="C43" s="578">
        <v>1000</v>
      </c>
      <c r="D43" s="578"/>
      <c r="E43" s="579">
        <v>18900423</v>
      </c>
      <c r="F43" s="578"/>
      <c r="G43" s="578"/>
      <c r="H43" s="578" t="s">
        <v>289</v>
      </c>
      <c r="I43" s="578"/>
      <c r="J43" s="578"/>
      <c r="K43" s="578">
        <v>1187626.35</v>
      </c>
      <c r="L43" s="578"/>
      <c r="M43" s="578">
        <v>1353341.67</v>
      </c>
      <c r="N43" s="578"/>
      <c r="O43" s="578">
        <v>-165715.32</v>
      </c>
      <c r="P43" s="578"/>
      <c r="Q43" s="578">
        <v>-12.2</v>
      </c>
      <c r="S43">
        <f>K43-K70</f>
        <v>-331430.6399999999</v>
      </c>
    </row>
    <row r="44" spans="3:17" ht="12.75">
      <c r="C44">
        <v>1000</v>
      </c>
      <c r="E44" s="577">
        <v>18900433</v>
      </c>
      <c r="H44" t="s">
        <v>290</v>
      </c>
      <c r="K44">
        <v>4985479.54</v>
      </c>
      <c r="M44">
        <v>5135043.88</v>
      </c>
      <c r="O44">
        <v>-149564.34</v>
      </c>
      <c r="Q44">
        <v>-2.9</v>
      </c>
    </row>
    <row r="45" spans="3:17" ht="12.75">
      <c r="C45" s="578">
        <v>1000</v>
      </c>
      <c r="D45" s="578"/>
      <c r="E45" s="579">
        <v>18900443</v>
      </c>
      <c r="F45" s="578"/>
      <c r="G45" s="578"/>
      <c r="H45" s="578" t="s">
        <v>292</v>
      </c>
      <c r="I45" s="578"/>
      <c r="J45" s="578"/>
      <c r="K45" s="578">
        <v>137185.22</v>
      </c>
      <c r="L45" s="578"/>
      <c r="M45" s="578">
        <v>0</v>
      </c>
      <c r="N45" s="578"/>
      <c r="O45" s="578">
        <v>137185.22</v>
      </c>
      <c r="P45" s="578"/>
      <c r="Q45" s="578"/>
    </row>
    <row r="46" spans="3:17" ht="12.75">
      <c r="C46" s="578">
        <v>1000</v>
      </c>
      <c r="D46" s="578"/>
      <c r="E46" s="579">
        <v>18900453</v>
      </c>
      <c r="F46" s="578"/>
      <c r="G46" s="578"/>
      <c r="H46" s="578" t="s">
        <v>293</v>
      </c>
      <c r="I46" s="578"/>
      <c r="J46" s="578"/>
      <c r="K46" s="578">
        <v>75041.44</v>
      </c>
      <c r="L46" s="578"/>
      <c r="M46" s="578">
        <v>0</v>
      </c>
      <c r="N46" s="578"/>
      <c r="O46" s="578">
        <v>75041.44</v>
      </c>
      <c r="P46" s="578"/>
      <c r="Q46" s="578"/>
    </row>
    <row r="47" spans="3:17" ht="12.75">
      <c r="C47">
        <v>1000</v>
      </c>
      <c r="E47" s="577">
        <v>18900533</v>
      </c>
      <c r="H47" t="s">
        <v>291</v>
      </c>
      <c r="K47">
        <v>842555.54</v>
      </c>
      <c r="M47">
        <v>867832.16</v>
      </c>
      <c r="O47">
        <v>-25276.62</v>
      </c>
      <c r="Q47">
        <v>-2.9</v>
      </c>
    </row>
    <row r="51" ht="12.75">
      <c r="B51" s="581" t="s">
        <v>295</v>
      </c>
    </row>
    <row r="52" spans="3:17" ht="12.75">
      <c r="C52" s="577">
        <v>1000</v>
      </c>
      <c r="E52" s="577">
        <v>18900013</v>
      </c>
      <c r="H52" t="s">
        <v>271</v>
      </c>
      <c r="K52">
        <v>61910</v>
      </c>
      <c r="M52">
        <v>52742</v>
      </c>
      <c r="O52">
        <v>9168</v>
      </c>
      <c r="Q52">
        <v>17.4</v>
      </c>
    </row>
    <row r="53" spans="3:17" ht="12.75">
      <c r="C53" s="577">
        <v>1000</v>
      </c>
      <c r="E53" s="577">
        <v>18900173</v>
      </c>
      <c r="H53" t="s">
        <v>272</v>
      </c>
      <c r="K53">
        <v>1787314.84</v>
      </c>
      <c r="M53">
        <v>1702874.8</v>
      </c>
      <c r="O53">
        <v>84440.04</v>
      </c>
      <c r="Q53">
        <v>5</v>
      </c>
    </row>
    <row r="54" spans="3:17" ht="12.75">
      <c r="C54" s="577">
        <v>1000</v>
      </c>
      <c r="E54" s="577">
        <v>18900183</v>
      </c>
      <c r="H54" t="s">
        <v>273</v>
      </c>
      <c r="K54">
        <v>374479.89</v>
      </c>
      <c r="M54">
        <v>365936.61</v>
      </c>
      <c r="O54">
        <v>8543.28</v>
      </c>
      <c r="Q54">
        <v>2.3</v>
      </c>
    </row>
    <row r="55" spans="3:17" ht="12.75">
      <c r="C55" s="577">
        <v>1000</v>
      </c>
      <c r="E55" s="577">
        <v>18900193</v>
      </c>
      <c r="H55" t="s">
        <v>274</v>
      </c>
      <c r="K55">
        <v>3198107.71</v>
      </c>
      <c r="M55">
        <v>3083205.61</v>
      </c>
      <c r="O55">
        <v>114902.1</v>
      </c>
      <c r="Q55">
        <v>3.7</v>
      </c>
    </row>
    <row r="56" spans="3:17" ht="12.75">
      <c r="C56" s="577">
        <v>1000</v>
      </c>
      <c r="E56" s="577">
        <v>18900243</v>
      </c>
      <c r="H56" t="s">
        <v>275</v>
      </c>
      <c r="K56">
        <v>17493.77</v>
      </c>
      <c r="M56">
        <v>15744.35</v>
      </c>
      <c r="O56">
        <v>1749.42</v>
      </c>
      <c r="Q56">
        <v>11.1</v>
      </c>
    </row>
    <row r="57" spans="3:17" ht="12.75">
      <c r="C57" s="577">
        <v>1000</v>
      </c>
      <c r="E57" s="577">
        <v>18900253</v>
      </c>
      <c r="H57" t="s">
        <v>276</v>
      </c>
      <c r="K57">
        <v>803487.91</v>
      </c>
      <c r="M57">
        <v>780747.67</v>
      </c>
      <c r="O57">
        <v>22740.24</v>
      </c>
      <c r="Q57">
        <v>2.9</v>
      </c>
    </row>
    <row r="58" spans="3:17" ht="12.75">
      <c r="C58" s="577">
        <v>1000</v>
      </c>
      <c r="E58" s="577">
        <v>18900263</v>
      </c>
      <c r="H58" t="s">
        <v>277</v>
      </c>
      <c r="K58">
        <v>610584.54</v>
      </c>
      <c r="M58">
        <v>593303.82</v>
      </c>
      <c r="O58">
        <v>17280.72</v>
      </c>
      <c r="Q58">
        <v>2.9</v>
      </c>
    </row>
    <row r="59" spans="3:17" ht="12.75">
      <c r="C59" s="577">
        <v>1000</v>
      </c>
      <c r="E59" s="577">
        <v>18900273</v>
      </c>
      <c r="H59" t="s">
        <v>278</v>
      </c>
      <c r="K59">
        <v>1869582.43</v>
      </c>
      <c r="M59">
        <v>1816669.69</v>
      </c>
      <c r="O59">
        <v>52912.74</v>
      </c>
      <c r="Q59">
        <v>2.9</v>
      </c>
    </row>
    <row r="60" spans="3:17" ht="12.75">
      <c r="C60" s="577">
        <v>1000</v>
      </c>
      <c r="E60" s="577">
        <v>18900283</v>
      </c>
      <c r="H60" t="s">
        <v>279</v>
      </c>
      <c r="K60">
        <v>570594.99</v>
      </c>
      <c r="M60">
        <v>554446.11</v>
      </c>
      <c r="O60">
        <v>16148.88</v>
      </c>
      <c r="Q60">
        <v>2.9</v>
      </c>
    </row>
    <row r="61" spans="3:17" ht="12.75">
      <c r="C61" s="577">
        <v>1000</v>
      </c>
      <c r="E61" s="577">
        <v>18900293</v>
      </c>
      <c r="H61" t="s">
        <v>280</v>
      </c>
      <c r="K61">
        <v>9699.36</v>
      </c>
      <c r="M61">
        <v>9128.82</v>
      </c>
      <c r="O61">
        <v>570.54</v>
      </c>
      <c r="Q61">
        <v>6.2</v>
      </c>
    </row>
    <row r="62" spans="3:17" ht="12.75">
      <c r="C62" s="577">
        <v>1000</v>
      </c>
      <c r="E62" s="577">
        <v>18900303</v>
      </c>
      <c r="H62" t="s">
        <v>281</v>
      </c>
      <c r="K62">
        <v>22630.89</v>
      </c>
      <c r="M62">
        <v>21299.61</v>
      </c>
      <c r="O62">
        <v>1331.28</v>
      </c>
      <c r="Q62">
        <v>6.3</v>
      </c>
    </row>
    <row r="63" spans="3:17" ht="12.75">
      <c r="C63" s="577">
        <v>1000</v>
      </c>
      <c r="E63" s="577">
        <v>18900323</v>
      </c>
      <c r="H63" t="s">
        <v>282</v>
      </c>
      <c r="K63">
        <v>572785.76</v>
      </c>
      <c r="M63">
        <v>541542.92</v>
      </c>
      <c r="O63">
        <v>31242.84</v>
      </c>
      <c r="Q63">
        <v>5.8</v>
      </c>
    </row>
    <row r="64" spans="3:17" ht="12.75">
      <c r="C64" s="577">
        <v>1000</v>
      </c>
      <c r="E64" s="577">
        <v>18900353</v>
      </c>
      <c r="H64" t="s">
        <v>283</v>
      </c>
      <c r="K64">
        <v>107448.84</v>
      </c>
      <c r="M64">
        <v>102120.9</v>
      </c>
      <c r="O64">
        <v>5327.94</v>
      </c>
      <c r="Q64">
        <v>5.2</v>
      </c>
    </row>
    <row r="65" spans="3:17" ht="12.75">
      <c r="C65" s="577">
        <v>1000</v>
      </c>
      <c r="E65" s="577">
        <v>18900373</v>
      </c>
      <c r="H65" t="s">
        <v>284</v>
      </c>
      <c r="K65">
        <v>4531491.46</v>
      </c>
      <c r="M65">
        <v>4432980.76</v>
      </c>
      <c r="O65">
        <v>98510.7</v>
      </c>
      <c r="Q65">
        <v>2.2</v>
      </c>
    </row>
    <row r="66" spans="3:17" ht="12.75">
      <c r="C66" s="577">
        <v>1000</v>
      </c>
      <c r="E66" s="577">
        <v>18900383</v>
      </c>
      <c r="H66" t="s">
        <v>285</v>
      </c>
      <c r="K66">
        <v>747906.39</v>
      </c>
      <c r="M66">
        <v>652428.99</v>
      </c>
      <c r="O66">
        <v>95477.4</v>
      </c>
      <c r="Q66">
        <v>14.6</v>
      </c>
    </row>
    <row r="67" spans="3:17" ht="12.75">
      <c r="C67" s="577">
        <v>1000</v>
      </c>
      <c r="E67" s="577">
        <v>18900393</v>
      </c>
      <c r="H67" t="s">
        <v>286</v>
      </c>
      <c r="K67">
        <v>15353222.92</v>
      </c>
      <c r="M67">
        <v>15152963.5</v>
      </c>
      <c r="O67">
        <v>200259.42</v>
      </c>
      <c r="Q67">
        <v>1.3</v>
      </c>
    </row>
    <row r="68" spans="3:17" ht="12.75">
      <c r="C68" s="579">
        <v>1000</v>
      </c>
      <c r="D68" s="578"/>
      <c r="E68" s="579">
        <v>18900403</v>
      </c>
      <c r="F68" s="578"/>
      <c r="G68" s="578"/>
      <c r="H68" s="578" t="s">
        <v>287</v>
      </c>
      <c r="I68" s="578"/>
      <c r="J68" s="578"/>
      <c r="K68" s="578">
        <v>262515.37</v>
      </c>
      <c r="L68" s="578"/>
      <c r="M68" s="578">
        <v>258483.07</v>
      </c>
      <c r="N68" s="578"/>
      <c r="O68" s="578">
        <v>4032.3</v>
      </c>
      <c r="P68" s="578"/>
      <c r="Q68" s="578">
        <v>1.6</v>
      </c>
    </row>
    <row r="69" spans="3:17" ht="12.75">
      <c r="C69" s="579">
        <v>1000</v>
      </c>
      <c r="D69" s="578"/>
      <c r="E69" s="579">
        <v>18900413</v>
      </c>
      <c r="F69" s="578"/>
      <c r="G69" s="578"/>
      <c r="H69" s="578" t="s">
        <v>288</v>
      </c>
      <c r="I69" s="578"/>
      <c r="J69" s="578"/>
      <c r="K69" s="578">
        <v>356959.28</v>
      </c>
      <c r="L69" s="578"/>
      <c r="M69" s="578">
        <v>339527.78</v>
      </c>
      <c r="N69" s="578"/>
      <c r="O69" s="578">
        <v>17431.5</v>
      </c>
      <c r="P69" s="578"/>
      <c r="Q69" s="578">
        <v>5.1</v>
      </c>
    </row>
    <row r="70" spans="3:17" ht="12.75">
      <c r="C70" s="579">
        <v>1000</v>
      </c>
      <c r="D70" s="578"/>
      <c r="E70" s="579">
        <v>18900423</v>
      </c>
      <c r="F70" s="578"/>
      <c r="G70" s="578"/>
      <c r="H70" s="578" t="s">
        <v>289</v>
      </c>
      <c r="I70" s="578"/>
      <c r="J70" s="578"/>
      <c r="K70" s="578">
        <v>1519056.99</v>
      </c>
      <c r="L70" s="578"/>
      <c r="M70" s="578">
        <v>1353341.67</v>
      </c>
      <c r="N70" s="578"/>
      <c r="O70" s="578">
        <v>165715.32</v>
      </c>
      <c r="P70" s="578"/>
      <c r="Q70" s="578">
        <v>12.2</v>
      </c>
    </row>
    <row r="71" spans="3:17" ht="12.75">
      <c r="C71" s="577">
        <v>1000</v>
      </c>
      <c r="E71" s="577">
        <v>18900433</v>
      </c>
      <c r="H71" t="s">
        <v>290</v>
      </c>
      <c r="K71">
        <v>5284608.22</v>
      </c>
      <c r="M71">
        <v>5135043.88</v>
      </c>
      <c r="O71">
        <v>149564.34</v>
      </c>
      <c r="Q71">
        <v>2.9</v>
      </c>
    </row>
    <row r="72" spans="3:17" ht="12.75">
      <c r="C72" s="577">
        <v>1000</v>
      </c>
      <c r="E72" s="577">
        <v>18900533</v>
      </c>
      <c r="H72" t="s">
        <v>291</v>
      </c>
      <c r="K72">
        <v>893108.78</v>
      </c>
      <c r="M72">
        <v>867832.16</v>
      </c>
      <c r="O72">
        <v>25276.62</v>
      </c>
      <c r="Q72">
        <v>2.9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Denise Crawford</cp:lastModifiedBy>
  <cp:lastPrinted>2015-02-12T17:22:34Z</cp:lastPrinted>
  <dcterms:created xsi:type="dcterms:W3CDTF">2001-12-28T16:42:36Z</dcterms:created>
  <dcterms:modified xsi:type="dcterms:W3CDTF">2015-05-27T23:45:12Z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WACC Report (Excel)</vt:lpwstr>
  </property>
  <property fmtid="{D5CDD505-2E9C-101B-9397-08002B2CF9AE}" pid="4" name="EFilingId">
    <vt:lpwstr>2332.00000000000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151119</vt:lpwstr>
  </property>
  <property fmtid="{D5CDD505-2E9C-101B-9397-08002B2CF9AE}" pid="9" name="IsConfidential">
    <vt:lpwstr>0</vt:lpwstr>
  </property>
  <property fmtid="{D5CDD505-2E9C-101B-9397-08002B2CF9AE}" pid="10" name="Date1">
    <vt:lpwstr>2015-05-27T00:00:00Z</vt:lpwstr>
  </property>
  <property fmtid="{D5CDD505-2E9C-101B-9397-08002B2CF9AE}" pid="11" name="_docset_NoMedatataSyncRequired">
    <vt:lpwstr>False</vt:lpwstr>
  </property>
  <property fmtid="{D5CDD505-2E9C-101B-9397-08002B2CF9AE}" pid="12" name="CaseType">
    <vt:lpwstr>Staff Investigation</vt:lpwstr>
  </property>
  <property fmtid="{D5CDD505-2E9C-101B-9397-08002B2CF9AE}" pid="13" name="OpenedDate">
    <vt:lpwstr>2015-05-27T00:00:00Z</vt:lpwstr>
  </property>
  <property fmtid="{D5CDD505-2E9C-101B-9397-08002B2CF9AE}" pid="14" name="Prefix">
    <vt:lpwstr>UE</vt:lpwstr>
  </property>
  <property fmtid="{D5CDD505-2E9C-101B-9397-08002B2CF9AE}" pid="15" name="CaseCompanyNames">
    <vt:lpwstr>Puget Sound Energy</vt:lpwstr>
  </property>
  <property fmtid="{D5CDD505-2E9C-101B-9397-08002B2CF9AE}" pid="16" name="IndustryCode">
    <vt:lpwstr>140</vt:lpwstr>
  </property>
  <property fmtid="{D5CDD505-2E9C-101B-9397-08002B2CF9AE}" pid="17" name="CaseStatus">
    <vt:lpwstr>Closed</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