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aveExternalLinkValues="0" codeName="ThisWorkbook"/>
  <bookViews>
    <workbookView xWindow="0" yWindow="2370" windowWidth="11400" windowHeight="5265" tabRatio="875"/>
  </bookViews>
  <sheets>
    <sheet name="St.of Op. " sheetId="2" r:id="rId1"/>
    <sheet name="Weather Norm Adj" sheetId="87" r:id="rId2"/>
    <sheet name="Promo Adv Adj" sheetId="25" r:id="rId3"/>
    <sheet name="A&amp;G Adj" sheetId="73" r:id="rId4"/>
    <sheet name="A&amp;G Benchmark WP" sheetId="80" r:id="rId5"/>
    <sheet name="A&amp;G Detail WP" sheetId="75" r:id="rId6"/>
  </sheets>
  <definedNames>
    <definedName name="_xlnm.Print_Area" localSheetId="3">'A&amp;G Adj'!$A$1:$C$31</definedName>
    <definedName name="_xlnm.Print_Area" localSheetId="2">'Promo Adv Adj'!$A$1:$E$19</definedName>
    <definedName name="_xlnm.Print_Area" localSheetId="0">'St.of Op. '!$A$1:$O$51</definedName>
  </definedNames>
  <calcPr calcId="145621"/>
</workbook>
</file>

<file path=xl/calcChain.xml><?xml version="1.0" encoding="utf-8"?>
<calcChain xmlns="http://schemas.openxmlformats.org/spreadsheetml/2006/main">
  <c r="G43" i="75" l="1"/>
  <c r="L34" i="2" l="1"/>
  <c r="J34" i="2"/>
  <c r="H34" i="2"/>
  <c r="F34" i="2"/>
  <c r="F14" i="87" l="1"/>
  <c r="E40" i="80" l="1"/>
  <c r="D42" i="75" l="1"/>
  <c r="D47" i="2" l="1"/>
  <c r="D35" i="2" l="1"/>
  <c r="F23" i="87" l="1"/>
  <c r="E38" i="80" l="1"/>
  <c r="E33" i="87"/>
  <c r="F33" i="87" s="1"/>
  <c r="E30" i="87"/>
  <c r="F30" i="87" s="1"/>
  <c r="O26" i="2"/>
  <c r="O22" i="2"/>
  <c r="F35" i="87" l="1"/>
  <c r="D50" i="75"/>
  <c r="D49" i="75"/>
  <c r="E50" i="75"/>
  <c r="E42" i="75"/>
  <c r="E37" i="80" l="1"/>
  <c r="E31" i="80" l="1"/>
  <c r="E49" i="75"/>
  <c r="F43" i="75"/>
  <c r="E44" i="75"/>
  <c r="F41" i="75"/>
  <c r="G41" i="75" s="1"/>
  <c r="F40" i="75"/>
  <c r="G40" i="75" s="1"/>
  <c r="F39" i="75"/>
  <c r="F38" i="75"/>
  <c r="F37" i="75"/>
  <c r="F36" i="75"/>
  <c r="G36" i="75" s="1"/>
  <c r="F35" i="75"/>
  <c r="F34" i="75"/>
  <c r="F33" i="75"/>
  <c r="F32" i="75"/>
  <c r="G32" i="75" s="1"/>
  <c r="F31" i="75"/>
  <c r="G31" i="75" s="1"/>
  <c r="G33" i="75" l="1"/>
  <c r="G38" i="75"/>
  <c r="F49" i="75"/>
  <c r="G34" i="75"/>
  <c r="G39" i="75"/>
  <c r="F42" i="75"/>
  <c r="G42" i="75" s="1"/>
  <c r="D44" i="75"/>
  <c r="G35" i="75"/>
  <c r="F50" i="75"/>
  <c r="E28" i="75"/>
  <c r="D28" i="75"/>
  <c r="F27" i="75"/>
  <c r="F26" i="75"/>
  <c r="G26" i="75" s="1"/>
  <c r="F25" i="75"/>
  <c r="F24" i="75"/>
  <c r="E21" i="75"/>
  <c r="D21" i="75"/>
  <c r="F20" i="75"/>
  <c r="F19" i="75"/>
  <c r="G19" i="75" s="1"/>
  <c r="F18" i="75"/>
  <c r="F17" i="75"/>
  <c r="E14" i="75"/>
  <c r="D14" i="75"/>
  <c r="F13" i="75"/>
  <c r="F12" i="75"/>
  <c r="F11" i="75"/>
  <c r="F10" i="75"/>
  <c r="G10" i="75" s="1"/>
  <c r="F9" i="75"/>
  <c r="E36" i="80"/>
  <c r="E35" i="80"/>
  <c r="E34" i="80"/>
  <c r="E33" i="80"/>
  <c r="E32" i="80"/>
  <c r="D46" i="75" l="1"/>
  <c r="F14" i="75"/>
  <c r="G14" i="75" s="1"/>
  <c r="G9" i="75"/>
  <c r="G11" i="75"/>
  <c r="F21" i="75"/>
  <c r="G21" i="75" s="1"/>
  <c r="G13" i="75"/>
  <c r="F28" i="75"/>
  <c r="G28" i="75" s="1"/>
  <c r="G12" i="75"/>
  <c r="G49" i="75" s="1"/>
  <c r="G18" i="75"/>
  <c r="C15" i="73" l="1"/>
  <c r="C16" i="73" s="1"/>
  <c r="E13" i="25" l="1"/>
  <c r="E35" i="87" l="1"/>
  <c r="E25" i="87"/>
  <c r="L47" i="2"/>
  <c r="J47" i="2"/>
  <c r="H47" i="2"/>
  <c r="F47" i="2"/>
  <c r="O46" i="2"/>
  <c r="O45" i="2"/>
  <c r="O44" i="2"/>
  <c r="O43" i="2"/>
  <c r="O42" i="2"/>
  <c r="O41" i="2"/>
  <c r="O40" i="2"/>
  <c r="F25" i="87" l="1"/>
  <c r="O32" i="2" l="1"/>
  <c r="J30" i="2" l="1"/>
  <c r="J29" i="2"/>
  <c r="O29" i="2" s="1"/>
  <c r="O30" i="2" l="1"/>
  <c r="O27" i="2" l="1"/>
  <c r="F21" i="2" l="1"/>
  <c r="L20" i="2"/>
  <c r="J20" i="2"/>
  <c r="J28" i="2" s="1"/>
  <c r="H20" i="2"/>
  <c r="H28" i="2" s="1"/>
  <c r="D20" i="2"/>
  <c r="O19" i="2"/>
  <c r="O18" i="2"/>
  <c r="F17" i="2"/>
  <c r="F20" i="2" s="1"/>
  <c r="L28" i="2" l="1"/>
  <c r="L23" i="2"/>
  <c r="O17" i="2"/>
  <c r="O20" i="2" s="1"/>
  <c r="F33" i="2"/>
  <c r="O33" i="2" s="1"/>
  <c r="F28" i="2"/>
  <c r="F23" i="2"/>
  <c r="L35" i="2" l="1"/>
  <c r="J23" i="2"/>
  <c r="O28" i="2"/>
  <c r="D23" i="2"/>
  <c r="O21" i="2" s="1"/>
  <c r="F35" i="2" l="1"/>
  <c r="F37" i="2" s="1"/>
  <c r="D37" i="2" s="1"/>
  <c r="H23" i="2"/>
  <c r="O23" i="2" s="1"/>
  <c r="J35" i="2"/>
  <c r="J37" i="2" s="1"/>
  <c r="L37" i="2" l="1"/>
  <c r="D49" i="2"/>
  <c r="O47" i="2"/>
  <c r="E46" i="75"/>
  <c r="E51" i="75" s="1"/>
  <c r="C18" i="73" s="1"/>
  <c r="D51" i="75"/>
  <c r="G50" i="75"/>
  <c r="F44" i="75"/>
  <c r="G44" i="75" s="1"/>
  <c r="F46" i="75" l="1"/>
  <c r="G46" i="75" s="1"/>
  <c r="F51" i="75" l="1"/>
  <c r="G51" i="75" s="1"/>
  <c r="O31" i="2" l="1"/>
  <c r="C19" i="73" s="1"/>
  <c r="C20" i="73" s="1"/>
  <c r="C22" i="73" s="1"/>
  <c r="O34" i="2" l="1"/>
  <c r="O35" i="2" s="1"/>
  <c r="O37" i="2" s="1"/>
  <c r="O49" i="2" s="1"/>
  <c r="H35" i="2" l="1"/>
  <c r="H37" i="2" s="1"/>
</calcChain>
</file>

<file path=xl/comments1.xml><?xml version="1.0" encoding="utf-8"?>
<comments xmlns="http://schemas.openxmlformats.org/spreadsheetml/2006/main">
  <authors>
    <author>Author</author>
  </authors>
  <commentList>
    <comment ref="G4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Remove the - sign from this cell; needed to be added to force this cell to reflect negative value.</t>
        </r>
      </text>
    </comment>
  </commentList>
</comments>
</file>

<file path=xl/sharedStrings.xml><?xml version="1.0" encoding="utf-8"?>
<sst xmlns="http://schemas.openxmlformats.org/spreadsheetml/2006/main" count="269" uniqueCount="208">
  <si>
    <t>Cascade Natural Gas Corporation</t>
  </si>
  <si>
    <t>SUMMARY OF OPERATIONS &amp; ADJUSTMENTS</t>
  </si>
  <si>
    <t>State of Washington</t>
  </si>
  <si>
    <t>Commission</t>
  </si>
  <si>
    <t>Statement</t>
  </si>
  <si>
    <t>Weather</t>
  </si>
  <si>
    <t>Restated</t>
  </si>
  <si>
    <t>Basis</t>
  </si>
  <si>
    <t>Line</t>
  </si>
  <si>
    <t>of Operations</t>
  </si>
  <si>
    <t>Normalization</t>
  </si>
  <si>
    <t>Wages And</t>
  </si>
  <si>
    <t>Advertising</t>
  </si>
  <si>
    <t xml:space="preserve"> </t>
  </si>
  <si>
    <t>No.</t>
  </si>
  <si>
    <t xml:space="preserve">   Description</t>
  </si>
  <si>
    <t>Per Books</t>
  </si>
  <si>
    <t>Adjustment</t>
  </si>
  <si>
    <t>Related Costs</t>
  </si>
  <si>
    <t>Total</t>
  </si>
  <si>
    <t xml:space="preserve">        (a)</t>
  </si>
  <si>
    <t xml:space="preserve">(b)  </t>
  </si>
  <si>
    <t xml:space="preserve">(c)  </t>
  </si>
  <si>
    <t xml:space="preserve">(d)  </t>
  </si>
  <si>
    <t>(g)</t>
  </si>
  <si>
    <t>Operating Revenue</t>
  </si>
  <si>
    <t>1</t>
  </si>
  <si>
    <t xml:space="preserve">  Natural Gas Sales</t>
  </si>
  <si>
    <t xml:space="preserve"> $</t>
  </si>
  <si>
    <t>2</t>
  </si>
  <si>
    <t xml:space="preserve">  Gas Transportation Revenue</t>
  </si>
  <si>
    <t>3</t>
  </si>
  <si>
    <t xml:space="preserve">  Other Operating Revenue</t>
  </si>
  <si>
    <t>4</t>
  </si>
  <si>
    <t xml:space="preserve">      Subtotal</t>
  </si>
  <si>
    <t>5</t>
  </si>
  <si>
    <t>LESS: Nat. Gas/Production Costs</t>
  </si>
  <si>
    <t>6</t>
  </si>
  <si>
    <t xml:space="preserve">      Revenue Taxes</t>
  </si>
  <si>
    <t>7</t>
  </si>
  <si>
    <t xml:space="preserve">  Operating Margin</t>
  </si>
  <si>
    <t>Operating Expenses</t>
  </si>
  <si>
    <t>8</t>
  </si>
  <si>
    <t xml:space="preserve">  Distribution</t>
  </si>
  <si>
    <t>9</t>
  </si>
  <si>
    <t xml:space="preserve">  Customer Accounts</t>
  </si>
  <si>
    <t>10</t>
  </si>
  <si>
    <t xml:space="preserve">  Customer Service &amp; Information</t>
  </si>
  <si>
    <t>11</t>
  </si>
  <si>
    <t xml:space="preserve">  Sales</t>
  </si>
  <si>
    <t>12</t>
  </si>
  <si>
    <t xml:space="preserve">  Administrative &amp; General</t>
  </si>
  <si>
    <t xml:space="preserve">  Depreciation &amp; Amortization</t>
  </si>
  <si>
    <t xml:space="preserve">  Prop./Payroll/Misc. Taxes</t>
  </si>
  <si>
    <t xml:space="preserve">  Federal Income Taxes</t>
  </si>
  <si>
    <t xml:space="preserve">      Total Operating Expenses</t>
  </si>
  <si>
    <t>Net Operating Income</t>
  </si>
  <si>
    <t>Rate Base</t>
  </si>
  <si>
    <t xml:space="preserve">    Plant In Service</t>
  </si>
  <si>
    <t xml:space="preserve">    Accumulated Depreciation</t>
  </si>
  <si>
    <t xml:space="preserve">    Contributions In Aid</t>
  </si>
  <si>
    <t xml:space="preserve">    Cust. Adv. For Constr.</t>
  </si>
  <si>
    <t xml:space="preserve">    Accum. Deferred Income Taxes</t>
  </si>
  <si>
    <t xml:space="preserve">    Deferred Debits</t>
  </si>
  <si>
    <t xml:space="preserve">    Working Capital Allowance</t>
  </si>
  <si>
    <t xml:space="preserve">        Total</t>
  </si>
  <si>
    <t>Rate Of Return</t>
  </si>
  <si>
    <t>Description</t>
  </si>
  <si>
    <t>Residential</t>
  </si>
  <si>
    <t>Commercial</t>
  </si>
  <si>
    <t>Totals</t>
  </si>
  <si>
    <t>Therms</t>
  </si>
  <si>
    <t>PROMOTIONAL ADVERTISING EXPENSE ADJUSTMENT</t>
  </si>
  <si>
    <t>Weather Normalization Adjustment</t>
  </si>
  <si>
    <t>Revenues</t>
  </si>
  <si>
    <t>Line No.</t>
  </si>
  <si>
    <t>Rate Schedule No. 503</t>
  </si>
  <si>
    <t xml:space="preserve">    Therm Adjustment</t>
  </si>
  <si>
    <t xml:space="preserve">    Revenue at Restating Rate</t>
  </si>
  <si>
    <t>Rate Schedule No. 504</t>
  </si>
  <si>
    <t>Gas Cost</t>
  </si>
  <si>
    <t>Change in Gas Cost - Residential</t>
  </si>
  <si>
    <t xml:space="preserve">    (WACOG x Adjustment)</t>
  </si>
  <si>
    <t>Change in Gas Cost - Commercial</t>
  </si>
  <si>
    <t>Amount</t>
  </si>
  <si>
    <t>(a)</t>
  </si>
  <si>
    <t>(b)</t>
  </si>
  <si>
    <t>(e)</t>
  </si>
  <si>
    <t>(c)</t>
  </si>
  <si>
    <t>Removal of</t>
  </si>
  <si>
    <t>$</t>
  </si>
  <si>
    <t>Cascade Natural Gas</t>
  </si>
  <si>
    <t>UG-061721 A&amp;G EXPENSE ADJUSTMENT</t>
  </si>
  <si>
    <t>2006 A&amp;G Benchmark (per UG-061721)</t>
  </si>
  <si>
    <t>Commission Basis Adjustments</t>
  </si>
  <si>
    <t>Below Threshold  (Yes/No)</t>
  </si>
  <si>
    <t>A&amp;G Adjustment (if line 7 is Yes then no adjustment)</t>
  </si>
  <si>
    <t>UG-061721 A&amp;G Benchmark Development</t>
  </si>
  <si>
    <t>Not Seasonally Adjusted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</si>
  <si>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</si>
  <si>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</si>
  <si>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</si>
  <si>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</si>
  <si>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</si>
  <si>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</si>
  <si>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</si>
  <si>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</si>
  <si>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</si>
  <si>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</si>
  <si>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</si>
  <si>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</si>
  <si>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</si>
  <si>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</si>
  <si>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HALF1</t>
  </si>
  <si>
    <t>CY06 Average</t>
  </si>
  <si>
    <t>CY07 Average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</si>
  <si>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</si>
  <si>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</si>
  <si>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</si>
  <si>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</si>
  <si>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</si>
  <si>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</si>
  <si>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</si>
  <si>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</si>
  <si>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</si>
  <si>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</si>
  <si>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</si>
  <si>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</si>
  <si>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</si>
  <si>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</si>
  <si>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</si>
  <si>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</si>
  <si>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</si>
  <si>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</si>
  <si>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</si>
  <si>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>SALES EXPENSES</t>
  </si>
  <si>
    <t>911</t>
  </si>
  <si>
    <t>912</t>
  </si>
  <si>
    <t>Demonstrating &amp; Selling</t>
  </si>
  <si>
    <t>913</t>
  </si>
  <si>
    <t>916</t>
  </si>
  <si>
    <t>Misc. Sales Exp.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</si>
  <si>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</si>
  <si>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</si>
  <si>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</si>
  <si>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</si>
  <si>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</si>
  <si>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</si>
  <si>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</si>
  <si>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</si>
  <si>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</si>
  <si>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</si>
  <si>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</si>
  <si>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</si>
  <si>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</si>
  <si>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</si>
  <si>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</si>
  <si>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</si>
  <si>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</si>
  <si>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</si>
  <si>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</si>
  <si>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</si>
  <si>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Rents</t>
  </si>
  <si>
    <t>Maintenance of General Plant</t>
  </si>
  <si>
    <t>922</t>
  </si>
  <si>
    <t>Capitalized Exp.</t>
  </si>
  <si>
    <t>Note:  This report does not include all ratemaking adjustments that would be included in the context of a general rate case</t>
  </si>
  <si>
    <t>Consumer Price Index - All Urban Consumers</t>
  </si>
  <si>
    <r>
      <t>Series Id:    </t>
    </r>
    <r>
      <rPr>
        <sz val="10"/>
        <rFont val="Arial Unicode MS"/>
        <family val="2"/>
      </rPr>
      <t>CUUR0000SA0</t>
    </r>
  </si>
  <si>
    <r>
      <t>Area:         </t>
    </r>
    <r>
      <rPr>
        <sz val="10"/>
        <rFont val="Arial Unicode MS"/>
        <family val="2"/>
      </rPr>
      <t>U.S. city average</t>
    </r>
  </si>
  <si>
    <r>
      <t>Item:         </t>
    </r>
    <r>
      <rPr>
        <sz val="10"/>
        <rFont val="Arial Unicode MS"/>
        <family val="2"/>
      </rPr>
      <t>All items</t>
    </r>
  </si>
  <si>
    <r>
      <t>Base Period:  </t>
    </r>
    <r>
      <rPr>
        <sz val="10"/>
        <rFont val="Arial Unicode MS"/>
        <family val="2"/>
      </rPr>
      <t>1982-84=100</t>
    </r>
  </si>
  <si>
    <t>CY08 Average</t>
  </si>
  <si>
    <t>CPI Increase % Calculation</t>
  </si>
  <si>
    <t>Retiree Medical</t>
  </si>
  <si>
    <t>Credits</t>
  </si>
  <si>
    <t>CY09 Average</t>
  </si>
  <si>
    <t>Removal</t>
  </si>
  <si>
    <t>TOTAL</t>
  </si>
  <si>
    <t>CY10 Average</t>
  </si>
  <si>
    <t>$ Change</t>
  </si>
  <si>
    <t>% Change</t>
  </si>
  <si>
    <t>TOTAL ADMIN &amp; GENERAL EXPENSES</t>
  </si>
  <si>
    <t>TOTAL CUSTOMER ACCOUNTS EXP.</t>
  </si>
  <si>
    <t>TOTAL CUST. SRVC. &amp; INFO. EXPENSES</t>
  </si>
  <si>
    <t>TOTAL SALES EXPENSES</t>
  </si>
  <si>
    <t>REMOVE</t>
  </si>
  <si>
    <t>TOTAL A&amp;G EXPENSES</t>
  </si>
  <si>
    <t>Promotional Advertising (WA Only)</t>
  </si>
  <si>
    <t xml:space="preserve">  Production</t>
  </si>
  <si>
    <t>CY11 Average</t>
  </si>
  <si>
    <t>CY12 Average</t>
  </si>
  <si>
    <t>Washington-2013</t>
  </si>
  <si>
    <t>CY13 Average</t>
  </si>
  <si>
    <t>(f)</t>
  </si>
  <si>
    <t xml:space="preserve"> FOR THE 12 MONTH PERIOD ENDED 12/31/14</t>
  </si>
  <si>
    <t>For Twelve Months Ended 12/31/2014</t>
  </si>
  <si>
    <t>CY 2014 Actual Washington Expenses</t>
  </si>
  <si>
    <t>Washington-2014</t>
  </si>
  <si>
    <t>CY 2014</t>
  </si>
  <si>
    <t>Twelve Months Ending 12/31/14</t>
  </si>
  <si>
    <t>CY14 Average</t>
  </si>
  <si>
    <t>CPI % Increase (2006 to 2014)</t>
  </si>
  <si>
    <t>CY 14</t>
  </si>
  <si>
    <t>CPI Increase (2006 to 2014)</t>
  </si>
  <si>
    <t xml:space="preserve">2014 A&amp;G Benchmark </t>
  </si>
  <si>
    <t>Cascade Adjusted CY14 A&amp;G Expense</t>
  </si>
  <si>
    <t>Cascade Actual CY14 A&amp;G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</si>
</sst>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000_);_(&quot;$&quot;* \(#,##0.00000\);_(&quot;$&quot;* &quot;-&quot;??_);_(@_)"/>
    <numFmt numFmtId="168" formatCode="#,##0.00;[Red]\(#,##0.00\)"/>
    <numFmt numFmtId="170" formatCode="0.0000%"/>
    <numFmt numFmtId="171" formatCode="#,##0.0_);\(#,##0.0\)"/>
    <numFmt numFmtId="173" formatCode="0.000"/>
  </numFmts>
  <fonts count="48">
    <font>
      <sz val="10"/>
      <name val="Times New Roman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indexed="10"/>
      <name val="Times New Roman"/>
      <family val="1"/>
    </font>
    <font>
      <b/>
      <u val="doubleAccounting"/>
      <sz val="12"/>
      <name val="Times New Roman"/>
      <family val="1"/>
    </font>
    <font>
      <b/>
      <sz val="12"/>
      <name val="Arial"/>
      <family val="2"/>
    </font>
    <font>
      <sz val="10"/>
      <name val="Times"/>
    </font>
    <font>
      <sz val="10"/>
      <name val="Times"/>
      <family val="1"/>
    </font>
    <font>
      <sz val="12"/>
      <name val="Times New Roman"/>
      <family val="1"/>
    </font>
    <font>
      <sz val="8.5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u val="singleAccounting"/>
      <sz val="12"/>
      <name val="Times New Roman"/>
      <family val="1"/>
    </font>
    <font>
      <sz val="10"/>
      <name val="Arial"/>
      <family val="2"/>
    </font>
    <font>
      <sz val="10"/>
      <name val="CG Times (W1)"/>
      <family val="1"/>
    </font>
    <font>
      <sz val="10"/>
      <name val="Arial Unicode MS"/>
      <family val="2"/>
    </font>
    <font>
      <b/>
      <sz val="10"/>
      <name val="Arial Unicode MS"/>
      <family val="2"/>
    </font>
    <font>
      <sz val="11"/>
      <name val="Times"/>
      <family val="1"/>
    </font>
    <font>
      <b/>
      <sz val="11"/>
      <name val="Times"/>
      <family val="1"/>
    </font>
    <font>
      <b/>
      <u/>
      <sz val="11"/>
      <name val="Times"/>
      <family val="1"/>
    </font>
    <font>
      <sz val="9.1999999999999993"/>
      <name val="Verdana"/>
      <family val="2"/>
    </font>
    <font>
      <b/>
      <sz val="9.1999999999999993"/>
      <name val="Verdana"/>
      <family val="2"/>
    </font>
    <font>
      <b/>
      <sz val="11.4"/>
      <color rgb="FF105CB6"/>
      <name val="Verdana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u val="doubleAccounting"/>
      <sz val="12"/>
      <name val="Times New Roman"/>
      <family val="1"/>
    </font>
    <font>
      <b/>
      <sz val="9.1999999999999993"/>
      <name val="Tahoma"/>
      <family val="2"/>
    </font>
    <font>
      <sz val="9"/>
      <name val="Times New Roman"/>
      <family val="1"/>
    </font>
    <font>
      <sz val="9.1999999999999993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rgb="FFFFFFFF"/>
        <bgColor indexed="64"/>
      </patternFill>
    </fill>
    <fill>
      <patternFill patternType="solid">
        <fgColor rgb="FFEEF4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6F6EF"/>
        <bgColor indexed="64"/>
      </patternFill>
    </fill>
    <fill>
      <patternFill patternType="solid">
        <fgColor rgb="FFDBEA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rgb="FF999999"/>
      </left>
      <right/>
      <top/>
      <bottom style="medium">
        <color rgb="FF999999"/>
      </bottom>
      <diagonal/>
    </border>
    <border>
      <left style="medium">
        <color rgb="FFAAAAAA"/>
      </left>
      <right/>
      <top style="medium">
        <color rgb="FFAAAAAA"/>
      </top>
      <bottom style="medium">
        <color rgb="FF999999"/>
      </bottom>
      <diagonal/>
    </border>
    <border>
      <left style="medium">
        <color rgb="FF999999"/>
      </left>
      <right/>
      <top style="medium">
        <color rgb="FFAAAAAA"/>
      </top>
      <bottom style="medium">
        <color rgb="FF999999"/>
      </bottom>
      <diagonal/>
    </border>
    <border>
      <left style="medium">
        <color rgb="FFAAAAAA"/>
      </left>
      <right/>
      <top/>
      <bottom style="medium">
        <color rgb="FF999999"/>
      </bottom>
      <diagonal/>
    </border>
    <border>
      <left/>
      <right/>
      <top/>
      <bottom style="medium">
        <color rgb="FFAAAAAA"/>
      </bottom>
      <diagonal/>
    </border>
    <border>
      <left style="medium">
        <color rgb="FFAAAAAA"/>
      </left>
      <right/>
      <top style="medium">
        <color rgb="FFAAAAAA"/>
      </top>
      <bottom style="medium">
        <color rgb="FFAAAAAA"/>
      </bottom>
      <diagonal/>
    </border>
    <border>
      <left style="medium">
        <color rgb="FF999999"/>
      </left>
      <right/>
      <top style="medium">
        <color rgb="FFAAAAAA"/>
      </top>
      <bottom style="medium">
        <color rgb="FFAAAAAA"/>
      </bottom>
      <diagonal/>
    </border>
  </borders>
  <cellStyleXfs count="208">
    <xf numFmtId="0" fontId="0" fillId="0" borderId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3" fillId="0" borderId="0"/>
    <xf numFmtId="0" fontId="10" fillId="0" borderId="0"/>
    <xf numFmtId="0" fontId="10" fillId="0" borderId="0"/>
    <xf numFmtId="164" fontId="7" fillId="0" borderId="0"/>
    <xf numFmtId="164" fontId="26" fillId="0" borderId="0"/>
    <xf numFmtId="168" fontId="11" fillId="2" borderId="0">
      <alignment horizontal="right"/>
    </xf>
    <xf numFmtId="0" fontId="12" fillId="3" borderId="0">
      <alignment horizontal="center"/>
    </xf>
    <xf numFmtId="0" fontId="13" fillId="4" borderId="0"/>
    <xf numFmtId="0" fontId="14" fillId="2" borderId="0" applyBorder="0">
      <alignment horizontal="centerContinuous"/>
    </xf>
    <xf numFmtId="0" fontId="15" fillId="4" borderId="0" applyBorder="0">
      <alignment horizontal="centerContinuous"/>
    </xf>
    <xf numFmtId="9" fontId="5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0" fillId="0" borderId="0"/>
    <xf numFmtId="0" fontId="23" fillId="0" borderId="0"/>
    <xf numFmtId="44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39" fontId="41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40" fillId="0" borderId="0" applyFont="0" applyFill="0" applyBorder="0" applyAlignment="0" applyProtection="0"/>
    <xf numFmtId="39" fontId="41" fillId="0" borderId="0"/>
    <xf numFmtId="171" fontId="41" fillId="0" borderId="0"/>
    <xf numFmtId="39" fontId="41" fillId="0" borderId="0"/>
    <xf numFmtId="39" fontId="41" fillId="0" borderId="0"/>
    <xf numFmtId="171" fontId="41" fillId="0" borderId="0"/>
    <xf numFmtId="0" fontId="40" fillId="0" borderId="0"/>
    <xf numFmtId="9" fontId="3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top"/>
    </xf>
    <xf numFmtId="41" fontId="11" fillId="0" borderId="0">
      <alignment vertical="top"/>
    </xf>
    <xf numFmtId="0" fontId="11" fillId="0" borderId="0">
      <alignment vertical="top"/>
    </xf>
    <xf numFmtId="0" fontId="11" fillId="0" borderId="0" applyNumberFormat="0" applyFill="0" applyBorder="0" applyAlignment="0" applyProtection="0">
      <alignment vertical="top"/>
    </xf>
    <xf numFmtId="41" fontId="11" fillId="0" borderId="0">
      <alignment vertical="top"/>
    </xf>
    <xf numFmtId="0" fontId="11" fillId="0" borderId="0">
      <alignment vertical="top"/>
    </xf>
    <xf numFmtId="9" fontId="40" fillId="0" borderId="0" applyFont="0" applyFill="0" applyBorder="0" applyAlignment="0" applyProtection="0"/>
    <xf numFmtId="0" fontId="11" fillId="0" borderId="0">
      <alignment vertical="top"/>
    </xf>
    <xf numFmtId="0" fontId="11" fillId="0" borderId="0" applyNumberFormat="0" applyFill="0" applyBorder="0" applyAlignment="0" applyProtection="0">
      <alignment vertical="top"/>
    </xf>
    <xf numFmtId="41" fontId="11" fillId="0" borderId="0">
      <alignment vertical="top"/>
    </xf>
    <xf numFmtId="0" fontId="30" fillId="0" borderId="0"/>
    <xf numFmtId="49" fontId="3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0" fillId="0" borderId="0"/>
    <xf numFmtId="0" fontId="30" fillId="0" borderId="0"/>
    <xf numFmtId="43" fontId="6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4" fillId="0" borderId="0"/>
    <xf numFmtId="0" fontId="23" fillId="0" borderId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0" fontId="30" fillId="0" borderId="0"/>
    <xf numFmtId="0" fontId="4" fillId="0" borderId="0"/>
    <xf numFmtId="43" fontId="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6" fillId="0" borderId="0"/>
    <xf numFmtId="9" fontId="23" fillId="0" borderId="0" applyFont="0" applyFill="0" applyBorder="0" applyAlignment="0" applyProtection="0"/>
    <xf numFmtId="0" fontId="4" fillId="0" borderId="0"/>
    <xf numFmtId="0" fontId="11" fillId="0" borderId="0">
      <alignment vertical="top"/>
    </xf>
    <xf numFmtId="0" fontId="11" fillId="0" borderId="0" applyNumberFormat="0" applyFill="0" applyBorder="0" applyAlignment="0" applyProtection="0">
      <alignment vertical="top"/>
    </xf>
    <xf numFmtId="43" fontId="30" fillId="0" borderId="0" applyFont="0" applyFill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39" fontId="41" fillId="0" borderId="0"/>
    <xf numFmtId="39" fontId="41" fillId="0" borderId="0"/>
    <xf numFmtId="39" fontId="41" fillId="0" borderId="0"/>
    <xf numFmtId="39" fontId="41" fillId="0" borderId="0"/>
    <xf numFmtId="171" fontId="41" fillId="0" borderId="0"/>
    <xf numFmtId="9" fontId="4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top"/>
    </xf>
    <xf numFmtId="41" fontId="11" fillId="0" borderId="0">
      <alignment vertical="top"/>
    </xf>
    <xf numFmtId="0" fontId="11" fillId="0" borderId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top"/>
    </xf>
    <xf numFmtId="9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3" fontId="30" fillId="0" borderId="0" applyFont="0" applyFill="0" applyBorder="0" applyAlignment="0" applyProtection="0"/>
    <xf numFmtId="0" fontId="30" fillId="0" borderId="0"/>
    <xf numFmtId="43" fontId="6" fillId="0" borderId="0" applyFont="0" applyFill="0" applyBorder="0" applyAlignment="0" applyProtection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30" fillId="0" borderId="0"/>
    <xf numFmtId="43" fontId="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265">
    <xf numFmtId="0" fontId="0" fillId="0" borderId="0" xfId="0"/>
    <xf numFmtId="165" fontId="8" fillId="0" borderId="0" xfId="1" applyNumberFormat="1" applyFont="1"/>
    <xf numFmtId="0" fontId="6" fillId="0" borderId="0" xfId="0" applyFont="1" applyFill="1"/>
    <xf numFmtId="0" fontId="6" fillId="0" borderId="0" xfId="0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6" fillId="0" borderId="5" xfId="0" applyFont="1" applyFill="1" applyBorder="1"/>
    <xf numFmtId="37" fontId="6" fillId="0" borderId="5" xfId="0" applyNumberFormat="1" applyFont="1" applyFill="1" applyBorder="1" applyProtection="1"/>
    <xf numFmtId="37" fontId="6" fillId="0" borderId="6" xfId="0" applyNumberFormat="1" applyFont="1" applyFill="1" applyBorder="1" applyProtection="1"/>
    <xf numFmtId="0" fontId="6" fillId="0" borderId="7" xfId="0" applyFont="1" applyFill="1" applyBorder="1"/>
    <xf numFmtId="0" fontId="6" fillId="0" borderId="8" xfId="0" applyFont="1" applyFill="1" applyBorder="1"/>
    <xf numFmtId="0" fontId="6" fillId="0" borderId="1" xfId="0" applyFont="1" applyFill="1" applyBorder="1"/>
    <xf numFmtId="0" fontId="6" fillId="0" borderId="10" xfId="0" applyFont="1" applyFill="1" applyBorder="1"/>
    <xf numFmtId="0" fontId="6" fillId="0" borderId="3" xfId="0" applyFont="1" applyFill="1" applyBorder="1" applyAlignment="1">
      <alignment horizontal="centerContinuous"/>
    </xf>
    <xf numFmtId="37" fontId="6" fillId="0" borderId="0" xfId="0" applyNumberFormat="1" applyFont="1" applyFill="1" applyBorder="1" applyProtection="1"/>
    <xf numFmtId="0" fontId="6" fillId="0" borderId="5" xfId="0" applyFont="1" applyFill="1" applyBorder="1" applyAlignment="1" applyProtection="1">
      <alignment horizontal="centerContinuous"/>
    </xf>
    <xf numFmtId="164" fontId="17" fillId="0" borderId="0" xfId="8" applyFont="1" applyAlignment="1">
      <alignment horizontal="centerContinuous"/>
    </xf>
    <xf numFmtId="164" fontId="16" fillId="0" borderId="0" xfId="8" applyFont="1" applyAlignment="1">
      <alignment horizontal="centerContinuous"/>
    </xf>
    <xf numFmtId="164" fontId="8" fillId="0" borderId="0" xfId="8" applyFont="1" applyAlignment="1">
      <alignment horizontal="centerContinuous"/>
    </xf>
    <xf numFmtId="165" fontId="6" fillId="0" borderId="0" xfId="1" applyNumberFormat="1" applyFont="1"/>
    <xf numFmtId="166" fontId="6" fillId="0" borderId="0" xfId="3" applyNumberFormat="1" applyFont="1"/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6" fillId="0" borderId="7" xfId="0" applyFont="1" applyFill="1" applyBorder="1" applyAlignment="1" applyProtection="1"/>
    <xf numFmtId="0" fontId="6" fillId="0" borderId="5" xfId="0" applyFont="1" applyFill="1" applyBorder="1" applyAlignment="1" applyProtection="1"/>
    <xf numFmtId="0" fontId="6" fillId="0" borderId="8" xfId="0" applyFont="1" applyFill="1" applyBorder="1" applyAlignment="1" applyProtection="1">
      <alignment horizontal="centerContinuous"/>
    </xf>
    <xf numFmtId="0" fontId="6" fillId="0" borderId="11" xfId="0" applyFont="1" applyFill="1" applyBorder="1"/>
    <xf numFmtId="0" fontId="6" fillId="0" borderId="2" xfId="0" applyFont="1" applyFill="1" applyBorder="1" applyAlignment="1" applyProtection="1">
      <alignment horizontal="centerContinuous"/>
    </xf>
    <xf numFmtId="0" fontId="6" fillId="0" borderId="3" xfId="0" applyFont="1" applyFill="1" applyBorder="1" applyAlignment="1" applyProtection="1">
      <alignment horizontal="centerContinuous"/>
    </xf>
    <xf numFmtId="8" fontId="6" fillId="0" borderId="0" xfId="0" applyNumberFormat="1" applyFont="1" applyFill="1"/>
    <xf numFmtId="0" fontId="6" fillId="0" borderId="1" xfId="0" applyFont="1" applyFill="1" applyBorder="1" applyAlignment="1" applyProtection="1">
      <alignment horizontal="left"/>
    </xf>
    <xf numFmtId="0" fontId="6" fillId="0" borderId="5" xfId="0" applyFont="1" applyFill="1" applyBorder="1" applyAlignment="1" applyProtection="1">
      <alignment horizontal="left"/>
    </xf>
    <xf numFmtId="0" fontId="6" fillId="0" borderId="9" xfId="0" applyFont="1" applyFill="1" applyBorder="1"/>
    <xf numFmtId="0" fontId="6" fillId="0" borderId="4" xfId="0" applyFont="1" applyFill="1" applyBorder="1" applyAlignment="1" applyProtection="1">
      <alignment horizontal="left"/>
    </xf>
    <xf numFmtId="0" fontId="6" fillId="0" borderId="8" xfId="0" applyFont="1" applyFill="1" applyBorder="1" applyAlignment="1">
      <alignment horizontal="centerContinuous"/>
    </xf>
    <xf numFmtId="164" fontId="6" fillId="0" borderId="0" xfId="8" applyFont="1"/>
    <xf numFmtId="0" fontId="6" fillId="0" borderId="0" xfId="7" applyFont="1"/>
    <xf numFmtId="17" fontId="6" fillId="0" borderId="0" xfId="7" applyNumberFormat="1" applyFont="1"/>
    <xf numFmtId="0" fontId="6" fillId="0" borderId="13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Continuous"/>
    </xf>
    <xf numFmtId="37" fontId="6" fillId="0" borderId="0" xfId="0" applyNumberFormat="1" applyFont="1" applyFill="1" applyBorder="1" applyAlignment="1" applyProtection="1">
      <alignment horizontal="left"/>
    </xf>
    <xf numFmtId="37" fontId="6" fillId="0" borderId="12" xfId="0" applyNumberFormat="1" applyFont="1" applyFill="1" applyBorder="1" applyAlignment="1" applyProtection="1">
      <alignment horizontal="left"/>
    </xf>
    <xf numFmtId="37" fontId="6" fillId="0" borderId="7" xfId="0" applyNumberFormat="1" applyFont="1" applyFill="1" applyBorder="1" applyProtection="1"/>
    <xf numFmtId="37" fontId="6" fillId="0" borderId="13" xfId="0" applyNumberFormat="1" applyFont="1" applyFill="1" applyBorder="1" applyProtection="1"/>
    <xf numFmtId="37" fontId="6" fillId="0" borderId="12" xfId="0" applyNumberFormat="1" applyFont="1" applyFill="1" applyBorder="1" applyProtection="1"/>
    <xf numFmtId="0" fontId="8" fillId="0" borderId="0" xfId="7" applyFont="1"/>
    <xf numFmtId="0" fontId="20" fillId="0" borderId="0" xfId="7" applyFont="1" applyAlignment="1">
      <alignment horizontal="right"/>
    </xf>
    <xf numFmtId="166" fontId="8" fillId="0" borderId="0" xfId="3" applyNumberFormat="1" applyFont="1"/>
    <xf numFmtId="166" fontId="21" fillId="0" borderId="0" xfId="3" applyNumberFormat="1" applyFont="1"/>
    <xf numFmtId="0" fontId="6" fillId="0" borderId="8" xfId="0" applyFont="1" applyFill="1" applyBorder="1" applyAlignment="1" applyProtection="1">
      <alignment horizontal="center"/>
    </xf>
    <xf numFmtId="164" fontId="25" fillId="0" borderId="2" xfId="9" applyFont="1" applyBorder="1" applyAlignment="1" applyProtection="1">
      <alignment horizontal="centerContinuous"/>
    </xf>
    <xf numFmtId="164" fontId="25" fillId="0" borderId="10" xfId="9" applyFont="1" applyBorder="1" applyAlignment="1" applyProtection="1">
      <alignment horizontal="centerContinuous"/>
    </xf>
    <xf numFmtId="164" fontId="26" fillId="0" borderId="10" xfId="9" applyBorder="1" applyAlignment="1">
      <alignment horizontal="centerContinuous"/>
    </xf>
    <xf numFmtId="164" fontId="25" fillId="0" borderId="10" xfId="9" applyFont="1" applyBorder="1" applyAlignment="1">
      <alignment horizontal="centerContinuous"/>
    </xf>
    <xf numFmtId="164" fontId="25" fillId="0" borderId="3" xfId="9" applyFont="1" applyBorder="1" applyAlignment="1">
      <alignment horizontal="centerContinuous"/>
    </xf>
    <xf numFmtId="164" fontId="26" fillId="0" borderId="0" xfId="9"/>
    <xf numFmtId="164" fontId="27" fillId="0" borderId="0" xfId="9" applyFont="1" applyBorder="1" applyAlignment="1" applyProtection="1">
      <alignment horizontal="centerContinuous"/>
    </xf>
    <xf numFmtId="164" fontId="26" fillId="0" borderId="0" xfId="9" applyBorder="1" applyAlignment="1">
      <alignment horizontal="centerContinuous"/>
    </xf>
    <xf numFmtId="164" fontId="25" fillId="0" borderId="0" xfId="9" applyFont="1" applyBorder="1" applyAlignment="1">
      <alignment horizontal="centerContinuous"/>
    </xf>
    <xf numFmtId="164" fontId="25" fillId="0" borderId="5" xfId="9" applyFont="1" applyBorder="1" applyAlignment="1">
      <alignment horizontal="centerContinuous"/>
    </xf>
    <xf numFmtId="164" fontId="25" fillId="0" borderId="13" xfId="9" applyFont="1" applyBorder="1" applyAlignment="1" applyProtection="1">
      <alignment horizontal="centerContinuous"/>
    </xf>
    <xf numFmtId="164" fontId="25" fillId="0" borderId="8" xfId="9" applyFont="1" applyBorder="1" applyAlignment="1" applyProtection="1">
      <alignment horizontal="centerContinuous"/>
    </xf>
    <xf numFmtId="164" fontId="26" fillId="0" borderId="8" xfId="9" applyBorder="1" applyAlignment="1">
      <alignment horizontal="centerContinuous"/>
    </xf>
    <xf numFmtId="164" fontId="25" fillId="0" borderId="8" xfId="9" applyFont="1" applyBorder="1" applyAlignment="1">
      <alignment horizontal="centerContinuous"/>
    </xf>
    <xf numFmtId="164" fontId="25" fillId="0" borderId="4" xfId="9" applyFont="1" applyBorder="1" applyAlignment="1">
      <alignment horizontal="centerContinuous"/>
    </xf>
    <xf numFmtId="164" fontId="25" fillId="0" borderId="11" xfId="9" applyFont="1" applyBorder="1" applyAlignment="1" applyProtection="1">
      <alignment horizontal="center"/>
    </xf>
    <xf numFmtId="164" fontId="25" fillId="0" borderId="14" xfId="9" applyFont="1" applyBorder="1"/>
    <xf numFmtId="164" fontId="25" fillId="0" borderId="11" xfId="9" applyFont="1" applyBorder="1"/>
    <xf numFmtId="164" fontId="25" fillId="0" borderId="15" xfId="9" applyFont="1" applyBorder="1"/>
    <xf numFmtId="164" fontId="25" fillId="0" borderId="9" xfId="9" applyFont="1" applyBorder="1" applyAlignment="1" applyProtection="1">
      <alignment horizontal="centerContinuous"/>
    </xf>
    <xf numFmtId="164" fontId="25" fillId="0" borderId="9" xfId="9" applyFont="1" applyBorder="1" applyAlignment="1" applyProtection="1">
      <alignment horizontal="center"/>
    </xf>
    <xf numFmtId="164" fontId="25" fillId="0" borderId="16" xfId="9" applyFont="1" applyBorder="1" applyAlignment="1" applyProtection="1">
      <alignment horizontal="center"/>
    </xf>
    <xf numFmtId="164" fontId="25" fillId="0" borderId="17" xfId="9" applyFont="1" applyBorder="1" applyAlignment="1" applyProtection="1">
      <alignment horizontal="centerContinuous"/>
    </xf>
    <xf numFmtId="164" fontId="25" fillId="0" borderId="17" xfId="9" applyFont="1" applyBorder="1" applyAlignment="1" applyProtection="1">
      <alignment horizontal="center"/>
    </xf>
    <xf numFmtId="164" fontId="25" fillId="0" borderId="15" xfId="9" applyFont="1" applyBorder="1" applyAlignment="1" applyProtection="1">
      <alignment horizontal="center"/>
    </xf>
    <xf numFmtId="41" fontId="26" fillId="0" borderId="2" xfId="9" applyNumberFormat="1" applyBorder="1"/>
    <xf numFmtId="41" fontId="26" fillId="0" borderId="11" xfId="9" applyNumberFormat="1" applyBorder="1"/>
    <xf numFmtId="41" fontId="26" fillId="0" borderId="3" xfId="9" applyNumberFormat="1" applyBorder="1"/>
    <xf numFmtId="41" fontId="26" fillId="0" borderId="7" xfId="9" applyNumberFormat="1" applyBorder="1"/>
    <xf numFmtId="41" fontId="26" fillId="0" borderId="1" xfId="9" applyNumberFormat="1" applyBorder="1"/>
    <xf numFmtId="41" fontId="26" fillId="0" borderId="5" xfId="9" applyNumberFormat="1" applyBorder="1"/>
    <xf numFmtId="42" fontId="8" fillId="0" borderId="7" xfId="9" applyNumberFormat="1" applyFont="1" applyBorder="1"/>
    <xf numFmtId="166" fontId="8" fillId="0" borderId="1" xfId="3" applyNumberFormat="1" applyFont="1" applyFill="1" applyBorder="1"/>
    <xf numFmtId="41" fontId="8" fillId="0" borderId="5" xfId="9" applyNumberFormat="1" applyFont="1" applyBorder="1"/>
    <xf numFmtId="41" fontId="8" fillId="0" borderId="1" xfId="9" applyNumberFormat="1" applyFont="1" applyBorder="1"/>
    <xf numFmtId="41" fontId="29" fillId="0" borderId="7" xfId="9" applyNumberFormat="1" applyFont="1" applyBorder="1"/>
    <xf numFmtId="41" fontId="29" fillId="0" borderId="1" xfId="9" applyNumberFormat="1" applyFont="1" applyBorder="1"/>
    <xf numFmtId="41" fontId="26" fillId="0" borderId="13" xfId="9" applyNumberFormat="1" applyBorder="1"/>
    <xf numFmtId="41" fontId="26" fillId="0" borderId="9" xfId="9" applyNumberFormat="1" applyBorder="1"/>
    <xf numFmtId="41" fontId="26" fillId="0" borderId="4" xfId="9" applyNumberFormat="1" applyBorder="1"/>
    <xf numFmtId="164" fontId="18" fillId="0" borderId="7" xfId="8" applyFont="1" applyBorder="1" applyAlignment="1">
      <alignment horizontal="centerContinuous"/>
    </xf>
    <xf numFmtId="43" fontId="10" fillId="0" borderId="0" xfId="1" applyFont="1"/>
    <xf numFmtId="164" fontId="25" fillId="0" borderId="22" xfId="9" applyFont="1" applyBorder="1" applyAlignment="1" applyProtection="1">
      <alignment horizontal="center"/>
    </xf>
    <xf numFmtId="164" fontId="25" fillId="0" borderId="19" xfId="9" applyFont="1" applyBorder="1" applyAlignment="1" applyProtection="1">
      <alignment horizontal="center"/>
    </xf>
    <xf numFmtId="164" fontId="25" fillId="0" borderId="22" xfId="9" applyFont="1" applyBorder="1"/>
    <xf numFmtId="164" fontId="25" fillId="0" borderId="18" xfId="9" applyFont="1" applyBorder="1" applyAlignment="1" applyProtection="1">
      <alignment horizontal="center"/>
    </xf>
    <xf numFmtId="41" fontId="28" fillId="0" borderId="7" xfId="9" applyNumberFormat="1" applyFont="1" applyBorder="1"/>
    <xf numFmtId="0" fontId="8" fillId="0" borderId="7" xfId="7" applyFont="1" applyFill="1" applyBorder="1"/>
    <xf numFmtId="17" fontId="8" fillId="0" borderId="7" xfId="7" applyNumberFormat="1" applyFont="1" applyBorder="1"/>
    <xf numFmtId="41" fontId="8" fillId="0" borderId="1" xfId="9" applyNumberFormat="1" applyFont="1" applyBorder="1" applyAlignment="1">
      <alignment horizontal="center"/>
    </xf>
    <xf numFmtId="44" fontId="8" fillId="0" borderId="1" xfId="3" applyFont="1" applyBorder="1"/>
    <xf numFmtId="0" fontId="10" fillId="0" borderId="0" xfId="6"/>
    <xf numFmtId="10" fontId="28" fillId="0" borderId="0" xfId="15" applyNumberFormat="1" applyFont="1"/>
    <xf numFmtId="164" fontId="26" fillId="0" borderId="9" xfId="9" applyBorder="1"/>
    <xf numFmtId="170" fontId="28" fillId="0" borderId="0" xfId="15" applyNumberFormat="1" applyFont="1"/>
    <xf numFmtId="0" fontId="23" fillId="0" borderId="0" xfId="5"/>
    <xf numFmtId="166" fontId="0" fillId="0" borderId="0" xfId="4" applyNumberFormat="1" applyFont="1"/>
    <xf numFmtId="0" fontId="34" fillId="0" borderId="0" xfId="5" applyFont="1"/>
    <xf numFmtId="166" fontId="34" fillId="0" borderId="0" xfId="4" applyNumberFormat="1" applyFont="1"/>
    <xf numFmtId="0" fontId="35" fillId="0" borderId="0" xfId="5" applyFont="1" applyAlignment="1">
      <alignment horizontal="centerContinuous"/>
    </xf>
    <xf numFmtId="0" fontId="34" fillId="0" borderId="0" xfId="5" applyFont="1" applyAlignment="1">
      <alignment horizontal="centerContinuous"/>
    </xf>
    <xf numFmtId="166" fontId="34" fillId="0" borderId="0" xfId="4" applyNumberFormat="1" applyFont="1" applyAlignment="1">
      <alignment horizontal="centerContinuous"/>
    </xf>
    <xf numFmtId="0" fontId="35" fillId="0" borderId="0" xfId="5" applyFont="1" applyFill="1" applyAlignment="1">
      <alignment horizontal="centerContinuous"/>
    </xf>
    <xf numFmtId="0" fontId="34" fillId="0" borderId="0" xfId="5" applyFont="1" applyFill="1" applyAlignment="1">
      <alignment horizontal="centerContinuous"/>
    </xf>
    <xf numFmtId="166" fontId="34" fillId="0" borderId="0" xfId="4" applyNumberFormat="1" applyFont="1" applyFill="1" applyAlignment="1">
      <alignment horizontal="centerContinuous"/>
    </xf>
    <xf numFmtId="166" fontId="23" fillId="0" borderId="0" xfId="5" applyNumberFormat="1"/>
    <xf numFmtId="0" fontId="36" fillId="0" borderId="0" xfId="5" applyFont="1"/>
    <xf numFmtId="0" fontId="35" fillId="0" borderId="8" xfId="5" applyFont="1" applyBorder="1" applyAlignment="1">
      <alignment horizontal="centerContinuous"/>
    </xf>
    <xf numFmtId="0" fontId="36" fillId="0" borderId="0" xfId="5" applyFont="1" applyAlignment="1">
      <alignment horizontal="center"/>
    </xf>
    <xf numFmtId="166" fontId="36" fillId="0" borderId="0" xfId="4" applyNumberFormat="1" applyFont="1" applyAlignment="1">
      <alignment horizontal="center"/>
    </xf>
    <xf numFmtId="0" fontId="34" fillId="0" borderId="0" xfId="5" applyFont="1" applyAlignment="1">
      <alignment horizontal="center"/>
    </xf>
    <xf numFmtId="0" fontId="35" fillId="0" borderId="0" xfId="5" applyFont="1"/>
    <xf numFmtId="167" fontId="23" fillId="0" borderId="0" xfId="5" applyNumberFormat="1"/>
    <xf numFmtId="0" fontId="19" fillId="0" borderId="0" xfId="5" applyFont="1"/>
    <xf numFmtId="0" fontId="19" fillId="0" borderId="0" xfId="5" applyFont="1" applyAlignment="1">
      <alignment horizontal="center"/>
    </xf>
    <xf numFmtId="0" fontId="0" fillId="5" borderId="0" xfId="0" applyFill="1"/>
    <xf numFmtId="0" fontId="38" fillId="7" borderId="25" xfId="0" applyFont="1" applyFill="1" applyBorder="1" applyAlignment="1">
      <alignment horizontal="center" wrapText="1"/>
    </xf>
    <xf numFmtId="165" fontId="10" fillId="0" borderId="0" xfId="16" applyNumberFormat="1" applyFill="1" applyBorder="1"/>
    <xf numFmtId="0" fontId="6" fillId="0" borderId="2" xfId="0" applyFont="1" applyFill="1" applyBorder="1" applyAlignment="1">
      <alignment horizontal="centerContinuous"/>
    </xf>
    <xf numFmtId="2" fontId="37" fillId="5" borderId="23" xfId="0" applyNumberFormat="1" applyFont="1" applyFill="1" applyBorder="1" applyAlignment="1">
      <alignment horizontal="right" vertical="center"/>
    </xf>
    <xf numFmtId="2" fontId="37" fillId="6" borderId="23" xfId="0" applyNumberFormat="1" applyFont="1" applyFill="1" applyBorder="1" applyAlignment="1">
      <alignment horizontal="right" vertical="center"/>
    </xf>
    <xf numFmtId="2" fontId="37" fillId="5" borderId="23" xfId="156" applyNumberFormat="1" applyFont="1" applyFill="1" applyBorder="1" applyAlignment="1">
      <alignment horizontal="right" vertical="center"/>
    </xf>
    <xf numFmtId="2" fontId="10" fillId="0" borderId="0" xfId="6" applyNumberFormat="1"/>
    <xf numFmtId="0" fontId="30" fillId="0" borderId="0" xfId="170" applyAlignment="1">
      <alignment horizontal="left" indent="1"/>
    </xf>
    <xf numFmtId="10" fontId="30" fillId="0" borderId="0" xfId="168" applyNumberFormat="1" applyFont="1" applyAlignment="1">
      <alignment horizontal="center"/>
    </xf>
    <xf numFmtId="166" fontId="30" fillId="0" borderId="0" xfId="63" applyNumberFormat="1" applyFont="1"/>
    <xf numFmtId="166" fontId="28" fillId="0" borderId="21" xfId="63" applyNumberFormat="1" applyFont="1" applyBorder="1"/>
    <xf numFmtId="0" fontId="30" fillId="0" borderId="0" xfId="170"/>
    <xf numFmtId="0" fontId="28" fillId="0" borderId="0" xfId="170" applyFont="1"/>
    <xf numFmtId="0" fontId="30" fillId="0" borderId="0" xfId="170" applyFont="1"/>
    <xf numFmtId="44" fontId="28" fillId="0" borderId="8" xfId="63" applyFont="1" applyBorder="1" applyAlignment="1">
      <alignment horizontal="center"/>
    </xf>
    <xf numFmtId="10" fontId="28" fillId="0" borderId="8" xfId="168" applyNumberFormat="1" applyFont="1" applyBorder="1" applyAlignment="1">
      <alignment horizontal="center"/>
    </xf>
    <xf numFmtId="10" fontId="28" fillId="0" borderId="21" xfId="168" applyNumberFormat="1" applyFont="1" applyBorder="1" applyAlignment="1">
      <alignment horizontal="center"/>
    </xf>
    <xf numFmtId="166" fontId="30" fillId="0" borderId="10" xfId="63" applyNumberFormat="1" applyFont="1" applyBorder="1"/>
    <xf numFmtId="10" fontId="30" fillId="0" borderId="10" xfId="168" applyNumberFormat="1" applyFont="1" applyBorder="1" applyAlignment="1">
      <alignment horizontal="center"/>
    </xf>
    <xf numFmtId="166" fontId="30" fillId="0" borderId="12" xfId="63" applyNumberFormat="1" applyFont="1" applyBorder="1"/>
    <xf numFmtId="10" fontId="30" fillId="0" borderId="12" xfId="168" applyNumberFormat="1" applyFont="1" applyBorder="1" applyAlignment="1">
      <alignment horizontal="center"/>
    </xf>
    <xf numFmtId="0" fontId="30" fillId="0" borderId="0" xfId="170" applyAlignment="1">
      <alignment horizontal="left"/>
    </xf>
    <xf numFmtId="0" fontId="6" fillId="0" borderId="10" xfId="0" applyFont="1" applyFill="1" applyBorder="1" applyAlignment="1" applyProtection="1">
      <alignment horizontal="centerContinuous"/>
    </xf>
    <xf numFmtId="166" fontId="30" fillId="0" borderId="0" xfId="63" applyNumberFormat="1" applyFont="1" applyFill="1"/>
    <xf numFmtId="0" fontId="6" fillId="0" borderId="0" xfId="0" applyFont="1" applyFill="1" applyBorder="1" applyAlignment="1" applyProtection="1">
      <alignment horizontal="centerContinuous"/>
    </xf>
    <xf numFmtId="0" fontId="6" fillId="0" borderId="4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37" fillId="6" borderId="29" xfId="0" applyFont="1" applyFill="1" applyBorder="1" applyAlignment="1">
      <alignment vertical="center"/>
    </xf>
    <xf numFmtId="0" fontId="22" fillId="0" borderId="0" xfId="6" applyFont="1" applyAlignment="1"/>
    <xf numFmtId="0" fontId="28" fillId="0" borderId="0" xfId="6" applyFont="1" applyAlignment="1"/>
    <xf numFmtId="0" fontId="39" fillId="0" borderId="0" xfId="0" applyFont="1" applyAlignment="1"/>
    <xf numFmtId="0" fontId="33" fillId="5" borderId="0" xfId="0" applyFont="1" applyFill="1" applyAlignment="1"/>
    <xf numFmtId="0" fontId="32" fillId="5" borderId="0" xfId="0" applyFont="1" applyFill="1" applyAlignment="1"/>
    <xf numFmtId="0" fontId="0" fillId="5" borderId="0" xfId="0" applyFill="1" applyAlignment="1"/>
    <xf numFmtId="0" fontId="38" fillId="7" borderId="24" xfId="0" applyFont="1" applyFill="1" applyBorder="1" applyAlignment="1">
      <alignment wrapText="1"/>
    </xf>
    <xf numFmtId="0" fontId="10" fillId="0" borderId="0" xfId="6" applyFont="1" applyAlignment="1"/>
    <xf numFmtId="0" fontId="10" fillId="0" borderId="0" xfId="6" applyAlignment="1"/>
    <xf numFmtId="0" fontId="0" fillId="0" borderId="0" xfId="0" applyAlignment="1"/>
    <xf numFmtId="0" fontId="43" fillId="9" borderId="28" xfId="0" applyFont="1" applyFill="1" applyBorder="1" applyAlignment="1">
      <alignment horizontal="center" vertical="center"/>
    </xf>
    <xf numFmtId="0" fontId="38" fillId="8" borderId="26" xfId="0" applyFont="1" applyFill="1" applyBorder="1" applyAlignment="1">
      <alignment horizontal="center" vertical="center"/>
    </xf>
    <xf numFmtId="0" fontId="38" fillId="9" borderId="26" xfId="0" applyFont="1" applyFill="1" applyBorder="1" applyAlignment="1">
      <alignment horizontal="center" vertical="center"/>
    </xf>
    <xf numFmtId="0" fontId="38" fillId="8" borderId="26" xfId="156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left"/>
    </xf>
    <xf numFmtId="165" fontId="31" fillId="0" borderId="0" xfId="1" applyNumberFormat="1" applyFont="1" applyFill="1" applyBorder="1"/>
    <xf numFmtId="0" fontId="9" fillId="0" borderId="5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44" fontId="6" fillId="0" borderId="0" xfId="3" applyFont="1" applyFill="1" applyBorder="1" applyProtection="1"/>
    <xf numFmtId="0" fontId="6" fillId="0" borderId="6" xfId="0" applyFont="1" applyFill="1" applyBorder="1" applyAlignment="1" applyProtection="1">
      <alignment horizontal="left"/>
    </xf>
    <xf numFmtId="0" fontId="6" fillId="0" borderId="12" xfId="0" applyFont="1" applyFill="1" applyBorder="1" applyAlignment="1" applyProtection="1">
      <alignment horizontal="left"/>
    </xf>
    <xf numFmtId="0" fontId="6" fillId="0" borderId="12" xfId="0" applyFont="1" applyFill="1" applyBorder="1"/>
    <xf numFmtId="0" fontId="5" fillId="0" borderId="5" xfId="0" applyFont="1" applyFill="1" applyBorder="1" applyAlignment="1" applyProtection="1">
      <alignment horizontal="left"/>
    </xf>
    <xf numFmtId="0" fontId="6" fillId="0" borderId="8" xfId="0" applyFont="1" applyFill="1" applyBorder="1" applyAlignment="1" applyProtection="1">
      <alignment horizontal="left"/>
    </xf>
    <xf numFmtId="37" fontId="6" fillId="0" borderId="4" xfId="0" applyNumberFormat="1" applyFont="1" applyFill="1" applyBorder="1" applyProtection="1"/>
    <xf numFmtId="37" fontId="6" fillId="0" borderId="8" xfId="0" applyNumberFormat="1" applyFont="1" applyFill="1" applyBorder="1" applyAlignment="1" applyProtection="1">
      <alignment horizontal="left"/>
    </xf>
    <xf numFmtId="37" fontId="6" fillId="0" borderId="8" xfId="0" applyNumberFormat="1" applyFont="1" applyFill="1" applyBorder="1" applyProtection="1"/>
    <xf numFmtId="0" fontId="9" fillId="0" borderId="1" xfId="0" applyFont="1" applyFill="1" applyBorder="1" applyAlignment="1" applyProtection="1">
      <alignment horizontal="left"/>
    </xf>
    <xf numFmtId="0" fontId="6" fillId="0" borderId="13" xfId="0" applyFont="1" applyFill="1" applyBorder="1" applyAlignment="1">
      <alignment horizontal="center"/>
    </xf>
    <xf numFmtId="0" fontId="9" fillId="0" borderId="9" xfId="0" applyFont="1" applyFill="1" applyBorder="1" applyAlignment="1" applyProtection="1">
      <alignment horizontal="left"/>
    </xf>
    <xf numFmtId="10" fontId="6" fillId="0" borderId="4" xfId="0" applyNumberFormat="1" applyFont="1" applyFill="1" applyBorder="1" applyProtection="1"/>
    <xf numFmtId="0" fontId="6" fillId="0" borderId="4" xfId="0" applyFont="1" applyFill="1" applyBorder="1"/>
    <xf numFmtId="0" fontId="10" fillId="0" borderId="0" xfId="6" applyBorder="1"/>
    <xf numFmtId="164" fontId="26" fillId="0" borderId="0" xfId="9" applyBorder="1"/>
    <xf numFmtId="0" fontId="6" fillId="0" borderId="5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37" fontId="6" fillId="0" borderId="1" xfId="0" applyNumberFormat="1" applyFont="1" applyFill="1" applyBorder="1" applyProtection="1"/>
    <xf numFmtId="37" fontId="6" fillId="0" borderId="17" xfId="0" applyNumberFormat="1" applyFont="1" applyFill="1" applyBorder="1" applyProtection="1"/>
    <xf numFmtId="37" fontId="6" fillId="0" borderId="9" xfId="0" applyNumberFormat="1" applyFont="1" applyFill="1" applyBorder="1" applyProtection="1"/>
    <xf numFmtId="164" fontId="26" fillId="0" borderId="5" xfId="9" applyBorder="1"/>
    <xf numFmtId="164" fontId="26" fillId="0" borderId="3" xfId="9" applyBorder="1"/>
    <xf numFmtId="164" fontId="26" fillId="0" borderId="4" xfId="9" applyBorder="1"/>
    <xf numFmtId="0" fontId="28" fillId="0" borderId="0" xfId="6" applyFont="1" applyAlignment="1">
      <alignment horizontal="center"/>
    </xf>
    <xf numFmtId="0" fontId="0" fillId="5" borderId="0" xfId="0" applyFill="1" applyBorder="1"/>
    <xf numFmtId="0" fontId="0" fillId="0" borderId="0" xfId="0" applyBorder="1"/>
    <xf numFmtId="0" fontId="9" fillId="0" borderId="0" xfId="0" applyFont="1" applyFill="1" applyAlignment="1" applyProtection="1">
      <alignment horizontal="center"/>
    </xf>
    <xf numFmtId="0" fontId="6" fillId="0" borderId="0" xfId="0" applyFont="1" applyFill="1" applyAlignment="1">
      <alignment horizontal="center"/>
    </xf>
    <xf numFmtId="173" fontId="37" fillId="5" borderId="23" xfId="156" applyNumberFormat="1" applyFont="1" applyFill="1" applyBorder="1" applyAlignment="1">
      <alignment horizontal="right" vertical="center"/>
    </xf>
    <xf numFmtId="0" fontId="34" fillId="0" borderId="0" xfId="5" applyFont="1" applyFill="1"/>
    <xf numFmtId="166" fontId="34" fillId="0" borderId="0" xfId="4" applyNumberFormat="1" applyFont="1" applyFill="1"/>
    <xf numFmtId="0" fontId="34" fillId="0" borderId="0" xfId="109" applyFont="1" applyFill="1"/>
    <xf numFmtId="165" fontId="34" fillId="0" borderId="0" xfId="109" applyNumberFormat="1" applyFont="1" applyFill="1"/>
    <xf numFmtId="167" fontId="34" fillId="0" borderId="0" xfId="109" applyNumberFormat="1" applyFont="1" applyFill="1"/>
    <xf numFmtId="0" fontId="34" fillId="0" borderId="8" xfId="109" applyFont="1" applyFill="1" applyBorder="1"/>
    <xf numFmtId="166" fontId="34" fillId="0" borderId="8" xfId="4" applyNumberFormat="1" applyFont="1" applyFill="1" applyBorder="1"/>
    <xf numFmtId="0" fontId="34" fillId="0" borderId="21" xfId="109" applyFont="1" applyFill="1" applyBorder="1"/>
    <xf numFmtId="165" fontId="34" fillId="0" borderId="21" xfId="109" applyNumberFormat="1" applyFont="1" applyFill="1" applyBorder="1"/>
    <xf numFmtId="166" fontId="34" fillId="0" borderId="21" xfId="4" applyNumberFormat="1" applyFont="1" applyFill="1" applyBorder="1"/>
    <xf numFmtId="0" fontId="19" fillId="0" borderId="0" xfId="5" applyFont="1" applyFill="1"/>
    <xf numFmtId="167" fontId="19" fillId="0" borderId="0" xfId="109" applyNumberFormat="1" applyFont="1" applyFill="1"/>
    <xf numFmtId="165" fontId="19" fillId="0" borderId="0" xfId="109" applyNumberFormat="1" applyFont="1" applyFill="1"/>
    <xf numFmtId="166" fontId="34" fillId="0" borderId="0" xfId="4" applyNumberFormat="1" applyFont="1" applyFill="1" applyBorder="1"/>
    <xf numFmtId="0" fontId="19" fillId="0" borderId="0" xfId="109" applyFont="1" applyFill="1"/>
    <xf numFmtId="165" fontId="19" fillId="0" borderId="8" xfId="109" applyNumberFormat="1" applyFont="1" applyFill="1" applyBorder="1"/>
    <xf numFmtId="166" fontId="19" fillId="0" borderId="0" xfId="4" applyNumberFormat="1" applyFont="1" applyFill="1"/>
    <xf numFmtId="165" fontId="19" fillId="0" borderId="20" xfId="109" applyNumberFormat="1" applyFont="1" applyFill="1" applyBorder="1"/>
    <xf numFmtId="166" fontId="19" fillId="0" borderId="20" xfId="4" applyNumberFormat="1" applyFont="1" applyFill="1" applyBorder="1"/>
    <xf numFmtId="164" fontId="8" fillId="0" borderId="9" xfId="9" applyFont="1" applyFill="1" applyBorder="1" applyAlignment="1" applyProtection="1">
      <alignment horizontal="center"/>
    </xf>
    <xf numFmtId="0" fontId="8" fillId="0" borderId="1" xfId="7" applyFont="1" applyFill="1" applyBorder="1"/>
    <xf numFmtId="166" fontId="42" fillId="0" borderId="5" xfId="3" applyNumberFormat="1" applyFont="1" applyFill="1" applyBorder="1"/>
    <xf numFmtId="164" fontId="8" fillId="0" borderId="11" xfId="9" applyFont="1" applyFill="1" applyBorder="1" applyAlignment="1">
      <alignment horizontal="center"/>
    </xf>
    <xf numFmtId="10" fontId="8" fillId="0" borderId="9" xfId="15" applyNumberFormat="1" applyFont="1" applyFill="1" applyBorder="1"/>
    <xf numFmtId="166" fontId="8" fillId="0" borderId="17" xfId="3" applyNumberFormat="1" applyFont="1" applyFill="1" applyBorder="1"/>
    <xf numFmtId="41" fontId="8" fillId="0" borderId="1" xfId="9" applyNumberFormat="1" applyFont="1" applyFill="1" applyBorder="1"/>
    <xf numFmtId="41" fontId="18" fillId="0" borderId="1" xfId="9" applyNumberFormat="1" applyFont="1" applyFill="1" applyBorder="1"/>
    <xf numFmtId="0" fontId="28" fillId="0" borderId="0" xfId="6" applyFont="1" applyFill="1" applyAlignment="1">
      <alignment horizontal="center"/>
    </xf>
    <xf numFmtId="0" fontId="10" fillId="0" borderId="0" xfId="6" applyFill="1"/>
    <xf numFmtId="10" fontId="10" fillId="0" borderId="0" xfId="168" applyNumberFormat="1" applyFont="1" applyAlignment="1">
      <alignment horizontal="center"/>
    </xf>
    <xf numFmtId="44" fontId="28" fillId="0" borderId="8" xfId="63" applyFont="1" applyFill="1" applyBorder="1" applyAlignment="1">
      <alignment horizontal="center"/>
    </xf>
    <xf numFmtId="166" fontId="30" fillId="0" borderId="10" xfId="63" applyNumberFormat="1" applyFont="1" applyFill="1" applyBorder="1"/>
    <xf numFmtId="166" fontId="10" fillId="0" borderId="0" xfId="63" applyNumberFormat="1" applyFont="1" applyFill="1"/>
    <xf numFmtId="166" fontId="30" fillId="0" borderId="12" xfId="63" applyNumberFormat="1" applyFont="1" applyFill="1" applyBorder="1"/>
    <xf numFmtId="166" fontId="28" fillId="0" borderId="21" xfId="63" applyNumberFormat="1" applyFont="1" applyFill="1" applyBorder="1"/>
    <xf numFmtId="44" fontId="10" fillId="0" borderId="0" xfId="3" applyFont="1" applyFill="1"/>
    <xf numFmtId="167" fontId="34" fillId="0" borderId="8" xfId="109" applyNumberFormat="1" applyFont="1" applyFill="1" applyBorder="1"/>
    <xf numFmtId="173" fontId="37" fillId="6" borderId="29" xfId="0" applyNumberFormat="1" applyFont="1" applyFill="1" applyBorder="1" applyAlignment="1">
      <alignment vertical="center"/>
    </xf>
    <xf numFmtId="41" fontId="44" fillId="0" borderId="7" xfId="9" applyNumberFormat="1" applyFont="1" applyBorder="1"/>
    <xf numFmtId="0" fontId="5" fillId="0" borderId="8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Continuous"/>
    </xf>
    <xf numFmtId="0" fontId="9" fillId="0" borderId="0" xfId="0" applyFont="1" applyFill="1" applyAlignment="1" applyProtection="1">
      <alignment horizontal="center"/>
    </xf>
    <xf numFmtId="0" fontId="45" fillId="5" borderId="28" xfId="0" applyFont="1" applyFill="1" applyBorder="1" applyAlignment="1">
      <alignment horizontal="right" vertical="center" indent="1"/>
    </xf>
    <xf numFmtId="0" fontId="45" fillId="5" borderId="29" xfId="0" applyFont="1" applyFill="1" applyBorder="1" applyAlignment="1">
      <alignment horizontal="right" vertical="center" indent="1"/>
    </xf>
    <xf numFmtId="37" fontId="6" fillId="0" borderId="5" xfId="0" applyNumberFormat="1" applyFont="1" applyFill="1" applyBorder="1"/>
    <xf numFmtId="0" fontId="5" fillId="0" borderId="0" xfId="0" applyFont="1" applyFill="1"/>
    <xf numFmtId="37" fontId="6" fillId="0" borderId="0" xfId="0" applyNumberFormat="1" applyFont="1" applyFill="1"/>
    <xf numFmtId="0" fontId="6" fillId="0" borderId="7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 applyAlignment="1" applyProtection="1">
      <alignment horizontal="center"/>
    </xf>
    <xf numFmtId="0" fontId="35" fillId="0" borderId="0" xfId="109" applyFont="1" applyFill="1" applyAlignment="1">
      <alignment horizontal="center"/>
    </xf>
    <xf numFmtId="164" fontId="25" fillId="0" borderId="7" xfId="9" applyFont="1" applyBorder="1" applyAlignment="1" applyProtection="1">
      <alignment horizontal="center"/>
    </xf>
    <xf numFmtId="164" fontId="25" fillId="0" borderId="2" xfId="9" applyFont="1" applyBorder="1" applyAlignment="1" applyProtection="1">
      <alignment horizontal="center"/>
    </xf>
    <xf numFmtId="0" fontId="10" fillId="0" borderId="13" xfId="6" applyBorder="1" applyAlignment="1"/>
    <xf numFmtId="0" fontId="10" fillId="0" borderId="0" xfId="6" applyAlignment="1">
      <alignment horizontal="center"/>
    </xf>
    <xf numFmtId="0" fontId="10" fillId="0" borderId="5" xfId="6" applyBorder="1" applyAlignment="1">
      <alignment horizontal="center"/>
    </xf>
    <xf numFmtId="0" fontId="32" fillId="5" borderId="27" xfId="0" applyFont="1" applyFill="1" applyBorder="1" applyAlignment="1">
      <alignment horizontal="left"/>
    </xf>
    <xf numFmtId="0" fontId="0" fillId="0" borderId="27" xfId="0" applyBorder="1"/>
    <xf numFmtId="0" fontId="28" fillId="0" borderId="0" xfId="6" applyFont="1" applyAlignment="1">
      <alignment horizontal="center"/>
    </xf>
    <xf numFmtId="0" fontId="28" fillId="0" borderId="0" xfId="6" applyFont="1" applyFill="1" applyAlignment="1">
      <alignment horizontal="center"/>
    </xf>
  </cellXfs>
  <cellStyles count="208">
    <cellStyle name="Comma" xfId="1" builtinId="3"/>
    <cellStyle name="Comma 10" xfId="18"/>
    <cellStyle name="Comma 10 2" xfId="110"/>
    <cellStyle name="Comma 10 2 2" xfId="106"/>
    <cellStyle name="Comma 11" xfId="112"/>
    <cellStyle name="Comma 12" xfId="172"/>
    <cellStyle name="Comma 2" xfId="2"/>
    <cellStyle name="Comma 2 2" xfId="59"/>
    <cellStyle name="Comma 2 3" xfId="70"/>
    <cellStyle name="Comma 2 4" xfId="176"/>
    <cellStyle name="Comma 23" xfId="19"/>
    <cellStyle name="Comma 23 2" xfId="125"/>
    <cellStyle name="Comma 23 3" xfId="153"/>
    <cellStyle name="Comma 24" xfId="58"/>
    <cellStyle name="Comma 24 2" xfId="163"/>
    <cellStyle name="Comma 24 3" xfId="103"/>
    <cellStyle name="Comma 25" xfId="155"/>
    <cellStyle name="Comma 3" xfId="17"/>
    <cellStyle name="Comma 3 2" xfId="71"/>
    <cellStyle name="Comma 3 2 2" xfId="104"/>
    <cellStyle name="Comma 4" xfId="69"/>
    <cellStyle name="Comma 4 2" xfId="175"/>
    <cellStyle name="Comma 5" xfId="82"/>
    <cellStyle name="Comma 5 2" xfId="136"/>
    <cellStyle name="Comma 5 3" xfId="118"/>
    <cellStyle name="Comma 6" xfId="86"/>
    <cellStyle name="Comma 6 2" xfId="91"/>
    <cellStyle name="Comma 6 3" xfId="140"/>
    <cellStyle name="Comma 6 4" xfId="116"/>
    <cellStyle name="Comma 6 5" xfId="183"/>
    <cellStyle name="Comma 6 6" xfId="196"/>
    <cellStyle name="Comma 7" xfId="66"/>
    <cellStyle name="Comma 7 2" xfId="99"/>
    <cellStyle name="Comma 7 2 2" xfId="192"/>
    <cellStyle name="Comma 7 2 3" xfId="205"/>
    <cellStyle name="Comma 7 3" xfId="135"/>
    <cellStyle name="Comma 7 3 2" xfId="190"/>
    <cellStyle name="Comma 7 3 3" xfId="203"/>
    <cellStyle name="Comma 7 4" xfId="185"/>
    <cellStyle name="Comma 7 5" xfId="198"/>
    <cellStyle name="Comma 8" xfId="96"/>
    <cellStyle name="Comma 8 2" xfId="144"/>
    <cellStyle name="Comma 8 3" xfId="187"/>
    <cellStyle name="Comma 8 4" xfId="200"/>
    <cellStyle name="Comma 9" xfId="124"/>
    <cellStyle name="Currency" xfId="3" builtinId="4"/>
    <cellStyle name="Currency 2" xfId="4"/>
    <cellStyle name="Currency 2 2" xfId="73"/>
    <cellStyle name="Currency 2 3" xfId="178"/>
    <cellStyle name="Currency 3" xfId="60"/>
    <cellStyle name="Currency 3 2" xfId="74"/>
    <cellStyle name="Currency 3 2 2" xfId="63"/>
    <cellStyle name="Currency 3 3" xfId="147"/>
    <cellStyle name="Currency 4" xfId="72"/>
    <cellStyle name="Currency 4 2" xfId="146"/>
    <cellStyle name="Currency 4 3" xfId="177"/>
    <cellStyle name="Currency 5" xfId="84"/>
    <cellStyle name="Currency 5 2" xfId="138"/>
    <cellStyle name="Currency 5 3" xfId="119"/>
    <cellStyle name="Currency 6" xfId="87"/>
    <cellStyle name="Currency 6 2" xfId="92"/>
    <cellStyle name="Currency 7" xfId="67"/>
    <cellStyle name="Currency 7 2" xfId="100"/>
    <cellStyle name="Currency 7 2 2" xfId="193"/>
    <cellStyle name="Currency 7 2 3" xfId="206"/>
    <cellStyle name="Currency 7 3" xfId="188"/>
    <cellStyle name="Currency 7 4" xfId="201"/>
    <cellStyle name="Currency 8" xfId="97"/>
    <cellStyle name="Currency 8 2" xfId="111"/>
    <cellStyle name="Currency 9" xfId="173"/>
    <cellStyle name="Normal" xfId="0" builtinId="0"/>
    <cellStyle name="Normal 10" xfId="65"/>
    <cellStyle name="Normal 10 2" xfId="98"/>
    <cellStyle name="Normal 10 2 2" xfId="191"/>
    <cellStyle name="Normal 10 2 3" xfId="204"/>
    <cellStyle name="Normal 10 3" xfId="134"/>
    <cellStyle name="Normal 10 3 2" xfId="189"/>
    <cellStyle name="Normal 10 3 3" xfId="202"/>
    <cellStyle name="Normal 10 4" xfId="184"/>
    <cellStyle name="Normal 10 5" xfId="197"/>
    <cellStyle name="Normal 11" xfId="61"/>
    <cellStyle name="Normal 11 2" xfId="143"/>
    <cellStyle name="Normal 11 3" xfId="122"/>
    <cellStyle name="Normal 11 4" xfId="186"/>
    <cellStyle name="Normal 11 5" xfId="199"/>
    <cellStyle name="Normal 12" xfId="94"/>
    <cellStyle name="Normal 12 2" xfId="123"/>
    <cellStyle name="Normal 13" xfId="95"/>
    <cellStyle name="Normal 13 2" xfId="109"/>
    <cellStyle name="Normal 14" xfId="108"/>
    <cellStyle name="Normal 14 2" xfId="180"/>
    <cellStyle name="Normal 14 3" xfId="194"/>
    <cellStyle name="Normal 15" xfId="113"/>
    <cellStyle name="Normal 16" xfId="114"/>
    <cellStyle name="Normal 16 2" xfId="181"/>
    <cellStyle name="Normal 17" xfId="171"/>
    <cellStyle name="Normal 18" xfId="207"/>
    <cellStyle name="Normal 2" xfId="5"/>
    <cellStyle name="Normal 2 2" xfId="62"/>
    <cellStyle name="Normal 2 2 2" xfId="76"/>
    <cellStyle name="Normal 2 3" xfId="88"/>
    <cellStyle name="Normal 2 3 2" xfId="141"/>
    <cellStyle name="Normal 2 3 3" xfId="128"/>
    <cellStyle name="Normal 2 4" xfId="93"/>
    <cellStyle name="Normal 2 4 2" xfId="129"/>
    <cellStyle name="Normal 2 5" xfId="75"/>
    <cellStyle name="Normal 2 5 2" xfId="126"/>
    <cellStyle name="Normal 3" xfId="16"/>
    <cellStyle name="Normal 3 2" xfId="77"/>
    <cellStyle name="Normal 3 2 2" xfId="150"/>
    <cellStyle name="Normal 3 3" xfId="130"/>
    <cellStyle name="Normal 3 4" xfId="127"/>
    <cellStyle name="Normal 4" xfId="78"/>
    <cellStyle name="Normal 4 2" xfId="131"/>
    <cellStyle name="Normal 5" xfId="79"/>
    <cellStyle name="Normal 5 2" xfId="132"/>
    <cellStyle name="Normal 57" xfId="20"/>
    <cellStyle name="Normal 57 2" xfId="101"/>
    <cellStyle name="Normal 58" xfId="21"/>
    <cellStyle name="Normal 58 2" xfId="165"/>
    <cellStyle name="Normal 59" xfId="22"/>
    <cellStyle name="Normal 59 2" xfId="164"/>
    <cellStyle name="Normal 6" xfId="80"/>
    <cellStyle name="Normal 61" xfId="23"/>
    <cellStyle name="Normal 61 2" xfId="148"/>
    <cellStyle name="Normal 62" xfId="24"/>
    <cellStyle name="Normal 62 2" xfId="105"/>
    <cellStyle name="Normal 63" xfId="25"/>
    <cellStyle name="Normal 63 2" xfId="166"/>
    <cellStyle name="Normal 64" xfId="26"/>
    <cellStyle name="Normal 64 2" xfId="160"/>
    <cellStyle name="Normal 65" xfId="27"/>
    <cellStyle name="Normal 65 2" xfId="159"/>
    <cellStyle name="Normal 66" xfId="28"/>
    <cellStyle name="Normal 66 2" xfId="154"/>
    <cellStyle name="Normal 67" xfId="29"/>
    <cellStyle name="Normal 67 2" xfId="151"/>
    <cellStyle name="Normal 68" xfId="30"/>
    <cellStyle name="Normal 68 2" xfId="157"/>
    <cellStyle name="Normal 7" xfId="68"/>
    <cellStyle name="Normal 71" xfId="31"/>
    <cellStyle name="Normal 71 2" xfId="152"/>
    <cellStyle name="Normal 73" xfId="32"/>
    <cellStyle name="Normal 73 2" xfId="162"/>
    <cellStyle name="Normal 75" xfId="33"/>
    <cellStyle name="Normal 75 2" xfId="149"/>
    <cellStyle name="Normal 76" xfId="34"/>
    <cellStyle name="Normal 76 2" xfId="158"/>
    <cellStyle name="Normal 77" xfId="35"/>
    <cellStyle name="Normal 77 2" xfId="102"/>
    <cellStyle name="Normal 78" xfId="57"/>
    <cellStyle name="Normal 78 2" xfId="156"/>
    <cellStyle name="Normal 78 3" xfId="120"/>
    <cellStyle name="Normal 79" xfId="161"/>
    <cellStyle name="Normal 8" xfId="83"/>
    <cellStyle name="Normal 8 2" xfId="137"/>
    <cellStyle name="Normal 8 3" xfId="117"/>
    <cellStyle name="Normal 9" xfId="85"/>
    <cellStyle name="Normal 9 2" xfId="90"/>
    <cellStyle name="Normal 9 3" xfId="139"/>
    <cellStyle name="Normal 9 4" xfId="115"/>
    <cellStyle name="Normal 9 5" xfId="182"/>
    <cellStyle name="Normal 9 6" xfId="195"/>
    <cellStyle name="Normal_A&amp;G Benchmark-WA" xfId="6"/>
    <cellStyle name="Normal_A&amp;G Benchmark-WA 2" xfId="170"/>
    <cellStyle name="Normal_Advtise Exp" xfId="7"/>
    <cellStyle name="Normal_RORO1200" xfId="8"/>
    <cellStyle name="Normal_UG05XX4a" xfId="9"/>
    <cellStyle name="OUTPUT AMOUNTS" xfId="10"/>
    <cellStyle name="OUTPUT COLUMN HEADINGS" xfId="11"/>
    <cellStyle name="OUTPUT LINE ITEMS" xfId="12"/>
    <cellStyle name="OUTPUT REPORT HEADING" xfId="13"/>
    <cellStyle name="OUTPUT REPORT TITLE" xfId="14"/>
    <cellStyle name="Percent" xfId="15" builtinId="5"/>
    <cellStyle name="Percent 2" xfId="81"/>
    <cellStyle name="Percent 2 10" xfId="36"/>
    <cellStyle name="Percent 2 11" xfId="37"/>
    <cellStyle name="Percent 2 12" xfId="38"/>
    <cellStyle name="Percent 2 13" xfId="39"/>
    <cellStyle name="Percent 2 14" xfId="40"/>
    <cellStyle name="Percent 2 15" xfId="41"/>
    <cellStyle name="Percent 2 16" xfId="42"/>
    <cellStyle name="Percent 2 17" xfId="43"/>
    <cellStyle name="Percent 2 18" xfId="44"/>
    <cellStyle name="Percent 2 19" xfId="45"/>
    <cellStyle name="Percent 2 2" xfId="46"/>
    <cellStyle name="Percent 2 20" xfId="47"/>
    <cellStyle name="Percent 2 21" xfId="48"/>
    <cellStyle name="Percent 2 22" xfId="49"/>
    <cellStyle name="Percent 2 23" xfId="179"/>
    <cellStyle name="Percent 2 3" xfId="50"/>
    <cellStyle name="Percent 2 4" xfId="51"/>
    <cellStyle name="Percent 2 5" xfId="52"/>
    <cellStyle name="Percent 2 6" xfId="53"/>
    <cellStyle name="Percent 2 7" xfId="54"/>
    <cellStyle name="Percent 2 8" xfId="55"/>
    <cellStyle name="Percent 2 9" xfId="56"/>
    <cellStyle name="Percent 3" xfId="89"/>
    <cellStyle name="Percent 3 2" xfId="142"/>
    <cellStyle name="Percent 3 3" xfId="107"/>
    <cellStyle name="Percent 4" xfId="145"/>
    <cellStyle name="Percent 5" xfId="133"/>
    <cellStyle name="Percent 6" xfId="121"/>
    <cellStyle name="Percent 7" xfId="174"/>
    <cellStyle name="Percent 90" xfId="64"/>
    <cellStyle name="Percent 90 2" xfId="168"/>
    <cellStyle name="Percent 90 3" xfId="167"/>
    <cellStyle name="Percent 91" xfId="16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2:S58"/>
  <sheetViews>
    <sheetView tabSelected="1" zoomScaleNormal="100" zoomScaleSheetLayoutView="85" workbookViewId="0">
      <selection activeCell="L32" sqref="L32"/>
    </sheetView>
  </sheetViews>
  <sheetFormatPr defaultRowHeight="12.75"/>
  <cols>
    <col min="1" max="1" width="5.5" style="2" bestFit="1" customWidth="1"/>
    <col min="2" max="2" width="34" style="2" customWidth="1"/>
    <col min="3" max="3" width="3.5" style="2" customWidth="1"/>
    <col min="4" max="4" width="14.6640625" style="2" bestFit="1" customWidth="1"/>
    <col min="5" max="5" width="3.5" style="2" customWidth="1"/>
    <col min="6" max="6" width="12.33203125" style="2" customWidth="1"/>
    <col min="7" max="7" width="3.33203125" style="2" customWidth="1"/>
    <col min="8" max="8" width="13.1640625" style="2" customWidth="1"/>
    <col min="9" max="9" width="3.33203125" style="2" customWidth="1"/>
    <col min="10" max="10" width="14.1640625" style="2" customWidth="1"/>
    <col min="11" max="11" width="2.83203125" style="2" customWidth="1"/>
    <col min="12" max="12" width="13" style="2" customWidth="1"/>
    <col min="13" max="14" width="3.33203125" style="2" customWidth="1"/>
    <col min="15" max="15" width="16.5" style="2" bestFit="1" customWidth="1"/>
    <col min="16" max="16" width="3.1640625" style="2" customWidth="1"/>
    <col min="17" max="17" width="9.33203125" style="2"/>
    <col min="18" max="19" width="0" style="2" hidden="1" customWidth="1"/>
    <col min="20" max="20" width="9.33203125" style="2"/>
    <col min="21" max="21" width="16.83203125" style="2" customWidth="1"/>
    <col min="22" max="16384" width="9.33203125" style="2"/>
  </cols>
  <sheetData>
    <row r="2" spans="1:17">
      <c r="A2" s="168"/>
    </row>
    <row r="3" spans="1:17">
      <c r="B3" s="254" t="s">
        <v>0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2"/>
    </row>
    <row r="4" spans="1:17">
      <c r="B4" s="254" t="s">
        <v>1</v>
      </c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2"/>
    </row>
    <row r="5" spans="1:17">
      <c r="B5" s="254" t="s">
        <v>195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2"/>
    </row>
    <row r="6" spans="1:17">
      <c r="B6" s="200"/>
      <c r="C6" s="200"/>
      <c r="D6" s="244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2"/>
    </row>
    <row r="7" spans="1:17">
      <c r="B7" s="169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2"/>
    </row>
    <row r="8" spans="1:17" ht="6.75" customHeight="1"/>
    <row r="9" spans="1:17">
      <c r="I9" s="25"/>
      <c r="M9" s="10"/>
      <c r="N9" s="10"/>
      <c r="O9" s="3"/>
    </row>
    <row r="10" spans="1:17">
      <c r="A10" s="26"/>
      <c r="B10" s="5"/>
      <c r="C10" s="12"/>
      <c r="D10" s="5"/>
      <c r="E10" s="12"/>
      <c r="F10" s="5"/>
      <c r="G10" s="27"/>
      <c r="H10" s="28"/>
      <c r="I10" s="27"/>
      <c r="J10" s="28"/>
      <c r="K10" s="128"/>
      <c r="L10" s="13"/>
      <c r="M10" s="28"/>
      <c r="N10" s="148" t="s">
        <v>3</v>
      </c>
      <c r="O10" s="28"/>
      <c r="Q10" s="29"/>
    </row>
    <row r="11" spans="1:17">
      <c r="A11" s="11"/>
      <c r="B11" s="6"/>
      <c r="C11" s="15" t="s">
        <v>4</v>
      </c>
      <c r="D11" s="21"/>
      <c r="E11" s="15" t="s">
        <v>5</v>
      </c>
      <c r="F11" s="15"/>
      <c r="G11" s="15" t="s">
        <v>6</v>
      </c>
      <c r="H11" s="21"/>
      <c r="I11" s="23"/>
      <c r="J11" s="15"/>
      <c r="K11" s="250" t="s">
        <v>89</v>
      </c>
      <c r="L11" s="251"/>
      <c r="M11" s="189"/>
      <c r="N11" s="150" t="s">
        <v>7</v>
      </c>
      <c r="O11" s="15"/>
    </row>
    <row r="12" spans="1:17">
      <c r="A12" s="30" t="s">
        <v>8</v>
      </c>
      <c r="B12" s="6"/>
      <c r="C12" s="15" t="s">
        <v>9</v>
      </c>
      <c r="D12" s="21"/>
      <c r="E12" s="15" t="s">
        <v>10</v>
      </c>
      <c r="F12" s="15"/>
      <c r="G12" s="15" t="s">
        <v>11</v>
      </c>
      <c r="H12" s="21"/>
      <c r="I12" s="9"/>
      <c r="J12" s="24" t="s">
        <v>12</v>
      </c>
      <c r="K12" s="250" t="s">
        <v>174</v>
      </c>
      <c r="L12" s="252"/>
      <c r="M12" s="189"/>
      <c r="N12" s="150" t="s">
        <v>6</v>
      </c>
      <c r="O12" s="15"/>
    </row>
    <row r="13" spans="1:17">
      <c r="A13" s="30" t="s">
        <v>14</v>
      </c>
      <c r="B13" s="31" t="s">
        <v>15</v>
      </c>
      <c r="C13" s="15" t="s">
        <v>16</v>
      </c>
      <c r="D13" s="21"/>
      <c r="E13" s="15" t="s">
        <v>17</v>
      </c>
      <c r="F13" s="15"/>
      <c r="G13" s="15" t="s">
        <v>18</v>
      </c>
      <c r="H13" s="21"/>
      <c r="I13" s="9"/>
      <c r="J13" s="24" t="s">
        <v>17</v>
      </c>
      <c r="K13" s="250" t="s">
        <v>175</v>
      </c>
      <c r="L13" s="253"/>
      <c r="M13" s="171"/>
      <c r="N13" s="150" t="s">
        <v>19</v>
      </c>
      <c r="O13" s="15"/>
      <c r="P13" s="3"/>
    </row>
    <row r="14" spans="1:17">
      <c r="A14" s="32"/>
      <c r="B14" s="33" t="s">
        <v>20</v>
      </c>
      <c r="C14" s="34"/>
      <c r="D14" s="39" t="s">
        <v>21</v>
      </c>
      <c r="E14" s="10"/>
      <c r="F14" s="39" t="s">
        <v>22</v>
      </c>
      <c r="G14" s="38"/>
      <c r="H14" s="39" t="s">
        <v>23</v>
      </c>
      <c r="I14" s="38"/>
      <c r="J14" s="151" t="s">
        <v>87</v>
      </c>
      <c r="K14" s="49"/>
      <c r="L14" s="242" t="s">
        <v>194</v>
      </c>
      <c r="M14" s="190"/>
      <c r="N14" s="25"/>
      <c r="O14" s="243" t="s">
        <v>24</v>
      </c>
      <c r="P14" s="3"/>
    </row>
    <row r="15" spans="1:17">
      <c r="A15" s="11"/>
      <c r="B15" s="6"/>
      <c r="C15" s="3"/>
      <c r="D15" s="6"/>
      <c r="E15" s="3"/>
      <c r="F15" s="6"/>
      <c r="G15" s="4"/>
      <c r="H15" s="5"/>
      <c r="I15" s="12"/>
      <c r="J15" s="5"/>
      <c r="K15" s="12"/>
      <c r="L15" s="12"/>
      <c r="M15" s="11"/>
      <c r="N15" s="12"/>
      <c r="O15" s="6"/>
      <c r="P15" s="3"/>
    </row>
    <row r="16" spans="1:17">
      <c r="A16" s="11"/>
      <c r="B16" s="170" t="s">
        <v>25</v>
      </c>
      <c r="C16" s="3"/>
      <c r="D16" s="6"/>
      <c r="E16" s="3"/>
      <c r="F16" s="6"/>
      <c r="G16" s="9"/>
      <c r="H16" s="6"/>
      <c r="I16" s="3"/>
      <c r="J16" s="6"/>
      <c r="K16" s="3"/>
      <c r="L16" s="3"/>
      <c r="M16" s="11"/>
      <c r="N16" s="3"/>
      <c r="O16" s="6"/>
      <c r="P16" s="3"/>
    </row>
    <row r="17" spans="1:19">
      <c r="A17" s="171" t="s">
        <v>26</v>
      </c>
      <c r="B17" s="31" t="s">
        <v>27</v>
      </c>
      <c r="C17" s="172" t="s">
        <v>28</v>
      </c>
      <c r="D17" s="7">
        <v>216831028.84</v>
      </c>
      <c r="E17" s="40" t="s">
        <v>28</v>
      </c>
      <c r="F17" s="7">
        <f>+'Weather Norm Adj'!F25</f>
        <v>9513370.2275799997</v>
      </c>
      <c r="G17" s="40" t="s">
        <v>28</v>
      </c>
      <c r="H17" s="7">
        <v>0</v>
      </c>
      <c r="I17" s="40" t="s">
        <v>28</v>
      </c>
      <c r="J17" s="7">
        <v>0</v>
      </c>
      <c r="K17" s="173" t="s">
        <v>90</v>
      </c>
      <c r="L17" s="14">
        <v>0</v>
      </c>
      <c r="M17" s="191"/>
      <c r="N17" s="172" t="s">
        <v>28</v>
      </c>
      <c r="O17" s="7">
        <f>SUM(D17:M17)</f>
        <v>226344399.06758001</v>
      </c>
      <c r="S17" s="127"/>
    </row>
    <row r="18" spans="1:19">
      <c r="A18" s="171" t="s">
        <v>29</v>
      </c>
      <c r="B18" s="31" t="s">
        <v>30</v>
      </c>
      <c r="C18" s="3"/>
      <c r="D18" s="7">
        <v>19865943.600000001</v>
      </c>
      <c r="E18" s="3"/>
      <c r="F18" s="6"/>
      <c r="G18" s="3"/>
      <c r="H18" s="7">
        <v>0</v>
      </c>
      <c r="I18" s="3"/>
      <c r="J18" s="7">
        <v>0</v>
      </c>
      <c r="K18" s="14"/>
      <c r="L18" s="14">
        <v>0</v>
      </c>
      <c r="M18" s="191"/>
      <c r="N18" s="3"/>
      <c r="O18" s="7">
        <f>SUM(D18:M18)</f>
        <v>19865943.600000001</v>
      </c>
      <c r="S18" s="127"/>
    </row>
    <row r="19" spans="1:19">
      <c r="A19" s="171" t="s">
        <v>31</v>
      </c>
      <c r="B19" s="31" t="s">
        <v>32</v>
      </c>
      <c r="C19" s="3"/>
      <c r="D19" s="7">
        <v>1243014.3700000001</v>
      </c>
      <c r="E19" s="3"/>
      <c r="F19" s="6"/>
      <c r="G19" s="3"/>
      <c r="H19" s="7">
        <v>0</v>
      </c>
      <c r="I19" s="3"/>
      <c r="J19" s="7">
        <v>0</v>
      </c>
      <c r="K19" s="14"/>
      <c r="L19" s="14">
        <v>0</v>
      </c>
      <c r="M19" s="191"/>
      <c r="N19" s="3"/>
      <c r="O19" s="7">
        <f>SUM(D19:M19)</f>
        <v>1243014.3700000001</v>
      </c>
      <c r="S19" s="127"/>
    </row>
    <row r="20" spans="1:19">
      <c r="A20" s="171" t="s">
        <v>33</v>
      </c>
      <c r="B20" s="174" t="s">
        <v>34</v>
      </c>
      <c r="C20" s="175" t="s">
        <v>28</v>
      </c>
      <c r="D20" s="8">
        <f>SUM(D17:D19)</f>
        <v>237939986.81</v>
      </c>
      <c r="E20" s="41" t="s">
        <v>28</v>
      </c>
      <c r="F20" s="8">
        <f>SUM(F17:F19)</f>
        <v>9513370.2275799997</v>
      </c>
      <c r="G20" s="41" t="s">
        <v>28</v>
      </c>
      <c r="H20" s="8">
        <f>SUM(H17:H19)</f>
        <v>0</v>
      </c>
      <c r="I20" s="41" t="s">
        <v>28</v>
      </c>
      <c r="J20" s="8">
        <f>SUM(J17:J19)</f>
        <v>0</v>
      </c>
      <c r="K20" s="44" t="s">
        <v>90</v>
      </c>
      <c r="L20" s="44">
        <f>SUM(L17:L19)</f>
        <v>0</v>
      </c>
      <c r="M20" s="192"/>
      <c r="N20" s="41" t="s">
        <v>28</v>
      </c>
      <c r="O20" s="8">
        <f>SUM(O17:O19)</f>
        <v>247453357.03758001</v>
      </c>
      <c r="S20" s="127"/>
    </row>
    <row r="21" spans="1:19">
      <c r="A21" s="171" t="s">
        <v>35</v>
      </c>
      <c r="B21" s="31" t="s">
        <v>36</v>
      </c>
      <c r="C21" s="3"/>
      <c r="D21" s="7">
        <v>136501138.43000001</v>
      </c>
      <c r="E21" s="3"/>
      <c r="F21" s="7">
        <f>+'Weather Norm Adj'!F35</f>
        <v>6894944.21</v>
      </c>
      <c r="G21" s="3"/>
      <c r="H21" s="7"/>
      <c r="I21" s="3"/>
      <c r="J21" s="7"/>
      <c r="K21" s="14"/>
      <c r="L21" s="14"/>
      <c r="M21" s="191"/>
      <c r="N21" s="3"/>
      <c r="O21" s="7">
        <f>SUM(D21:M21)</f>
        <v>143396082.64000002</v>
      </c>
    </row>
    <row r="22" spans="1:19">
      <c r="A22" s="171" t="s">
        <v>37</v>
      </c>
      <c r="B22" s="31" t="s">
        <v>38</v>
      </c>
      <c r="C22" s="3"/>
      <c r="D22" s="7">
        <v>19850354.969999999</v>
      </c>
      <c r="E22" s="14"/>
      <c r="F22" s="7"/>
      <c r="G22" s="14"/>
      <c r="H22" s="7"/>
      <c r="I22" s="14"/>
      <c r="J22" s="7"/>
      <c r="K22" s="14"/>
      <c r="L22" s="14"/>
      <c r="M22" s="191"/>
      <c r="N22" s="14"/>
      <c r="O22" s="7">
        <f>SUM(D22:M22)</f>
        <v>19850354.969999999</v>
      </c>
    </row>
    <row r="23" spans="1:19">
      <c r="A23" s="171" t="s">
        <v>39</v>
      </c>
      <c r="B23" s="174" t="s">
        <v>40</v>
      </c>
      <c r="C23" s="176"/>
      <c r="D23" s="8">
        <f>D20-D21-D22</f>
        <v>81588493.409999996</v>
      </c>
      <c r="E23" s="41" t="s">
        <v>28</v>
      </c>
      <c r="F23" s="8">
        <f>F20-F21-F22</f>
        <v>2618426.0175799998</v>
      </c>
      <c r="G23" s="41" t="s">
        <v>28</v>
      </c>
      <c r="H23" s="8">
        <f>H20-H21-H22</f>
        <v>0</v>
      </c>
      <c r="I23" s="41" t="s">
        <v>28</v>
      </c>
      <c r="J23" s="8">
        <f>J20-J21-J22</f>
        <v>0</v>
      </c>
      <c r="K23" s="44" t="s">
        <v>90</v>
      </c>
      <c r="L23" s="44">
        <f>L20-L21-L22</f>
        <v>0</v>
      </c>
      <c r="M23" s="192"/>
      <c r="N23" s="41" t="s">
        <v>28</v>
      </c>
      <c r="O23" s="8">
        <f>SUM(D23:M23)</f>
        <v>84206919.427579999</v>
      </c>
    </row>
    <row r="24" spans="1:19">
      <c r="A24" s="11"/>
      <c r="B24" s="6"/>
      <c r="C24" s="3"/>
      <c r="D24" s="247"/>
      <c r="E24" s="3"/>
      <c r="F24" s="6"/>
      <c r="G24" s="3"/>
      <c r="H24" s="6"/>
      <c r="I24" s="3"/>
      <c r="J24" s="6"/>
      <c r="K24" s="3"/>
      <c r="L24" s="3"/>
      <c r="M24" s="11"/>
      <c r="N24" s="3"/>
      <c r="O24" s="6"/>
    </row>
    <row r="25" spans="1:19">
      <c r="A25" s="11"/>
      <c r="B25" s="170" t="s">
        <v>41</v>
      </c>
      <c r="C25" s="3"/>
      <c r="D25" s="7"/>
      <c r="E25" s="3"/>
      <c r="F25" s="7"/>
      <c r="G25" s="3"/>
      <c r="H25" s="7"/>
      <c r="I25" s="3"/>
      <c r="J25" s="7"/>
      <c r="K25" s="14"/>
      <c r="L25" s="14"/>
      <c r="M25" s="191"/>
      <c r="N25" s="3"/>
      <c r="O25" s="7"/>
    </row>
    <row r="26" spans="1:19">
      <c r="A26" s="171" t="s">
        <v>42</v>
      </c>
      <c r="B26" s="177" t="s">
        <v>189</v>
      </c>
      <c r="C26" s="3"/>
      <c r="D26" s="7">
        <v>312166.53999999998</v>
      </c>
      <c r="E26" s="3"/>
      <c r="F26" s="7"/>
      <c r="G26" s="3"/>
      <c r="H26" s="7"/>
      <c r="I26" s="3"/>
      <c r="J26" s="7"/>
      <c r="K26" s="14"/>
      <c r="L26" s="14"/>
      <c r="M26" s="191"/>
      <c r="N26" s="3"/>
      <c r="O26" s="7">
        <f t="shared" ref="O26:O32" si="0">SUM(D26:M26)</f>
        <v>312166.53999999998</v>
      </c>
    </row>
    <row r="27" spans="1:19">
      <c r="A27" s="171" t="s">
        <v>44</v>
      </c>
      <c r="B27" s="31" t="s">
        <v>43</v>
      </c>
      <c r="C27" s="3"/>
      <c r="D27" s="7">
        <v>16389141.15</v>
      </c>
      <c r="E27" s="3"/>
      <c r="F27" s="7">
        <v>0</v>
      </c>
      <c r="G27" s="3"/>
      <c r="H27" s="7">
        <v>0</v>
      </c>
      <c r="I27" s="3"/>
      <c r="J27" s="7">
        <v>0</v>
      </c>
      <c r="K27" s="14"/>
      <c r="L27" s="14">
        <v>0</v>
      </c>
      <c r="M27" s="191"/>
      <c r="N27" s="3"/>
      <c r="O27" s="7">
        <f t="shared" si="0"/>
        <v>16389141.15</v>
      </c>
    </row>
    <row r="28" spans="1:19">
      <c r="A28" s="171" t="s">
        <v>46</v>
      </c>
      <c r="B28" s="31" t="s">
        <v>45</v>
      </c>
      <c r="C28" s="3"/>
      <c r="D28" s="7">
        <v>5153766.24</v>
      </c>
      <c r="E28" s="3"/>
      <c r="F28" s="7">
        <f>F20*0.00094</f>
        <v>8942.5680139251999</v>
      </c>
      <c r="G28" s="3"/>
      <c r="H28" s="7">
        <f>(+H20*0.00094)</f>
        <v>0</v>
      </c>
      <c r="I28" s="3"/>
      <c r="J28" s="7">
        <f>(+J20*0.00094)</f>
        <v>0</v>
      </c>
      <c r="K28" s="14"/>
      <c r="L28" s="14">
        <f>(+L20*0.00094)</f>
        <v>0</v>
      </c>
      <c r="M28" s="191"/>
      <c r="N28" s="3"/>
      <c r="O28" s="7">
        <f t="shared" si="0"/>
        <v>5162708.8080139253</v>
      </c>
    </row>
    <row r="29" spans="1:19">
      <c r="A29" s="171" t="s">
        <v>48</v>
      </c>
      <c r="B29" s="31" t="s">
        <v>47</v>
      </c>
      <c r="C29" s="3"/>
      <c r="D29" s="7">
        <v>1058070.94</v>
      </c>
      <c r="E29" s="3"/>
      <c r="F29" s="7">
        <v>0</v>
      </c>
      <c r="G29" s="3"/>
      <c r="H29" s="7">
        <v>0</v>
      </c>
      <c r="I29" s="3"/>
      <c r="J29" s="7">
        <f>(+J21*0.00094)</f>
        <v>0</v>
      </c>
      <c r="K29" s="14"/>
      <c r="L29" s="14">
        <v>0</v>
      </c>
      <c r="M29" s="191"/>
      <c r="N29" s="3"/>
      <c r="O29" s="7">
        <f t="shared" si="0"/>
        <v>1058070.94</v>
      </c>
    </row>
    <row r="30" spans="1:19">
      <c r="A30" s="171" t="s">
        <v>50</v>
      </c>
      <c r="B30" s="31" t="s">
        <v>49</v>
      </c>
      <c r="C30" s="3"/>
      <c r="D30" s="7">
        <v>9412.3700000000008</v>
      </c>
      <c r="E30" s="3"/>
      <c r="F30" s="7">
        <v>0</v>
      </c>
      <c r="G30" s="42"/>
      <c r="H30" s="7">
        <v>0</v>
      </c>
      <c r="I30" s="14"/>
      <c r="J30" s="7">
        <f>+'Promo Adv Adj'!E13</f>
        <v>-9412.3700000000008</v>
      </c>
      <c r="K30" s="14"/>
      <c r="L30" s="14">
        <v>0</v>
      </c>
      <c r="M30" s="191"/>
      <c r="N30" s="3"/>
      <c r="O30" s="7">
        <f t="shared" si="0"/>
        <v>0</v>
      </c>
    </row>
    <row r="31" spans="1:19">
      <c r="A31" s="171">
        <v>13</v>
      </c>
      <c r="B31" s="31" t="s">
        <v>51</v>
      </c>
      <c r="C31" s="3"/>
      <c r="D31" s="7">
        <v>17016009.850000001</v>
      </c>
      <c r="E31" s="3"/>
      <c r="F31" s="7">
        <v>0</v>
      </c>
      <c r="G31" s="42"/>
      <c r="H31" s="7">
        <v>0</v>
      </c>
      <c r="I31" s="42"/>
      <c r="J31" s="7">
        <v>0</v>
      </c>
      <c r="K31" s="14"/>
      <c r="L31" s="14">
        <v>0</v>
      </c>
      <c r="M31" s="191"/>
      <c r="N31" s="3"/>
      <c r="O31" s="7">
        <f t="shared" si="0"/>
        <v>17016009.850000001</v>
      </c>
    </row>
    <row r="32" spans="1:19">
      <c r="A32" s="171">
        <v>14</v>
      </c>
      <c r="B32" s="31" t="s">
        <v>52</v>
      </c>
      <c r="C32" s="3"/>
      <c r="D32" s="7">
        <v>16906574.359999999</v>
      </c>
      <c r="E32" s="3"/>
      <c r="F32" s="7">
        <v>0</v>
      </c>
      <c r="G32" s="42"/>
      <c r="H32" s="7">
        <v>0</v>
      </c>
      <c r="I32" s="42"/>
      <c r="J32" s="7">
        <v>0</v>
      </c>
      <c r="K32" s="14"/>
      <c r="L32" s="14">
        <v>0</v>
      </c>
      <c r="M32" s="191"/>
      <c r="N32" s="3"/>
      <c r="O32" s="7">
        <f t="shared" si="0"/>
        <v>16906574.359999999</v>
      </c>
    </row>
    <row r="33" spans="1:15">
      <c r="A33" s="171">
        <v>15</v>
      </c>
      <c r="B33" s="31" t="s">
        <v>53</v>
      </c>
      <c r="C33" s="3"/>
      <c r="D33" s="7">
        <v>4520395.9800000004</v>
      </c>
      <c r="E33" s="14"/>
      <c r="F33" s="7">
        <f>F20*0.04242</f>
        <v>403557.16505394358</v>
      </c>
      <c r="G33" s="42"/>
      <c r="H33" s="7">
        <v>0</v>
      </c>
      <c r="I33" s="42"/>
      <c r="J33" s="7">
        <v>0</v>
      </c>
      <c r="K33" s="14"/>
      <c r="L33" s="14">
        <v>0</v>
      </c>
      <c r="M33" s="191"/>
      <c r="N33" s="14"/>
      <c r="O33" s="7">
        <f>SUM(D33:M33)</f>
        <v>4923953.1450539436</v>
      </c>
    </row>
    <row r="34" spans="1:15">
      <c r="A34" s="171">
        <v>16</v>
      </c>
      <c r="B34" s="31" t="s">
        <v>54</v>
      </c>
      <c r="C34" s="3"/>
      <c r="D34" s="7">
        <v>4653262.87</v>
      </c>
      <c r="E34" s="14"/>
      <c r="F34" s="7">
        <f>(+F23-SUM(F27:F32)-F33)*0.35</f>
        <v>772074.19957924576</v>
      </c>
      <c r="G34" s="43"/>
      <c r="H34" s="7">
        <f>(+H23-SUM(H27:H32)-H33)*0.35</f>
        <v>0</v>
      </c>
      <c r="I34" s="43"/>
      <c r="J34" s="7">
        <f>(+J23-SUM(J27:J32)-J33)*0.35</f>
        <v>3294.3295000000003</v>
      </c>
      <c r="K34" s="14"/>
      <c r="L34" s="14">
        <f>(+L23-SUM(L27:L32)-L33)*0.35</f>
        <v>0</v>
      </c>
      <c r="M34" s="191"/>
      <c r="N34" s="14"/>
      <c r="O34" s="7">
        <f>SUM(D34:M34)</f>
        <v>5428631.3990792455</v>
      </c>
    </row>
    <row r="35" spans="1:15">
      <c r="A35" s="152">
        <v>17</v>
      </c>
      <c r="B35" s="174" t="s">
        <v>55</v>
      </c>
      <c r="C35" s="175" t="s">
        <v>28</v>
      </c>
      <c r="D35" s="8">
        <f>SUM(D26:D34)</f>
        <v>66018800.300000004</v>
      </c>
      <c r="E35" s="41" t="s">
        <v>28</v>
      </c>
      <c r="F35" s="8">
        <f>SUM(F27:F34)</f>
        <v>1184573.9326471146</v>
      </c>
      <c r="G35" s="44"/>
      <c r="H35" s="8">
        <f>SUM(H27:H34)</f>
        <v>0</v>
      </c>
      <c r="I35" s="44"/>
      <c r="J35" s="8">
        <f>SUM(J27:J34)</f>
        <v>-6118.040500000001</v>
      </c>
      <c r="K35" s="44"/>
      <c r="L35" s="44">
        <f>SUM(L27:L34)</f>
        <v>0</v>
      </c>
      <c r="M35" s="192"/>
      <c r="N35" s="41" t="s">
        <v>28</v>
      </c>
      <c r="O35" s="8">
        <f>SUM(O26:O34)</f>
        <v>67197256.192147121</v>
      </c>
    </row>
    <row r="36" spans="1:15">
      <c r="A36" s="9"/>
      <c r="B36" s="26"/>
      <c r="C36" s="3"/>
      <c r="D36" s="7"/>
      <c r="E36" s="3"/>
      <c r="F36" s="7"/>
      <c r="G36" s="14"/>
      <c r="H36" s="7"/>
      <c r="I36" s="14"/>
      <c r="J36" s="7"/>
      <c r="K36" s="14"/>
      <c r="L36" s="14"/>
      <c r="M36" s="191"/>
      <c r="N36" s="3"/>
      <c r="O36" s="7"/>
    </row>
    <row r="37" spans="1:15">
      <c r="A37" s="171">
        <v>18</v>
      </c>
      <c r="B37" s="33" t="s">
        <v>56</v>
      </c>
      <c r="C37" s="178" t="s">
        <v>28</v>
      </c>
      <c r="D37" s="179">
        <f>D23-D35</f>
        <v>15569693.109999992</v>
      </c>
      <c r="E37" s="180" t="s">
        <v>28</v>
      </c>
      <c r="F37" s="179">
        <f>F23-F35</f>
        <v>1433852.0849328851</v>
      </c>
      <c r="G37" s="181"/>
      <c r="H37" s="179">
        <f>H23-H35</f>
        <v>0</v>
      </c>
      <c r="I37" s="181"/>
      <c r="J37" s="179">
        <f>J23-J35</f>
        <v>6118.040500000001</v>
      </c>
      <c r="K37" s="181"/>
      <c r="L37" s="181">
        <f>L23-L35</f>
        <v>0</v>
      </c>
      <c r="M37" s="193"/>
      <c r="N37" s="180" t="s">
        <v>28</v>
      </c>
      <c r="O37" s="179">
        <f>O23-O35</f>
        <v>17009663.235432878</v>
      </c>
    </row>
    <row r="38" spans="1:15">
      <c r="A38" s="171"/>
      <c r="B38" s="11"/>
      <c r="C38" s="3"/>
      <c r="D38" s="6"/>
      <c r="E38" s="3"/>
      <c r="F38" s="6"/>
      <c r="G38" s="3"/>
      <c r="H38" s="6"/>
      <c r="I38" s="3"/>
      <c r="J38" s="6"/>
      <c r="K38" s="3"/>
      <c r="L38" s="3"/>
      <c r="M38" s="11"/>
      <c r="N38" s="3"/>
      <c r="O38" s="6"/>
    </row>
    <row r="39" spans="1:15">
      <c r="A39" s="171"/>
      <c r="B39" s="182" t="s">
        <v>57</v>
      </c>
      <c r="C39" s="3"/>
      <c r="D39" s="6"/>
      <c r="E39" s="3"/>
      <c r="F39" s="6"/>
      <c r="G39" s="3"/>
      <c r="H39" s="6"/>
      <c r="I39" s="3"/>
      <c r="J39" s="6"/>
      <c r="K39" s="3"/>
      <c r="L39" s="3"/>
      <c r="M39" s="11"/>
      <c r="N39" s="3"/>
      <c r="O39" s="6"/>
    </row>
    <row r="40" spans="1:15">
      <c r="A40" s="171">
        <v>18</v>
      </c>
      <c r="B40" s="30" t="s">
        <v>58</v>
      </c>
      <c r="C40" s="172" t="s">
        <v>28</v>
      </c>
      <c r="D40" s="7">
        <v>607126362</v>
      </c>
      <c r="E40" s="172" t="s">
        <v>28</v>
      </c>
      <c r="F40" s="6"/>
      <c r="G40" s="3"/>
      <c r="H40" s="6"/>
      <c r="I40" s="3"/>
      <c r="J40" s="6"/>
      <c r="K40" s="3"/>
      <c r="L40" s="3"/>
      <c r="M40" s="11"/>
      <c r="N40" s="172" t="s">
        <v>28</v>
      </c>
      <c r="O40" s="7">
        <f t="shared" ref="O40:O46" si="1">SUM(D40:M40)</f>
        <v>607126362</v>
      </c>
    </row>
    <row r="41" spans="1:15">
      <c r="A41" s="171">
        <v>19</v>
      </c>
      <c r="B41" s="30" t="s">
        <v>59</v>
      </c>
      <c r="C41" s="3"/>
      <c r="D41" s="7">
        <v>-311903076</v>
      </c>
      <c r="E41" s="3"/>
      <c r="F41" s="6"/>
      <c r="G41" s="3"/>
      <c r="H41" s="6"/>
      <c r="I41" s="3"/>
      <c r="J41" s="6"/>
      <c r="K41" s="3"/>
      <c r="L41" s="3"/>
      <c r="M41" s="11"/>
      <c r="N41" s="3"/>
      <c r="O41" s="7">
        <f t="shared" si="1"/>
        <v>-311903076</v>
      </c>
    </row>
    <row r="42" spans="1:15">
      <c r="A42" s="171">
        <v>20</v>
      </c>
      <c r="B42" s="30" t="s">
        <v>60</v>
      </c>
      <c r="C42" s="3"/>
      <c r="D42" s="7">
        <v>0</v>
      </c>
      <c r="E42" s="3"/>
      <c r="F42" s="6"/>
      <c r="G42" s="3"/>
      <c r="H42" s="6"/>
      <c r="I42" s="3"/>
      <c r="J42" s="6"/>
      <c r="K42" s="3"/>
      <c r="L42" s="3"/>
      <c r="M42" s="11"/>
      <c r="N42" s="3"/>
      <c r="O42" s="7">
        <f t="shared" si="1"/>
        <v>0</v>
      </c>
    </row>
    <row r="43" spans="1:15">
      <c r="A43" s="171">
        <v>21</v>
      </c>
      <c r="B43" s="30" t="s">
        <v>61</v>
      </c>
      <c r="C43" s="3"/>
      <c r="D43" s="7">
        <v>-3243768</v>
      </c>
      <c r="E43" s="3"/>
      <c r="F43" s="6"/>
      <c r="G43" s="3"/>
      <c r="H43" s="6"/>
      <c r="I43" s="3"/>
      <c r="J43" s="6"/>
      <c r="K43" s="3"/>
      <c r="L43" s="3"/>
      <c r="M43" s="11"/>
      <c r="N43" s="3"/>
      <c r="O43" s="7">
        <f t="shared" si="1"/>
        <v>-3243768</v>
      </c>
    </row>
    <row r="44" spans="1:15">
      <c r="A44" s="171">
        <v>22</v>
      </c>
      <c r="B44" s="30" t="s">
        <v>62</v>
      </c>
      <c r="C44" s="3"/>
      <c r="D44" s="7">
        <v>-66632573</v>
      </c>
      <c r="E44" s="3"/>
      <c r="F44" s="6"/>
      <c r="G44" s="3"/>
      <c r="H44" s="6"/>
      <c r="I44" s="3"/>
      <c r="J44" s="6"/>
      <c r="K44" s="3"/>
      <c r="L44" s="3"/>
      <c r="M44" s="11"/>
      <c r="N44" s="3"/>
      <c r="O44" s="7">
        <f t="shared" si="1"/>
        <v>-66632573</v>
      </c>
    </row>
    <row r="45" spans="1:15">
      <c r="A45" s="171">
        <v>23</v>
      </c>
      <c r="B45" s="30" t="s">
        <v>63</v>
      </c>
      <c r="C45" s="3"/>
      <c r="D45" s="7">
        <v>0</v>
      </c>
      <c r="E45" s="3"/>
      <c r="F45" s="6"/>
      <c r="G45" s="3"/>
      <c r="H45" s="6"/>
      <c r="I45" s="3"/>
      <c r="J45" s="6"/>
      <c r="K45" s="3"/>
      <c r="L45" s="3"/>
      <c r="M45" s="11"/>
      <c r="N45" s="3"/>
      <c r="O45" s="7">
        <f t="shared" si="1"/>
        <v>0</v>
      </c>
    </row>
    <row r="46" spans="1:15">
      <c r="A46" s="171">
        <v>24</v>
      </c>
      <c r="B46" s="30" t="s">
        <v>64</v>
      </c>
      <c r="C46" s="3"/>
      <c r="D46" s="7">
        <v>34140235</v>
      </c>
      <c r="E46" s="3"/>
      <c r="F46" s="6"/>
      <c r="G46" s="3"/>
      <c r="H46" s="6"/>
      <c r="I46" s="3"/>
      <c r="J46" s="6"/>
      <c r="K46" s="3"/>
      <c r="L46" s="3"/>
      <c r="M46" s="11"/>
      <c r="N46" s="3"/>
      <c r="O46" s="7">
        <f t="shared" si="1"/>
        <v>34140235</v>
      </c>
    </row>
    <row r="47" spans="1:15">
      <c r="A47" s="171">
        <v>25</v>
      </c>
      <c r="B47" s="174" t="s">
        <v>65</v>
      </c>
      <c r="C47" s="175" t="s">
        <v>28</v>
      </c>
      <c r="D47" s="8">
        <f>SUM(D40:D46)</f>
        <v>259487180</v>
      </c>
      <c r="E47" s="41" t="s">
        <v>28</v>
      </c>
      <c r="F47" s="8">
        <f>SUM(F40:F46)</f>
        <v>0</v>
      </c>
      <c r="G47" s="175" t="s">
        <v>28</v>
      </c>
      <c r="H47" s="8">
        <f>SUM(H40:H46)</f>
        <v>0</v>
      </c>
      <c r="I47" s="175" t="s">
        <v>28</v>
      </c>
      <c r="J47" s="8">
        <f>SUM(J40:J46)</f>
        <v>0</v>
      </c>
      <c r="K47" s="44"/>
      <c r="L47" s="44">
        <f>SUM(L40:L46)</f>
        <v>0</v>
      </c>
      <c r="M47" s="192"/>
      <c r="N47" s="175" t="s">
        <v>28</v>
      </c>
      <c r="O47" s="8">
        <f>SUM(O40:O46)</f>
        <v>259487180</v>
      </c>
    </row>
    <row r="48" spans="1:15">
      <c r="A48" s="9"/>
      <c r="B48" s="11"/>
      <c r="C48" s="3"/>
      <c r="D48" s="6"/>
      <c r="E48" s="3"/>
      <c r="F48" s="6"/>
      <c r="G48" s="3"/>
      <c r="H48" s="6"/>
      <c r="I48" s="3"/>
      <c r="J48" s="6"/>
      <c r="K48" s="3"/>
      <c r="L48" s="3"/>
      <c r="M48" s="11"/>
      <c r="N48" s="3"/>
      <c r="O48" s="6"/>
    </row>
    <row r="49" spans="1:15">
      <c r="A49" s="183">
        <v>26</v>
      </c>
      <c r="B49" s="184" t="s">
        <v>66</v>
      </c>
      <c r="C49" s="10"/>
      <c r="D49" s="185">
        <f>D37/D47</f>
        <v>6.0001781629443085E-2</v>
      </c>
      <c r="E49" s="10"/>
      <c r="F49" s="186"/>
      <c r="G49" s="10"/>
      <c r="H49" s="186"/>
      <c r="I49" s="10"/>
      <c r="J49" s="186"/>
      <c r="K49" s="10"/>
      <c r="L49" s="10"/>
      <c r="M49" s="32"/>
      <c r="N49" s="10"/>
      <c r="O49" s="185">
        <f>ROUND(+O37/O47,4)</f>
        <v>6.5600000000000006E-2</v>
      </c>
    </row>
    <row r="50" spans="1:15">
      <c r="M50" s="3"/>
    </row>
    <row r="51" spans="1:15">
      <c r="B51" s="2" t="s">
        <v>166</v>
      </c>
      <c r="M51" s="3"/>
    </row>
    <row r="52" spans="1:15">
      <c r="O52" s="249"/>
    </row>
    <row r="53" spans="1:15">
      <c r="D53" s="249"/>
    </row>
    <row r="58" spans="1:15">
      <c r="F58" s="248"/>
    </row>
  </sheetData>
  <mergeCells count="6">
    <mergeCell ref="K11:L11"/>
    <mergeCell ref="K12:L12"/>
    <mergeCell ref="K13:L13"/>
    <mergeCell ref="B3:O3"/>
    <mergeCell ref="B4:O4"/>
    <mergeCell ref="B5:O5"/>
  </mergeCells>
  <phoneticPr fontId="0" type="noConversion"/>
  <printOptions horizontalCentered="1"/>
  <pageMargins left="0.5" right="0.5" top="1" bottom="1" header="0.5" footer="0.5"/>
  <pageSetup scale="65" firstPageNumber="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38"/>
  <sheetViews>
    <sheetView tabSelected="1" topLeftCell="A7" zoomScaleNormal="100" zoomScaleSheetLayoutView="115" workbookViewId="0">
      <selection activeCell="L32" sqref="L32"/>
    </sheetView>
  </sheetViews>
  <sheetFormatPr defaultRowHeight="12.75"/>
  <cols>
    <col min="1" max="1" width="10.6640625" style="105" bestFit="1" customWidth="1"/>
    <col min="2" max="2" width="20.83203125" style="105" customWidth="1"/>
    <col min="3" max="3" width="16.5" style="105" customWidth="1"/>
    <col min="4" max="5" width="16.33203125" style="105" customWidth="1"/>
    <col min="6" max="6" width="18.1640625" style="106" customWidth="1"/>
    <col min="7" max="7" width="13" style="105" customWidth="1"/>
    <col min="8" max="16384" width="9.33203125" style="105"/>
  </cols>
  <sheetData>
    <row r="1" spans="1:7" ht="15">
      <c r="A1" s="109" t="s">
        <v>0</v>
      </c>
      <c r="B1" s="110"/>
      <c r="C1" s="110"/>
      <c r="D1" s="110"/>
      <c r="E1" s="110"/>
      <c r="F1" s="111"/>
    </row>
    <row r="2" spans="1:7" ht="15">
      <c r="A2" s="112" t="s">
        <v>73</v>
      </c>
      <c r="B2" s="113"/>
      <c r="C2" s="113"/>
      <c r="D2" s="113"/>
      <c r="E2" s="113"/>
      <c r="F2" s="114"/>
    </row>
    <row r="3" spans="1:7" ht="15" customHeight="1">
      <c r="A3" s="255" t="s">
        <v>196</v>
      </c>
      <c r="B3" s="255"/>
      <c r="C3" s="255"/>
      <c r="D3" s="255"/>
      <c r="E3" s="255"/>
      <c r="F3" s="255"/>
    </row>
    <row r="4" spans="1:7" ht="15">
      <c r="A4" s="112" t="s">
        <v>2</v>
      </c>
      <c r="B4" s="113"/>
      <c r="C4" s="113"/>
      <c r="D4" s="113"/>
      <c r="E4" s="113"/>
      <c r="F4" s="114"/>
    </row>
    <row r="5" spans="1:7" ht="15">
      <c r="A5" s="107"/>
      <c r="B5" s="107"/>
      <c r="C5" s="107"/>
      <c r="D5" s="107"/>
      <c r="E5" s="107"/>
      <c r="F5" s="108"/>
    </row>
    <row r="6" spans="1:7" ht="15">
      <c r="A6" s="107"/>
      <c r="B6" s="107"/>
      <c r="C6" s="107"/>
      <c r="D6" s="107"/>
      <c r="E6" s="107"/>
      <c r="F6" s="108"/>
    </row>
    <row r="7" spans="1:7" ht="15">
      <c r="A7" s="116" t="s">
        <v>75</v>
      </c>
      <c r="B7" s="117" t="s">
        <v>67</v>
      </c>
      <c r="C7" s="117"/>
      <c r="D7" s="107"/>
      <c r="E7" s="118" t="s">
        <v>71</v>
      </c>
      <c r="F7" s="119" t="s">
        <v>74</v>
      </c>
    </row>
    <row r="8" spans="1:7" ht="15">
      <c r="A8" s="107"/>
      <c r="B8" s="107"/>
      <c r="C8" s="107"/>
      <c r="D8" s="203"/>
      <c r="E8" s="203"/>
      <c r="F8" s="204"/>
    </row>
    <row r="9" spans="1:7" ht="15">
      <c r="A9" s="120"/>
      <c r="B9" s="116" t="s">
        <v>68</v>
      </c>
      <c r="C9" s="121"/>
      <c r="D9" s="203"/>
      <c r="E9" s="203"/>
      <c r="F9" s="204"/>
    </row>
    <row r="10" spans="1:7" ht="15">
      <c r="A10" s="107"/>
      <c r="B10" s="107"/>
      <c r="C10" s="107"/>
      <c r="D10" s="205"/>
      <c r="E10" s="205"/>
      <c r="F10" s="204"/>
    </row>
    <row r="11" spans="1:7" ht="15">
      <c r="A11" s="107"/>
      <c r="B11" s="107" t="s">
        <v>76</v>
      </c>
      <c r="C11" s="107"/>
      <c r="D11" s="205"/>
      <c r="E11" s="205"/>
      <c r="F11" s="204"/>
    </row>
    <row r="12" spans="1:7" ht="15">
      <c r="A12" s="120">
        <v>1</v>
      </c>
      <c r="B12" s="107" t="s">
        <v>77</v>
      </c>
      <c r="C12" s="107"/>
      <c r="D12" s="205"/>
      <c r="E12" s="206">
        <v>6506006</v>
      </c>
      <c r="F12" s="204"/>
      <c r="G12" s="106"/>
    </row>
    <row r="13" spans="1:7" ht="15">
      <c r="A13" s="107"/>
      <c r="B13" s="107"/>
      <c r="C13" s="107"/>
      <c r="D13" s="205"/>
      <c r="E13" s="205"/>
      <c r="F13" s="204"/>
    </row>
    <row r="14" spans="1:7" ht="15">
      <c r="A14" s="120">
        <v>2</v>
      </c>
      <c r="B14" s="107" t="s">
        <v>78</v>
      </c>
      <c r="C14" s="107"/>
      <c r="D14" s="207">
        <v>0.92437999999999998</v>
      </c>
      <c r="E14" s="205"/>
      <c r="F14" s="204">
        <f>+D14*E12</f>
        <v>6014021.8262799997</v>
      </c>
    </row>
    <row r="15" spans="1:7" ht="15">
      <c r="A15" s="107"/>
      <c r="B15" s="107"/>
      <c r="C15" s="107"/>
      <c r="D15" s="203"/>
      <c r="E15" s="203"/>
      <c r="F15" s="204"/>
    </row>
    <row r="16" spans="1:7" ht="15">
      <c r="A16" s="107"/>
      <c r="B16" s="107"/>
      <c r="C16" s="107"/>
      <c r="D16" s="203"/>
      <c r="E16" s="203"/>
      <c r="F16" s="204"/>
    </row>
    <row r="17" spans="1:7" ht="15">
      <c r="A17" s="107"/>
      <c r="B17" s="107"/>
      <c r="C17" s="107"/>
      <c r="D17" s="203"/>
      <c r="E17" s="203"/>
      <c r="F17" s="204"/>
    </row>
    <row r="18" spans="1:7" ht="15">
      <c r="A18" s="107"/>
      <c r="B18" s="116" t="s">
        <v>69</v>
      </c>
      <c r="C18" s="107"/>
      <c r="D18" s="203"/>
      <c r="E18" s="203"/>
      <c r="F18" s="204"/>
    </row>
    <row r="19" spans="1:7" ht="14.25" customHeight="1">
      <c r="A19" s="107"/>
      <c r="B19" s="107"/>
      <c r="C19" s="107"/>
      <c r="D19" s="203"/>
      <c r="E19" s="203"/>
      <c r="F19" s="204"/>
    </row>
    <row r="20" spans="1:7" ht="15">
      <c r="A20" s="107"/>
      <c r="B20" s="107" t="s">
        <v>79</v>
      </c>
      <c r="C20" s="107"/>
      <c r="D20" s="203"/>
      <c r="E20" s="203"/>
      <c r="F20" s="204"/>
    </row>
    <row r="21" spans="1:7" ht="15">
      <c r="A21" s="120">
        <v>3</v>
      </c>
      <c r="B21" s="107" t="s">
        <v>77</v>
      </c>
      <c r="C21" s="107"/>
      <c r="D21" s="205"/>
      <c r="E21" s="206">
        <v>3929115</v>
      </c>
      <c r="F21" s="204"/>
      <c r="G21" s="106"/>
    </row>
    <row r="22" spans="1:7" ht="15">
      <c r="A22" s="107"/>
      <c r="B22" s="107"/>
      <c r="C22" s="107"/>
      <c r="D22" s="205"/>
      <c r="E22" s="205"/>
      <c r="F22" s="204"/>
    </row>
    <row r="23" spans="1:7" ht="15">
      <c r="A23" s="120">
        <v>4</v>
      </c>
      <c r="B23" s="107" t="s">
        <v>78</v>
      </c>
      <c r="C23" s="107"/>
      <c r="D23" s="239">
        <v>0.89061999999999997</v>
      </c>
      <c r="E23" s="208"/>
      <c r="F23" s="209">
        <f>+D23*E21</f>
        <v>3499348.4013</v>
      </c>
    </row>
    <row r="24" spans="1:7" ht="8.25" customHeight="1">
      <c r="A24" s="107"/>
      <c r="B24" s="107"/>
      <c r="C24" s="107"/>
      <c r="D24" s="205"/>
      <c r="E24" s="205"/>
      <c r="F24" s="204"/>
    </row>
    <row r="25" spans="1:7" ht="15.75" thickBot="1">
      <c r="A25" s="120">
        <v>5</v>
      </c>
      <c r="B25" s="107" t="s">
        <v>70</v>
      </c>
      <c r="C25" s="107"/>
      <c r="D25" s="210"/>
      <c r="E25" s="211">
        <f>SUM(E12:E23)</f>
        <v>10435121</v>
      </c>
      <c r="F25" s="212">
        <f>SUM(F14:F23)</f>
        <v>9513370.2275799997</v>
      </c>
      <c r="G25" s="115"/>
    </row>
    <row r="26" spans="1:7" ht="15.75" thickTop="1">
      <c r="A26" s="107"/>
      <c r="B26" s="107"/>
      <c r="C26" s="107"/>
      <c r="D26" s="203"/>
      <c r="E26" s="203"/>
      <c r="F26" s="204"/>
    </row>
    <row r="27" spans="1:7" ht="15">
      <c r="A27" s="107"/>
      <c r="B27" s="116" t="s">
        <v>80</v>
      </c>
      <c r="C27" s="107"/>
      <c r="D27" s="203"/>
      <c r="E27" s="203"/>
      <c r="F27" s="204"/>
    </row>
    <row r="28" spans="1:7" ht="15">
      <c r="A28" s="107"/>
      <c r="B28" s="107"/>
      <c r="C28" s="107"/>
      <c r="D28" s="203"/>
      <c r="E28" s="203"/>
      <c r="F28" s="204"/>
    </row>
    <row r="29" spans="1:7" ht="15">
      <c r="A29" s="120">
        <v>6</v>
      </c>
      <c r="B29" s="123" t="s">
        <v>81</v>
      </c>
      <c r="C29" s="123"/>
      <c r="D29" s="213"/>
      <c r="E29" s="213"/>
      <c r="F29" s="204"/>
    </row>
    <row r="30" spans="1:7" ht="15">
      <c r="A30" s="120"/>
      <c r="B30" s="123" t="s">
        <v>82</v>
      </c>
      <c r="C30" s="123"/>
      <c r="D30" s="214">
        <v>0.66190000000000004</v>
      </c>
      <c r="E30" s="215">
        <f>+E12</f>
        <v>6506006</v>
      </c>
      <c r="F30" s="216">
        <f>ROUND(D30*E30,2)</f>
        <v>4306325.37</v>
      </c>
    </row>
    <row r="31" spans="1:7" ht="15">
      <c r="A31" s="107"/>
      <c r="B31" s="123"/>
      <c r="C31" s="123"/>
      <c r="D31" s="217"/>
      <c r="E31" s="217"/>
      <c r="F31" s="216"/>
    </row>
    <row r="32" spans="1:7" ht="15">
      <c r="A32" s="120">
        <v>7</v>
      </c>
      <c r="B32" s="123" t="s">
        <v>83</v>
      </c>
      <c r="C32" s="123"/>
      <c r="D32" s="214"/>
      <c r="E32" s="217"/>
      <c r="F32" s="216"/>
    </row>
    <row r="33" spans="1:6" ht="15">
      <c r="A33" s="120"/>
      <c r="B33" s="123" t="s">
        <v>82</v>
      </c>
      <c r="C33" s="123"/>
      <c r="D33" s="214">
        <v>0.65883000000000003</v>
      </c>
      <c r="E33" s="218">
        <f>+E21</f>
        <v>3929115</v>
      </c>
      <c r="F33" s="209">
        <f t="shared" ref="F33" si="0">ROUND(D33*E33,2)</f>
        <v>2588618.84</v>
      </c>
    </row>
    <row r="34" spans="1:6" ht="15">
      <c r="A34" s="123"/>
      <c r="B34" s="123"/>
      <c r="C34" s="123"/>
      <c r="D34" s="217"/>
      <c r="E34" s="217"/>
      <c r="F34" s="219"/>
    </row>
    <row r="35" spans="1:6" ht="15.75" thickBot="1">
      <c r="A35" s="124">
        <v>8</v>
      </c>
      <c r="B35" s="123" t="s">
        <v>70</v>
      </c>
      <c r="C35" s="123"/>
      <c r="D35" s="217"/>
      <c r="E35" s="220">
        <f>SUM(E30:E33)</f>
        <v>10435121</v>
      </c>
      <c r="F35" s="221">
        <f>SUM(F30:F33)</f>
        <v>6894944.21</v>
      </c>
    </row>
    <row r="36" spans="1:6" ht="13.5" thickTop="1"/>
    <row r="38" spans="1:6">
      <c r="D38" s="122"/>
    </row>
  </sheetData>
  <mergeCells count="1">
    <mergeCell ref="A3:F3"/>
  </mergeCells>
  <printOptions horizontalCentered="1"/>
  <pageMargins left="1" right="1" top="1" bottom="1" header="0.5" footer="0.5"/>
  <pageSetup scale="90" firstPageNumber="2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4:Q48"/>
  <sheetViews>
    <sheetView tabSelected="1" zoomScaleNormal="100" zoomScaleSheetLayoutView="85" workbookViewId="0">
      <selection activeCell="L32" sqref="L32"/>
    </sheetView>
  </sheetViews>
  <sheetFormatPr defaultRowHeight="11.25"/>
  <cols>
    <col min="1" max="1" width="6" style="55" bestFit="1" customWidth="1"/>
    <col min="2" max="2" width="47" style="55" customWidth="1"/>
    <col min="3" max="3" width="9.33203125" style="55"/>
    <col min="4" max="4" width="12.83203125" style="55" customWidth="1"/>
    <col min="5" max="5" width="15.6640625" style="55" bestFit="1" customWidth="1"/>
    <col min="6" max="6" width="9.33203125" style="55"/>
    <col min="7" max="7" width="13.5" style="55" customWidth="1"/>
    <col min="8" max="16384" width="9.33203125" style="55"/>
  </cols>
  <sheetData>
    <row r="4" spans="1:17" ht="15.75">
      <c r="A4" s="50" t="s">
        <v>0</v>
      </c>
      <c r="B4" s="51"/>
      <c r="C4" s="52"/>
      <c r="D4" s="53"/>
      <c r="E4" s="54"/>
    </row>
    <row r="5" spans="1:17" ht="15.75">
      <c r="A5" s="90" t="s">
        <v>72</v>
      </c>
      <c r="B5" s="56"/>
      <c r="C5" s="57"/>
      <c r="D5" s="58"/>
      <c r="E5" s="59"/>
    </row>
    <row r="6" spans="1:17" ht="15.75">
      <c r="A6" s="60" t="s">
        <v>2</v>
      </c>
      <c r="B6" s="61"/>
      <c r="C6" s="62"/>
      <c r="D6" s="63"/>
      <c r="E6" s="64"/>
    </row>
    <row r="7" spans="1:17" ht="15.75">
      <c r="A7" s="92" t="s">
        <v>8</v>
      </c>
      <c r="B7" s="65"/>
      <c r="C7" s="66"/>
      <c r="D7" s="67"/>
      <c r="E7" s="68"/>
      <c r="O7" s="194"/>
      <c r="Q7" s="195"/>
    </row>
    <row r="8" spans="1:17" ht="15.75">
      <c r="A8" s="93" t="s">
        <v>14</v>
      </c>
      <c r="B8" s="69" t="s">
        <v>67</v>
      </c>
      <c r="C8" s="103"/>
      <c r="D8" s="222" t="s">
        <v>199</v>
      </c>
      <c r="E8" s="71" t="s">
        <v>84</v>
      </c>
      <c r="O8" s="194"/>
      <c r="Q8" s="194"/>
    </row>
    <row r="9" spans="1:17" ht="15.75">
      <c r="A9" s="94"/>
      <c r="B9" s="72" t="s">
        <v>85</v>
      </c>
      <c r="D9" s="73" t="s">
        <v>86</v>
      </c>
      <c r="E9" s="74" t="s">
        <v>88</v>
      </c>
      <c r="O9" s="194"/>
      <c r="Q9" s="194"/>
    </row>
    <row r="10" spans="1:17">
      <c r="A10" s="75"/>
      <c r="B10" s="76"/>
      <c r="C10" s="75"/>
      <c r="D10" s="76"/>
      <c r="E10" s="77"/>
      <c r="O10" s="194"/>
      <c r="Q10" s="194"/>
    </row>
    <row r="11" spans="1:17" ht="15.75">
      <c r="A11" s="78"/>
      <c r="B11" s="229" t="s">
        <v>188</v>
      </c>
      <c r="C11" s="78"/>
      <c r="D11" s="79"/>
      <c r="E11" s="80"/>
      <c r="O11" s="194"/>
      <c r="Q11" s="194"/>
    </row>
    <row r="12" spans="1:17" ht="15.75">
      <c r="A12" s="78">
        <v>1</v>
      </c>
      <c r="B12" s="223" t="s">
        <v>200</v>
      </c>
      <c r="C12" s="81"/>
      <c r="D12" s="82">
        <v>9412.3700000000008</v>
      </c>
      <c r="E12" s="83"/>
      <c r="O12" s="194"/>
      <c r="Q12" s="194"/>
    </row>
    <row r="13" spans="1:17" ht="18">
      <c r="A13" s="78">
        <v>2</v>
      </c>
      <c r="B13" s="84" t="s">
        <v>177</v>
      </c>
      <c r="C13" s="85"/>
      <c r="D13" s="86"/>
      <c r="E13" s="224">
        <f>-D12</f>
        <v>-9412.3700000000008</v>
      </c>
      <c r="O13" s="194"/>
      <c r="Q13" s="194"/>
    </row>
    <row r="14" spans="1:17">
      <c r="A14" s="87"/>
      <c r="B14" s="88"/>
      <c r="C14" s="87"/>
      <c r="D14" s="88"/>
      <c r="E14" s="89"/>
      <c r="O14" s="194"/>
      <c r="Q14" s="194"/>
    </row>
    <row r="15" spans="1:17" ht="18.75">
      <c r="A15" s="17"/>
      <c r="B15" s="17"/>
      <c r="C15" s="17"/>
      <c r="D15" s="17"/>
      <c r="E15" s="17"/>
      <c r="F15" s="17"/>
      <c r="G15" s="17"/>
      <c r="H15" s="17"/>
      <c r="O15" s="194"/>
      <c r="Q15" s="194"/>
    </row>
    <row r="16" spans="1:17" ht="18.75">
      <c r="B16" s="16"/>
      <c r="C16" s="16"/>
      <c r="D16" s="16"/>
      <c r="E16" s="16"/>
      <c r="F16" s="16"/>
      <c r="G16" s="16"/>
      <c r="H16" s="16"/>
      <c r="O16" s="194"/>
      <c r="Q16" s="194"/>
    </row>
    <row r="17" spans="1:17" ht="15.75">
      <c r="A17" s="18"/>
      <c r="B17" s="18"/>
      <c r="C17" s="18"/>
      <c r="D17" s="18"/>
      <c r="E17" s="18"/>
      <c r="F17" s="18"/>
      <c r="G17" s="18"/>
      <c r="H17" s="18"/>
      <c r="O17" s="194"/>
      <c r="Q17" s="194"/>
    </row>
    <row r="18" spans="1:17" ht="12.75">
      <c r="A18" s="35"/>
      <c r="B18" s="35"/>
      <c r="C18" s="35"/>
      <c r="D18" s="35"/>
      <c r="E18" s="35"/>
      <c r="F18" s="35"/>
      <c r="G18" s="35"/>
      <c r="H18" s="35"/>
      <c r="O18" s="194"/>
      <c r="Q18" s="194"/>
    </row>
    <row r="19" spans="1:17" ht="12.75">
      <c r="A19" s="36" t="s">
        <v>13</v>
      </c>
      <c r="B19" s="36"/>
      <c r="C19" s="36"/>
      <c r="D19" s="36"/>
      <c r="E19" s="36"/>
      <c r="F19" s="36"/>
      <c r="G19" s="36"/>
      <c r="H19" s="36"/>
      <c r="O19" s="194"/>
      <c r="Q19" s="194"/>
    </row>
    <row r="20" spans="1:17" ht="12.75">
      <c r="A20" s="36"/>
      <c r="B20" s="35"/>
      <c r="C20" s="36"/>
      <c r="D20" s="36"/>
      <c r="E20" s="36"/>
      <c r="F20" s="36"/>
      <c r="G20" s="36"/>
      <c r="H20" s="36"/>
      <c r="O20" s="194"/>
      <c r="Q20" s="194"/>
    </row>
    <row r="21" spans="1:17" ht="12.75">
      <c r="A21" s="37"/>
      <c r="B21" s="36"/>
      <c r="C21" s="19"/>
      <c r="D21" s="36"/>
      <c r="E21" s="36"/>
      <c r="F21" s="36"/>
      <c r="G21" s="20"/>
      <c r="H21" s="36"/>
      <c r="O21" s="194"/>
      <c r="Q21" s="194"/>
    </row>
    <row r="22" spans="1:17" ht="12.75">
      <c r="A22" s="37"/>
      <c r="B22" s="36"/>
      <c r="C22" s="19"/>
      <c r="D22" s="36"/>
      <c r="E22" s="36"/>
      <c r="F22" s="36"/>
      <c r="G22" s="20"/>
      <c r="H22" s="36"/>
      <c r="O22" s="194"/>
      <c r="Q22" s="194"/>
    </row>
    <row r="23" spans="1:17" ht="15.75">
      <c r="A23" s="35"/>
      <c r="B23" s="35"/>
      <c r="D23" s="45"/>
      <c r="E23" s="45"/>
      <c r="F23" s="45"/>
      <c r="H23" s="36"/>
      <c r="O23" s="194"/>
      <c r="Q23" s="194"/>
    </row>
    <row r="24" spans="1:17" ht="15.75">
      <c r="A24" s="35"/>
      <c r="B24" s="35"/>
      <c r="C24" s="45"/>
      <c r="D24" s="45"/>
      <c r="E24" s="45"/>
      <c r="F24" s="46"/>
      <c r="G24" s="47"/>
      <c r="H24" s="36"/>
      <c r="O24" s="194"/>
      <c r="Q24" s="194"/>
    </row>
    <row r="25" spans="1:17" ht="15.75">
      <c r="A25" s="35"/>
      <c r="B25" s="37"/>
      <c r="C25" s="1"/>
      <c r="D25" s="45"/>
      <c r="E25" s="45"/>
      <c r="F25" s="45"/>
      <c r="G25" s="47"/>
      <c r="H25" s="36"/>
      <c r="O25" s="194"/>
      <c r="Q25" s="194"/>
    </row>
    <row r="26" spans="1:17" ht="18">
      <c r="A26" s="35"/>
      <c r="B26" s="35"/>
      <c r="D26" s="45"/>
      <c r="E26" s="45"/>
      <c r="F26" s="45"/>
      <c r="G26" s="48"/>
      <c r="H26" s="36"/>
      <c r="O26" s="194"/>
      <c r="Q26" s="194"/>
    </row>
    <row r="27" spans="1:17" ht="12.75">
      <c r="A27" s="37"/>
      <c r="B27" s="19"/>
      <c r="C27" s="19"/>
      <c r="D27" s="36"/>
      <c r="E27" s="36"/>
      <c r="F27" s="36"/>
      <c r="G27" s="36"/>
      <c r="H27" s="36"/>
      <c r="O27" s="194"/>
      <c r="Q27" s="194"/>
    </row>
    <row r="28" spans="1:17">
      <c r="O28" s="194"/>
      <c r="Q28" s="194"/>
    </row>
    <row r="29" spans="1:17">
      <c r="O29" s="194"/>
      <c r="Q29" s="194"/>
    </row>
    <row r="30" spans="1:17">
      <c r="O30" s="194"/>
      <c r="Q30" s="194"/>
    </row>
    <row r="31" spans="1:17">
      <c r="O31" s="194"/>
      <c r="Q31" s="194"/>
    </row>
    <row r="32" spans="1:17">
      <c r="O32" s="194"/>
      <c r="Q32" s="194"/>
    </row>
    <row r="33" spans="15:17">
      <c r="O33" s="194"/>
      <c r="Q33" s="194"/>
    </row>
    <row r="34" spans="15:17">
      <c r="O34" s="194"/>
      <c r="Q34" s="194"/>
    </row>
    <row r="35" spans="15:17">
      <c r="O35" s="194"/>
      <c r="Q35" s="194"/>
    </row>
    <row r="36" spans="15:17">
      <c r="O36" s="194"/>
      <c r="Q36" s="194"/>
    </row>
    <row r="37" spans="15:17">
      <c r="O37" s="194"/>
      <c r="Q37" s="194"/>
    </row>
    <row r="38" spans="15:17">
      <c r="O38" s="194"/>
      <c r="Q38" s="194"/>
    </row>
    <row r="39" spans="15:17">
      <c r="O39" s="194"/>
      <c r="Q39" s="194"/>
    </row>
    <row r="40" spans="15:17">
      <c r="O40" s="194"/>
      <c r="Q40" s="194"/>
    </row>
    <row r="41" spans="15:17">
      <c r="O41" s="194"/>
      <c r="Q41" s="194"/>
    </row>
    <row r="42" spans="15:17">
      <c r="O42" s="194"/>
      <c r="Q42" s="194"/>
    </row>
    <row r="43" spans="15:17">
      <c r="O43" s="194"/>
      <c r="Q43" s="194"/>
    </row>
    <row r="44" spans="15:17">
      <c r="O44" s="194"/>
      <c r="Q44" s="194"/>
    </row>
    <row r="45" spans="15:17">
      <c r="O45" s="194"/>
      <c r="Q45" s="194"/>
    </row>
    <row r="46" spans="15:17">
      <c r="O46" s="194"/>
      <c r="Q46" s="196"/>
    </row>
    <row r="47" spans="15:17">
      <c r="O47" s="188"/>
    </row>
    <row r="48" spans="15:17">
      <c r="O48" s="188"/>
    </row>
  </sheetData>
  <phoneticPr fontId="0" type="noConversion"/>
  <printOptions horizontalCentered="1"/>
  <pageMargins left="1" right="1" top="1" bottom="1" header="0.5" footer="0.5"/>
  <pageSetup firstPageNumber="2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6:Q50"/>
  <sheetViews>
    <sheetView tabSelected="1" zoomScaleNormal="100" zoomScaleSheetLayoutView="85" workbookViewId="0">
      <selection activeCell="L32" sqref="L32"/>
    </sheetView>
  </sheetViews>
  <sheetFormatPr defaultRowHeight="11.25"/>
  <cols>
    <col min="1" max="1" width="6" style="55" bestFit="1" customWidth="1"/>
    <col min="2" max="2" width="78.5" style="55" customWidth="1"/>
    <col min="3" max="3" width="25.5" style="55" customWidth="1"/>
    <col min="4" max="4" width="9.33203125" style="55"/>
    <col min="5" max="5" width="13.5" style="55" customWidth="1"/>
    <col min="6" max="16384" width="9.33203125" style="55"/>
  </cols>
  <sheetData>
    <row r="6" spans="1:17" ht="15.75">
      <c r="A6" s="50" t="s">
        <v>0</v>
      </c>
      <c r="B6" s="51"/>
      <c r="C6" s="54"/>
    </row>
    <row r="7" spans="1:17" ht="18.75" customHeight="1">
      <c r="A7" s="90" t="s">
        <v>92</v>
      </c>
      <c r="B7" s="56"/>
      <c r="C7" s="59"/>
    </row>
    <row r="8" spans="1:17" ht="16.5" customHeight="1">
      <c r="A8" s="256" t="s">
        <v>2</v>
      </c>
      <c r="B8" s="259"/>
      <c r="C8" s="260"/>
    </row>
    <row r="9" spans="1:17" ht="15.75">
      <c r="A9" s="92" t="s">
        <v>8</v>
      </c>
      <c r="B9" s="257" t="s">
        <v>67</v>
      </c>
      <c r="C9" s="225" t="s">
        <v>203</v>
      </c>
      <c r="O9" s="194"/>
      <c r="Q9" s="195"/>
    </row>
    <row r="10" spans="1:17" ht="15.75">
      <c r="A10" s="93" t="s">
        <v>14</v>
      </c>
      <c r="B10" s="258"/>
      <c r="C10" s="70" t="s">
        <v>84</v>
      </c>
      <c r="O10" s="194"/>
      <c r="Q10" s="194"/>
    </row>
    <row r="11" spans="1:17" ht="15.75">
      <c r="A11" s="94"/>
      <c r="B11" s="95" t="s">
        <v>85</v>
      </c>
      <c r="C11" s="73" t="s">
        <v>86</v>
      </c>
      <c r="O11" s="194"/>
      <c r="Q11" s="194"/>
    </row>
    <row r="12" spans="1:17">
      <c r="A12" s="75"/>
      <c r="B12" s="78"/>
      <c r="C12" s="76"/>
      <c r="O12" s="194"/>
      <c r="Q12" s="194"/>
    </row>
    <row r="13" spans="1:17" ht="16.5" customHeight="1">
      <c r="A13" s="78"/>
      <c r="B13" s="96"/>
      <c r="C13" s="79"/>
      <c r="O13" s="194"/>
      <c r="Q13" s="194"/>
    </row>
    <row r="14" spans="1:17" ht="15.75">
      <c r="A14" s="241">
        <v>1</v>
      </c>
      <c r="B14" s="97" t="s">
        <v>93</v>
      </c>
      <c r="C14" s="82">
        <v>21642845</v>
      </c>
      <c r="O14" s="194"/>
      <c r="Q14" s="194"/>
    </row>
    <row r="15" spans="1:17" ht="15.75">
      <c r="A15" s="241">
        <v>2</v>
      </c>
      <c r="B15" s="98" t="s">
        <v>204</v>
      </c>
      <c r="C15" s="226">
        <f>+'A&amp;G Benchmark WP'!E40</f>
        <v>0.1744</v>
      </c>
      <c r="O15" s="194"/>
      <c r="Q15" s="194"/>
    </row>
    <row r="16" spans="1:17" ht="15.75">
      <c r="A16" s="241">
        <v>3</v>
      </c>
      <c r="B16" s="98" t="s">
        <v>205</v>
      </c>
      <c r="C16" s="227">
        <f>C14*(1+C15)</f>
        <v>25417357.167999998</v>
      </c>
      <c r="O16" s="194"/>
      <c r="Q16" s="194"/>
    </row>
    <row r="17" spans="1:17" ht="15.75">
      <c r="A17" s="78"/>
      <c r="B17" s="98"/>
      <c r="C17" s="228"/>
      <c r="O17" s="194"/>
      <c r="Q17" s="194"/>
    </row>
    <row r="18" spans="1:17" ht="15.75">
      <c r="A18" s="241">
        <v>4</v>
      </c>
      <c r="B18" s="98" t="s">
        <v>207</v>
      </c>
      <c r="C18" s="82">
        <f>+'A&amp;G Detail WP'!E51</f>
        <v>21096888.699999999</v>
      </c>
      <c r="O18" s="194"/>
      <c r="Q18" s="194"/>
    </row>
    <row r="19" spans="1:17" ht="15.75">
      <c r="A19" s="241">
        <v>5</v>
      </c>
      <c r="B19" s="98" t="s">
        <v>94</v>
      </c>
      <c r="C19" s="82">
        <f>+'St.of Op. '!O31-'St.of Op. '!D31</f>
        <v>0</v>
      </c>
      <c r="O19" s="194"/>
      <c r="Q19" s="194"/>
    </row>
    <row r="20" spans="1:17" ht="15.75">
      <c r="A20" s="241">
        <v>6</v>
      </c>
      <c r="B20" s="98" t="s">
        <v>206</v>
      </c>
      <c r="C20" s="227">
        <f>SUM(C18:C19)</f>
        <v>21096888.699999999</v>
      </c>
      <c r="O20" s="194"/>
      <c r="Q20" s="194"/>
    </row>
    <row r="21" spans="1:17" ht="15.75">
      <c r="A21" s="241"/>
      <c r="B21" s="98"/>
      <c r="C21" s="84"/>
      <c r="O21" s="194"/>
      <c r="Q21" s="194"/>
    </row>
    <row r="22" spans="1:17" ht="15.75">
      <c r="A22" s="241">
        <v>7</v>
      </c>
      <c r="B22" s="98" t="s">
        <v>95</v>
      </c>
      <c r="C22" s="99" t="str">
        <f>IF(C20&lt;C16,"Yes","No")</f>
        <v>Yes</v>
      </c>
      <c r="O22" s="194"/>
      <c r="Q22" s="194"/>
    </row>
    <row r="23" spans="1:17" ht="15.75">
      <c r="A23" s="241"/>
      <c r="B23" s="98"/>
      <c r="C23" s="84"/>
      <c r="O23" s="194"/>
      <c r="Q23" s="194"/>
    </row>
    <row r="24" spans="1:17" ht="15.75">
      <c r="A24" s="241">
        <v>8</v>
      </c>
      <c r="B24" s="98" t="s">
        <v>96</v>
      </c>
      <c r="C24" s="100">
        <v>0</v>
      </c>
      <c r="O24" s="194"/>
      <c r="Q24" s="194"/>
    </row>
    <row r="25" spans="1:17" ht="15.75">
      <c r="A25" s="78"/>
      <c r="B25" s="98"/>
      <c r="C25" s="84"/>
      <c r="O25" s="194"/>
      <c r="Q25" s="194"/>
    </row>
    <row r="26" spans="1:17">
      <c r="A26" s="87"/>
      <c r="B26" s="87"/>
      <c r="C26" s="88"/>
      <c r="O26" s="194"/>
      <c r="Q26" s="194"/>
    </row>
    <row r="27" spans="1:17" ht="18.75">
      <c r="A27" s="17"/>
      <c r="B27" s="17"/>
      <c r="C27" s="17"/>
      <c r="D27" s="17"/>
      <c r="E27" s="17"/>
      <c r="F27" s="17"/>
      <c r="O27" s="194"/>
      <c r="Q27" s="194"/>
    </row>
    <row r="28" spans="1:17" ht="18.75">
      <c r="B28" s="16"/>
      <c r="C28" s="16"/>
      <c r="D28" s="16"/>
      <c r="E28" s="16"/>
      <c r="F28" s="16"/>
      <c r="O28" s="194"/>
      <c r="Q28" s="194"/>
    </row>
    <row r="29" spans="1:17" ht="15.75">
      <c r="A29" s="18"/>
      <c r="B29" s="18"/>
      <c r="C29" s="18"/>
      <c r="D29" s="18"/>
      <c r="E29" s="18"/>
      <c r="F29" s="18"/>
      <c r="O29" s="194"/>
      <c r="Q29" s="194"/>
    </row>
    <row r="30" spans="1:17" ht="12.75">
      <c r="A30" s="35"/>
      <c r="B30" s="35"/>
      <c r="C30" s="35"/>
      <c r="D30" s="35"/>
      <c r="E30" s="35"/>
      <c r="F30" s="35"/>
      <c r="O30" s="194"/>
      <c r="Q30" s="194"/>
    </row>
    <row r="31" spans="1:17" ht="12.75">
      <c r="A31" s="36" t="s">
        <v>13</v>
      </c>
      <c r="B31" s="36"/>
      <c r="C31" s="36"/>
      <c r="D31" s="36"/>
      <c r="E31" s="36"/>
      <c r="F31" s="36"/>
      <c r="O31" s="194"/>
      <c r="Q31" s="194"/>
    </row>
    <row r="32" spans="1:17" ht="12.75">
      <c r="A32" s="36"/>
      <c r="B32" s="35"/>
      <c r="C32" s="36"/>
      <c r="D32" s="36"/>
      <c r="E32" s="36"/>
      <c r="F32" s="36"/>
      <c r="O32" s="194"/>
      <c r="Q32" s="194"/>
    </row>
    <row r="33" spans="1:17" ht="12.75">
      <c r="A33" s="37"/>
      <c r="B33" s="36"/>
      <c r="C33" s="36"/>
      <c r="D33" s="36"/>
      <c r="E33" s="20"/>
      <c r="F33" s="36"/>
      <c r="O33" s="194"/>
      <c r="Q33" s="194"/>
    </row>
    <row r="34" spans="1:17" ht="12.75">
      <c r="A34" s="37"/>
      <c r="B34" s="36"/>
      <c r="C34" s="36"/>
      <c r="D34" s="36"/>
      <c r="E34" s="20"/>
      <c r="F34" s="36"/>
      <c r="O34" s="194"/>
      <c r="Q34" s="194"/>
    </row>
    <row r="35" spans="1:17" ht="15.75">
      <c r="A35" s="35"/>
      <c r="B35" s="35"/>
      <c r="C35" s="45"/>
      <c r="D35" s="45"/>
      <c r="F35" s="36"/>
      <c r="O35" s="194"/>
      <c r="Q35" s="194"/>
    </row>
    <row r="36" spans="1:17" ht="15.75">
      <c r="A36" s="35"/>
      <c r="B36" s="35"/>
      <c r="C36" s="45"/>
      <c r="D36" s="46"/>
      <c r="E36" s="47"/>
      <c r="F36" s="36"/>
      <c r="O36" s="194"/>
      <c r="Q36" s="194"/>
    </row>
    <row r="37" spans="1:17" ht="15.75">
      <c r="A37" s="35"/>
      <c r="B37" s="37"/>
      <c r="C37" s="45"/>
      <c r="D37" s="45"/>
      <c r="E37" s="47"/>
      <c r="F37" s="36"/>
      <c r="O37" s="194"/>
      <c r="Q37" s="194"/>
    </row>
    <row r="38" spans="1:17" ht="18">
      <c r="A38" s="35"/>
      <c r="B38" s="35"/>
      <c r="C38" s="45"/>
      <c r="D38" s="45"/>
      <c r="E38" s="48"/>
      <c r="F38" s="36"/>
      <c r="O38" s="194"/>
      <c r="Q38" s="194"/>
    </row>
    <row r="39" spans="1:17" ht="12.75">
      <c r="A39" s="37"/>
      <c r="B39" s="19"/>
      <c r="C39" s="36"/>
      <c r="D39" s="36"/>
      <c r="E39" s="36"/>
      <c r="F39" s="36"/>
      <c r="O39" s="194"/>
      <c r="Q39" s="194"/>
    </row>
    <row r="40" spans="1:17">
      <c r="O40" s="194"/>
      <c r="Q40" s="194"/>
    </row>
    <row r="41" spans="1:17">
      <c r="O41" s="194"/>
      <c r="Q41" s="194"/>
    </row>
    <row r="42" spans="1:17">
      <c r="O42" s="194"/>
      <c r="Q42" s="194"/>
    </row>
    <row r="43" spans="1:17">
      <c r="O43" s="194"/>
      <c r="Q43" s="194"/>
    </row>
    <row r="44" spans="1:17">
      <c r="O44" s="194"/>
      <c r="Q44" s="194"/>
    </row>
    <row r="45" spans="1:17">
      <c r="O45" s="194"/>
      <c r="Q45" s="194"/>
    </row>
    <row r="46" spans="1:17">
      <c r="O46" s="194"/>
      <c r="Q46" s="194"/>
    </row>
    <row r="47" spans="1:17">
      <c r="O47" s="194"/>
      <c r="Q47" s="194"/>
    </row>
    <row r="48" spans="1:17">
      <c r="O48" s="194"/>
      <c r="Q48" s="196"/>
    </row>
    <row r="49" spans="15:15">
      <c r="O49" s="188"/>
    </row>
    <row r="50" spans="15:15">
      <c r="O50" s="188"/>
    </row>
  </sheetData>
  <mergeCells count="2">
    <mergeCell ref="B9:B10"/>
    <mergeCell ref="A8:C8"/>
  </mergeCells>
  <phoneticPr fontId="10" type="noConversion"/>
  <printOptions horizontalCentered="1"/>
  <pageMargins left="1" right="1" top="1" bottom="1" header="0.5" footer="0.5"/>
  <pageSetup scale="84" firstPageNumber="2" orientation="portrait" useFirstPageNumber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topLeftCell="A6" zoomScaleNormal="100" zoomScaleSheetLayoutView="85" workbookViewId="0">
      <selection activeCell="L32" sqref="L32"/>
    </sheetView>
  </sheetViews>
  <sheetFormatPr defaultColWidth="10.6640625" defaultRowHeight="12.75"/>
  <cols>
    <col min="1" max="1" width="8.5" style="162" customWidth="1"/>
    <col min="2" max="2" width="10.6640625" style="101" customWidth="1"/>
    <col min="3" max="3" width="11" style="101" bestFit="1" customWidth="1"/>
    <col min="4" max="16384" width="10.6640625" style="101"/>
  </cols>
  <sheetData>
    <row r="1" spans="1:16" ht="15.75">
      <c r="A1" s="154" t="s">
        <v>91</v>
      </c>
    </row>
    <row r="2" spans="1:16">
      <c r="A2" s="155" t="s">
        <v>97</v>
      </c>
    </row>
    <row r="3" spans="1:16">
      <c r="A3" s="155" t="s">
        <v>173</v>
      </c>
    </row>
    <row r="4" spans="1:16">
      <c r="A4" s="155"/>
    </row>
    <row r="5" spans="1:16">
      <c r="A5" s="155"/>
    </row>
    <row r="6" spans="1:16" ht="14.25">
      <c r="A6" s="156" t="s">
        <v>167</v>
      </c>
    </row>
    <row r="8" spans="1:16" ht="15">
      <c r="A8" s="157" t="s">
        <v>168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</row>
    <row r="9" spans="1:16" ht="15">
      <c r="A9" s="158" t="s">
        <v>98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98"/>
      <c r="P9" s="187"/>
    </row>
    <row r="10" spans="1:16" ht="15">
      <c r="A10" s="157" t="s">
        <v>169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98"/>
      <c r="P10" s="187"/>
    </row>
    <row r="11" spans="1:16" ht="15">
      <c r="A11" s="157" t="s">
        <v>170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98"/>
      <c r="P11" s="187"/>
    </row>
    <row r="12" spans="1:16" ht="15">
      <c r="A12" s="157" t="s">
        <v>171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98"/>
      <c r="P12" s="187"/>
    </row>
    <row r="13" spans="1:16">
      <c r="A13" s="159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98"/>
      <c r="P13" s="187"/>
    </row>
    <row r="14" spans="1:16" ht="15.75" thickBot="1">
      <c r="A14" s="261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187"/>
    </row>
    <row r="15" spans="1:16" ht="13.5" thickBot="1">
      <c r="A15" s="160" t="s">
        <v>99</v>
      </c>
      <c r="B15" s="126" t="s">
        <v>100</v>
      </c>
      <c r="C15" s="126" t="s">
        <v>101</v>
      </c>
      <c r="D15" s="126" t="s">
        <v>102</v>
      </c>
      <c r="E15" s="126" t="s">
        <v>103</v>
      </c>
      <c r="F15" s="126" t="s">
        <v>104</v>
      </c>
      <c r="G15" s="126" t="s">
        <v>105</v>
      </c>
      <c r="H15" s="126" t="s">
        <v>106</v>
      </c>
      <c r="I15" s="126" t="s">
        <v>107</v>
      </c>
      <c r="J15" s="126" t="s">
        <v>108</v>
      </c>
      <c r="K15" s="126" t="s">
        <v>109</v>
      </c>
      <c r="L15" s="126" t="s">
        <v>110</v>
      </c>
      <c r="M15" s="126" t="s">
        <v>111</v>
      </c>
      <c r="N15" s="126" t="s">
        <v>112</v>
      </c>
      <c r="O15" s="126" t="s">
        <v>113</v>
      </c>
      <c r="P15" s="187"/>
    </row>
    <row r="16" spans="1:16" ht="13.5" thickBot="1">
      <c r="A16" s="165">
        <v>2000</v>
      </c>
      <c r="B16" s="129">
        <v>168.8</v>
      </c>
      <c r="C16" s="129">
        <v>169.8</v>
      </c>
      <c r="D16" s="129">
        <v>171.2</v>
      </c>
      <c r="E16" s="129">
        <v>171.3</v>
      </c>
      <c r="F16" s="129">
        <v>171.5</v>
      </c>
      <c r="G16" s="129">
        <v>172.4</v>
      </c>
      <c r="H16" s="129">
        <v>172.8</v>
      </c>
      <c r="I16" s="129">
        <v>172.8</v>
      </c>
      <c r="J16" s="129">
        <v>173.7</v>
      </c>
      <c r="K16" s="129">
        <v>174</v>
      </c>
      <c r="L16" s="129">
        <v>174.1</v>
      </c>
      <c r="M16" s="129">
        <v>174</v>
      </c>
      <c r="N16" s="129">
        <v>172.2</v>
      </c>
      <c r="O16" s="129">
        <v>170.8</v>
      </c>
      <c r="P16" s="187"/>
    </row>
    <row r="17" spans="1:16" ht="13.5" thickBot="1">
      <c r="A17" s="166">
        <v>2001</v>
      </c>
      <c r="B17" s="130">
        <v>175.1</v>
      </c>
      <c r="C17" s="130">
        <v>175.8</v>
      </c>
      <c r="D17" s="130">
        <v>176.2</v>
      </c>
      <c r="E17" s="130">
        <v>176.9</v>
      </c>
      <c r="F17" s="130">
        <v>177.7</v>
      </c>
      <c r="G17" s="130">
        <v>178</v>
      </c>
      <c r="H17" s="130">
        <v>177.5</v>
      </c>
      <c r="I17" s="130">
        <v>177.5</v>
      </c>
      <c r="J17" s="130">
        <v>178.3</v>
      </c>
      <c r="K17" s="130">
        <v>177.7</v>
      </c>
      <c r="L17" s="130">
        <v>177.4</v>
      </c>
      <c r="M17" s="130">
        <v>176.7</v>
      </c>
      <c r="N17" s="130">
        <v>177.1</v>
      </c>
      <c r="O17" s="130">
        <v>176.6</v>
      </c>
      <c r="P17" s="187"/>
    </row>
    <row r="18" spans="1:16" ht="13.5" thickBot="1">
      <c r="A18" s="165">
        <v>2002</v>
      </c>
      <c r="B18" s="129">
        <v>177.1</v>
      </c>
      <c r="C18" s="129">
        <v>177.8</v>
      </c>
      <c r="D18" s="129">
        <v>178.8</v>
      </c>
      <c r="E18" s="129">
        <v>179.8</v>
      </c>
      <c r="F18" s="129">
        <v>179.8</v>
      </c>
      <c r="G18" s="129">
        <v>179.9</v>
      </c>
      <c r="H18" s="129">
        <v>180.1</v>
      </c>
      <c r="I18" s="129">
        <v>180.7</v>
      </c>
      <c r="J18" s="129">
        <v>181</v>
      </c>
      <c r="K18" s="129">
        <v>181.3</v>
      </c>
      <c r="L18" s="129">
        <v>181.3</v>
      </c>
      <c r="M18" s="129">
        <v>180.9</v>
      </c>
      <c r="N18" s="129">
        <v>179.9</v>
      </c>
      <c r="O18" s="129">
        <v>178.9</v>
      </c>
      <c r="P18" s="187"/>
    </row>
    <row r="19" spans="1:16" ht="13.5" thickBot="1">
      <c r="A19" s="166">
        <v>2003</v>
      </c>
      <c r="B19" s="130">
        <v>181.7</v>
      </c>
      <c r="C19" s="130">
        <v>183.1</v>
      </c>
      <c r="D19" s="130">
        <v>184.2</v>
      </c>
      <c r="E19" s="130">
        <v>183.8</v>
      </c>
      <c r="F19" s="130">
        <v>183.5</v>
      </c>
      <c r="G19" s="130">
        <v>183.7</v>
      </c>
      <c r="H19" s="130">
        <v>183.9</v>
      </c>
      <c r="I19" s="130">
        <v>184.6</v>
      </c>
      <c r="J19" s="130">
        <v>185.2</v>
      </c>
      <c r="K19" s="130">
        <v>185</v>
      </c>
      <c r="L19" s="130">
        <v>184.5</v>
      </c>
      <c r="M19" s="130">
        <v>184.3</v>
      </c>
      <c r="N19" s="130">
        <v>184</v>
      </c>
      <c r="O19" s="130">
        <v>183.3</v>
      </c>
      <c r="P19" s="187"/>
    </row>
    <row r="20" spans="1:16" ht="13.5" thickBot="1">
      <c r="A20" s="165">
        <v>2004</v>
      </c>
      <c r="B20" s="129">
        <v>185.2</v>
      </c>
      <c r="C20" s="129">
        <v>186.2</v>
      </c>
      <c r="D20" s="129">
        <v>187.4</v>
      </c>
      <c r="E20" s="129">
        <v>188</v>
      </c>
      <c r="F20" s="129">
        <v>189.1</v>
      </c>
      <c r="G20" s="129">
        <v>189.7</v>
      </c>
      <c r="H20" s="129">
        <v>189.4</v>
      </c>
      <c r="I20" s="129">
        <v>189.5</v>
      </c>
      <c r="J20" s="129">
        <v>189.9</v>
      </c>
      <c r="K20" s="129">
        <v>190.9</v>
      </c>
      <c r="L20" s="129">
        <v>191</v>
      </c>
      <c r="M20" s="129">
        <v>190.3</v>
      </c>
      <c r="N20" s="129">
        <v>188.9</v>
      </c>
      <c r="O20" s="129">
        <v>187.6</v>
      </c>
      <c r="P20" s="187"/>
    </row>
    <row r="21" spans="1:16" ht="13.5" thickBot="1">
      <c r="A21" s="166">
        <v>2005</v>
      </c>
      <c r="B21" s="130">
        <v>190.7</v>
      </c>
      <c r="C21" s="130">
        <v>191.8</v>
      </c>
      <c r="D21" s="130">
        <v>193.3</v>
      </c>
      <c r="E21" s="130">
        <v>194.6</v>
      </c>
      <c r="F21" s="130">
        <v>194.4</v>
      </c>
      <c r="G21" s="130">
        <v>194.5</v>
      </c>
      <c r="H21" s="130">
        <v>195.4</v>
      </c>
      <c r="I21" s="130">
        <v>196.4</v>
      </c>
      <c r="J21" s="130">
        <v>198.8</v>
      </c>
      <c r="K21" s="130">
        <v>199.2</v>
      </c>
      <c r="L21" s="130">
        <v>197.6</v>
      </c>
      <c r="M21" s="130">
        <v>196.8</v>
      </c>
      <c r="N21" s="130">
        <v>195.3</v>
      </c>
      <c r="O21" s="130">
        <v>193.2</v>
      </c>
      <c r="P21" s="187"/>
    </row>
    <row r="22" spans="1:16" ht="13.5" thickBot="1">
      <c r="A22" s="165">
        <v>2006</v>
      </c>
      <c r="B22" s="129">
        <v>198.3</v>
      </c>
      <c r="C22" s="129">
        <v>198.7</v>
      </c>
      <c r="D22" s="129">
        <v>199.8</v>
      </c>
      <c r="E22" s="129">
        <v>201.5</v>
      </c>
      <c r="F22" s="129">
        <v>202.5</v>
      </c>
      <c r="G22" s="129">
        <v>202.9</v>
      </c>
      <c r="H22" s="129">
        <v>203.5</v>
      </c>
      <c r="I22" s="129">
        <v>203.9</v>
      </c>
      <c r="J22" s="129">
        <v>202.9</v>
      </c>
      <c r="K22" s="129">
        <v>201.8</v>
      </c>
      <c r="L22" s="129">
        <v>201.5</v>
      </c>
      <c r="M22" s="129">
        <v>201.8</v>
      </c>
      <c r="N22" s="129">
        <v>201.6</v>
      </c>
      <c r="O22" s="129">
        <v>200.6</v>
      </c>
      <c r="P22" s="187"/>
    </row>
    <row r="23" spans="1:16" ht="13.5" thickBot="1">
      <c r="A23" s="166">
        <v>2007</v>
      </c>
      <c r="B23" s="130">
        <v>202.416</v>
      </c>
      <c r="C23" s="130">
        <v>203.499</v>
      </c>
      <c r="D23" s="130">
        <v>205.352</v>
      </c>
      <c r="E23" s="130">
        <v>206.68600000000001</v>
      </c>
      <c r="F23" s="130">
        <v>207.94900000000001</v>
      </c>
      <c r="G23" s="130">
        <v>208.352</v>
      </c>
      <c r="H23" s="130">
        <v>208.29900000000001</v>
      </c>
      <c r="I23" s="130">
        <v>207.917</v>
      </c>
      <c r="J23" s="130">
        <v>208.49</v>
      </c>
      <c r="K23" s="130">
        <v>208.93600000000001</v>
      </c>
      <c r="L23" s="130">
        <v>210.17699999999999</v>
      </c>
      <c r="M23" s="130">
        <v>210.036</v>
      </c>
      <c r="N23" s="130">
        <v>207.34200000000001</v>
      </c>
      <c r="O23" s="130">
        <v>205.709</v>
      </c>
      <c r="P23" s="187"/>
    </row>
    <row r="24" spans="1:16" ht="13.5" thickBot="1">
      <c r="A24" s="165">
        <v>2008</v>
      </c>
      <c r="B24" s="129">
        <v>211.08</v>
      </c>
      <c r="C24" s="129">
        <v>211.69300000000001</v>
      </c>
      <c r="D24" s="129">
        <v>213.52799999999999</v>
      </c>
      <c r="E24" s="129">
        <v>214.82300000000001</v>
      </c>
      <c r="F24" s="129">
        <v>216.63200000000001</v>
      </c>
      <c r="G24" s="129">
        <v>218.815</v>
      </c>
      <c r="H24" s="129">
        <v>219.964</v>
      </c>
      <c r="I24" s="129">
        <v>219.08600000000001</v>
      </c>
      <c r="J24" s="129">
        <v>218.78299999999999</v>
      </c>
      <c r="K24" s="129">
        <v>216.57300000000001</v>
      </c>
      <c r="L24" s="129">
        <v>212.42500000000001</v>
      </c>
      <c r="M24" s="129">
        <v>210.22800000000001</v>
      </c>
      <c r="N24" s="129">
        <v>215.303</v>
      </c>
      <c r="O24" s="129">
        <v>214.429</v>
      </c>
      <c r="P24" s="187"/>
    </row>
    <row r="25" spans="1:16" ht="13.5" thickBot="1">
      <c r="A25" s="166">
        <v>2009</v>
      </c>
      <c r="B25" s="130">
        <v>211.143</v>
      </c>
      <c r="C25" s="130">
        <v>212.19300000000001</v>
      </c>
      <c r="D25" s="130">
        <v>212.709</v>
      </c>
      <c r="E25" s="130">
        <v>213.24</v>
      </c>
      <c r="F25" s="130">
        <v>213.85599999999999</v>
      </c>
      <c r="G25" s="130">
        <v>215.69300000000001</v>
      </c>
      <c r="H25" s="130">
        <v>215.351</v>
      </c>
      <c r="I25" s="130">
        <v>215.834</v>
      </c>
      <c r="J25" s="130">
        <v>215.96899999999999</v>
      </c>
      <c r="K25" s="130">
        <v>216.17699999999999</v>
      </c>
      <c r="L25" s="130">
        <v>216.33</v>
      </c>
      <c r="M25" s="130">
        <v>215.94900000000001</v>
      </c>
      <c r="N25" s="130">
        <v>214.53700000000001</v>
      </c>
      <c r="O25" s="130">
        <v>213.13900000000001</v>
      </c>
      <c r="P25" s="187"/>
    </row>
    <row r="26" spans="1:16" ht="13.5" thickBot="1">
      <c r="A26" s="167">
        <v>2010</v>
      </c>
      <c r="B26" s="131">
        <v>216.68700000000001</v>
      </c>
      <c r="C26" s="131">
        <v>216.74100000000001</v>
      </c>
      <c r="D26" s="131">
        <v>217.631</v>
      </c>
      <c r="E26" s="131">
        <v>218.00899999999999</v>
      </c>
      <c r="F26" s="131">
        <v>218.178</v>
      </c>
      <c r="G26" s="131">
        <v>217.965</v>
      </c>
      <c r="H26" s="131">
        <v>218.011</v>
      </c>
      <c r="I26" s="131">
        <v>218.31200000000001</v>
      </c>
      <c r="J26" s="131">
        <v>218.43899999999999</v>
      </c>
      <c r="K26" s="131">
        <v>218.71100000000001</v>
      </c>
      <c r="L26" s="131">
        <v>218.803</v>
      </c>
      <c r="M26" s="131">
        <v>219.179</v>
      </c>
      <c r="N26" s="131">
        <v>218.05600000000001</v>
      </c>
      <c r="O26" s="131">
        <v>217.5</v>
      </c>
      <c r="P26" s="187"/>
    </row>
    <row r="27" spans="1:16" ht="13.5" thickBot="1">
      <c r="A27" s="164">
        <v>2011</v>
      </c>
      <c r="B27" s="153">
        <v>220.22300000000001</v>
      </c>
      <c r="C27" s="153">
        <v>221.309</v>
      </c>
      <c r="D27" s="153">
        <v>223.46700000000001</v>
      </c>
      <c r="E27" s="153">
        <v>224.90600000000001</v>
      </c>
      <c r="F27" s="153">
        <v>225.964</v>
      </c>
      <c r="G27" s="153">
        <v>225.72200000000001</v>
      </c>
      <c r="H27" s="153">
        <v>225.922</v>
      </c>
      <c r="I27" s="153">
        <v>226.54499999999999</v>
      </c>
      <c r="J27" s="153">
        <v>226.88900000000001</v>
      </c>
      <c r="K27" s="153">
        <v>226.42099999999999</v>
      </c>
      <c r="L27" s="153">
        <v>226.23</v>
      </c>
      <c r="M27" s="153">
        <v>225.672</v>
      </c>
      <c r="N27" s="153">
        <v>224.93899999999999</v>
      </c>
      <c r="O27" s="153">
        <v>223.59800000000001</v>
      </c>
      <c r="P27" s="187"/>
    </row>
    <row r="28" spans="1:16" ht="13.5" thickBot="1">
      <c r="A28" s="167">
        <v>2012</v>
      </c>
      <c r="B28" s="202">
        <v>226.66499999999999</v>
      </c>
      <c r="C28" s="202">
        <v>227.66300000000001</v>
      </c>
      <c r="D28" s="202">
        <v>229.392</v>
      </c>
      <c r="E28" s="202">
        <v>230.08500000000001</v>
      </c>
      <c r="F28" s="202">
        <v>229.815</v>
      </c>
      <c r="G28" s="202">
        <v>229.47800000000001</v>
      </c>
      <c r="H28" s="202">
        <v>229.10400000000001</v>
      </c>
      <c r="I28" s="202">
        <v>230.37899999999999</v>
      </c>
      <c r="J28" s="202">
        <v>231.40700000000001</v>
      </c>
      <c r="K28" s="202">
        <v>231.31700000000001</v>
      </c>
      <c r="L28" s="202">
        <v>230.221</v>
      </c>
      <c r="M28" s="202">
        <v>229.601</v>
      </c>
      <c r="N28" s="202">
        <v>229.59399999999999</v>
      </c>
      <c r="O28" s="202">
        <v>228.85</v>
      </c>
      <c r="P28" s="187"/>
    </row>
    <row r="29" spans="1:16" ht="13.5" thickBot="1">
      <c r="A29" s="164">
        <v>2013</v>
      </c>
      <c r="B29" s="240">
        <v>230.28</v>
      </c>
      <c r="C29" s="240">
        <v>232.166</v>
      </c>
      <c r="D29" s="240">
        <v>232.773</v>
      </c>
      <c r="E29" s="240">
        <v>232.53100000000001</v>
      </c>
      <c r="F29" s="240">
        <v>232.94499999999999</v>
      </c>
      <c r="G29" s="240">
        <v>233.50399999999999</v>
      </c>
      <c r="H29" s="240">
        <v>233.596</v>
      </c>
      <c r="I29" s="240">
        <v>233.87700000000001</v>
      </c>
      <c r="J29" s="240">
        <v>234.149</v>
      </c>
      <c r="K29" s="240">
        <v>233.54599999999999</v>
      </c>
      <c r="L29" s="240">
        <v>233.06899999999999</v>
      </c>
      <c r="M29" s="240">
        <v>233.04900000000001</v>
      </c>
      <c r="N29" s="153">
        <v>232.95699999999999</v>
      </c>
      <c r="O29" s="153">
        <v>232.36600000000001</v>
      </c>
    </row>
    <row r="30" spans="1:16" ht="13.5" thickBot="1">
      <c r="A30" s="167">
        <v>2014</v>
      </c>
      <c r="B30" s="245">
        <v>233.916</v>
      </c>
      <c r="C30" s="246">
        <v>234.78100000000001</v>
      </c>
      <c r="D30" s="246">
        <v>236.29300000000001</v>
      </c>
      <c r="E30" s="246">
        <v>237.072</v>
      </c>
      <c r="F30" s="246">
        <v>237.9</v>
      </c>
      <c r="G30" s="246">
        <v>238.34299999999999</v>
      </c>
      <c r="H30" s="246">
        <v>238.25</v>
      </c>
      <c r="I30" s="246">
        <v>237.852</v>
      </c>
      <c r="J30" s="246">
        <v>238.03100000000001</v>
      </c>
      <c r="K30" s="246">
        <v>237.43299999999999</v>
      </c>
      <c r="L30" s="246">
        <v>236.15100000000001</v>
      </c>
      <c r="M30" s="246">
        <v>234.81200000000001</v>
      </c>
      <c r="N30" s="246">
        <v>236.73599999999999</v>
      </c>
      <c r="O30" s="246">
        <v>236.38399999999999</v>
      </c>
    </row>
    <row r="31" spans="1:16">
      <c r="A31" s="161" t="s">
        <v>114</v>
      </c>
      <c r="E31" s="132">
        <f t="shared" ref="E31:E38" si="0">AVERAGE(B22:M22)</f>
        <v>201.5916666666667</v>
      </c>
      <c r="O31" s="187"/>
    </row>
    <row r="32" spans="1:16">
      <c r="A32" s="161" t="s">
        <v>115</v>
      </c>
      <c r="E32" s="132">
        <f t="shared" si="0"/>
        <v>207.34241666666671</v>
      </c>
      <c r="O32" s="187"/>
      <c r="P32" s="187"/>
    </row>
    <row r="33" spans="1:16">
      <c r="A33" s="161" t="s">
        <v>172</v>
      </c>
      <c r="E33" s="132">
        <f t="shared" si="0"/>
        <v>215.30250000000001</v>
      </c>
      <c r="O33" s="187"/>
      <c r="P33" s="187"/>
    </row>
    <row r="34" spans="1:16">
      <c r="A34" s="161" t="s">
        <v>176</v>
      </c>
      <c r="E34" s="132">
        <f t="shared" si="0"/>
        <v>214.53700000000001</v>
      </c>
      <c r="O34" s="187"/>
      <c r="P34" s="187"/>
    </row>
    <row r="35" spans="1:16">
      <c r="A35" s="161" t="s">
        <v>179</v>
      </c>
      <c r="E35" s="132">
        <f t="shared" si="0"/>
        <v>218.05550000000002</v>
      </c>
      <c r="O35" s="187"/>
      <c r="P35" s="187"/>
    </row>
    <row r="36" spans="1:16">
      <c r="A36" s="161" t="s">
        <v>190</v>
      </c>
      <c r="E36" s="132">
        <f t="shared" si="0"/>
        <v>224.93916666666667</v>
      </c>
      <c r="O36" s="187"/>
      <c r="P36" s="187"/>
    </row>
    <row r="37" spans="1:16">
      <c r="A37" s="161" t="s">
        <v>191</v>
      </c>
      <c r="E37" s="132">
        <f t="shared" si="0"/>
        <v>229.5939166666667</v>
      </c>
      <c r="O37" s="187"/>
      <c r="P37" s="187"/>
    </row>
    <row r="38" spans="1:16">
      <c r="A38" s="161" t="s">
        <v>193</v>
      </c>
      <c r="E38" s="132">
        <f t="shared" si="0"/>
        <v>232.95708333333332</v>
      </c>
      <c r="O38" s="187"/>
      <c r="P38" s="187"/>
    </row>
    <row r="39" spans="1:16">
      <c r="A39" s="162" t="s">
        <v>201</v>
      </c>
      <c r="E39" s="101">
        <v>236.74</v>
      </c>
      <c r="O39" s="187"/>
      <c r="P39" s="187"/>
    </row>
    <row r="40" spans="1:16">
      <c r="A40" s="155" t="s">
        <v>202</v>
      </c>
      <c r="E40" s="102">
        <f>ROUND((E39-E31)/E31,4)</f>
        <v>0.1744</v>
      </c>
      <c r="O40" s="187"/>
      <c r="P40" s="187"/>
    </row>
    <row r="41" spans="1:16">
      <c r="E41" s="104"/>
      <c r="O41" s="187"/>
      <c r="P41" s="187"/>
    </row>
    <row r="42" spans="1:16">
      <c r="O42" s="187"/>
      <c r="P42" s="187"/>
    </row>
    <row r="43" spans="1:16">
      <c r="A43" s="163"/>
      <c r="B43"/>
      <c r="C43"/>
      <c r="D43"/>
      <c r="E43"/>
      <c r="F43"/>
      <c r="G43"/>
      <c r="H43"/>
      <c r="I43"/>
      <c r="J43"/>
      <c r="K43"/>
      <c r="L43"/>
      <c r="M43"/>
      <c r="N43"/>
      <c r="O43" s="199"/>
      <c r="P43" s="187"/>
    </row>
    <row r="44" spans="1:16">
      <c r="O44" s="187"/>
      <c r="P44" s="187"/>
    </row>
    <row r="45" spans="1:16">
      <c r="O45" s="187"/>
      <c r="P45" s="187"/>
    </row>
    <row r="46" spans="1:16">
      <c r="O46" s="187"/>
      <c r="P46" s="187"/>
    </row>
    <row r="47" spans="1:16">
      <c r="O47" s="187"/>
      <c r="P47" s="187"/>
    </row>
    <row r="48" spans="1:16">
      <c r="O48" s="187"/>
      <c r="P48" s="187"/>
    </row>
    <row r="49" spans="15:16">
      <c r="O49" s="187"/>
      <c r="P49" s="187"/>
    </row>
    <row r="50" spans="15:16">
      <c r="O50" s="187"/>
      <c r="P50" s="187"/>
    </row>
    <row r="51" spans="15:16">
      <c r="O51" s="187"/>
      <c r="P51" s="187"/>
    </row>
    <row r="52" spans="15:16">
      <c r="O52" s="187"/>
      <c r="P52" s="187"/>
    </row>
    <row r="53" spans="15:16">
      <c r="P53" s="187"/>
    </row>
  </sheetData>
  <mergeCells count="1">
    <mergeCell ref="A14:O14"/>
  </mergeCells>
  <phoneticPr fontId="10" type="noConversion"/>
  <printOptions horizontalCentered="1"/>
  <pageMargins left="1" right="1" top="1" bottom="1" header="0.5" footer="0.5"/>
  <pageSetup scale="75" firstPageNumber="2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topLeftCell="A15" zoomScaleNormal="100" zoomScaleSheetLayoutView="85" workbookViewId="0">
      <selection activeCell="L32" sqref="L32"/>
    </sheetView>
  </sheetViews>
  <sheetFormatPr defaultColWidth="10.6640625" defaultRowHeight="12.75"/>
  <cols>
    <col min="1" max="1" width="7.1640625" style="101" customWidth="1"/>
    <col min="2" max="2" width="37.5" style="101" customWidth="1"/>
    <col min="3" max="3" width="3.5" style="101" customWidth="1"/>
    <col min="4" max="4" width="20.6640625" style="238" bestFit="1" customWidth="1"/>
    <col min="5" max="5" width="20.6640625" style="231" bestFit="1" customWidth="1"/>
    <col min="6" max="6" width="19.33203125" style="101" bestFit="1" customWidth="1"/>
    <col min="7" max="7" width="11.6640625" style="101" bestFit="1" customWidth="1"/>
    <col min="8" max="8" width="10.6640625" style="101"/>
    <col min="9" max="10" width="20.6640625" style="101" bestFit="1" customWidth="1"/>
    <col min="11" max="11" width="14" style="101" bestFit="1" customWidth="1"/>
    <col min="12" max="16384" width="10.6640625" style="101"/>
  </cols>
  <sheetData>
    <row r="1" spans="1:8">
      <c r="A1" s="263" t="s">
        <v>91</v>
      </c>
      <c r="B1" s="263"/>
      <c r="C1" s="263"/>
      <c r="D1" s="263"/>
      <c r="E1" s="263"/>
      <c r="F1" s="263"/>
      <c r="G1" s="263"/>
    </row>
    <row r="2" spans="1:8">
      <c r="A2" s="263" t="s">
        <v>97</v>
      </c>
      <c r="B2" s="263"/>
      <c r="C2" s="263"/>
      <c r="D2" s="263"/>
      <c r="E2" s="263"/>
      <c r="F2" s="263"/>
      <c r="G2" s="263"/>
    </row>
    <row r="3" spans="1:8" s="231" customFormat="1">
      <c r="A3" s="264" t="s">
        <v>197</v>
      </c>
      <c r="B3" s="264"/>
      <c r="C3" s="264"/>
      <c r="D3" s="264"/>
      <c r="E3" s="264"/>
      <c r="F3" s="264"/>
      <c r="G3" s="264"/>
    </row>
    <row r="4" spans="1:8">
      <c r="A4" s="197"/>
      <c r="B4" s="197"/>
      <c r="C4" s="197"/>
      <c r="D4" s="230"/>
      <c r="E4" s="230"/>
      <c r="F4" s="197"/>
      <c r="G4" s="197"/>
    </row>
    <row r="5" spans="1:8">
      <c r="A5" s="197"/>
      <c r="B5" s="197"/>
      <c r="C5" s="197"/>
      <c r="D5" s="230"/>
      <c r="E5" s="230"/>
      <c r="F5" s="197"/>
      <c r="G5" s="197"/>
    </row>
    <row r="6" spans="1:8" ht="12" customHeight="1">
      <c r="A6" s="197"/>
      <c r="B6" s="197"/>
      <c r="C6" s="197"/>
      <c r="D6" s="230"/>
      <c r="E6" s="230"/>
      <c r="F6" s="197"/>
      <c r="G6" s="197"/>
    </row>
    <row r="7" spans="1:8">
      <c r="A7" s="91"/>
      <c r="D7" s="231"/>
    </row>
    <row r="8" spans="1:8">
      <c r="A8" s="137" t="s">
        <v>116</v>
      </c>
      <c r="B8" s="137"/>
      <c r="C8" s="137"/>
      <c r="D8" s="233" t="s">
        <v>192</v>
      </c>
      <c r="E8" s="233" t="s">
        <v>198</v>
      </c>
      <c r="F8" s="140" t="s">
        <v>180</v>
      </c>
      <c r="G8" s="141" t="s">
        <v>181</v>
      </c>
      <c r="H8" s="137"/>
    </row>
    <row r="9" spans="1:8">
      <c r="A9" s="137" t="s">
        <v>117</v>
      </c>
      <c r="B9" s="137" t="s">
        <v>118</v>
      </c>
      <c r="C9" s="137"/>
      <c r="D9" s="149">
        <v>18523</v>
      </c>
      <c r="E9" s="149">
        <v>19</v>
      </c>
      <c r="F9" s="135">
        <f>E9-D9</f>
        <v>-18504</v>
      </c>
      <c r="G9" s="134">
        <f t="shared" ref="G9:G14" si="0">F9/D9</f>
        <v>-0.99897424823192782</v>
      </c>
      <c r="H9" s="139"/>
    </row>
    <row r="10" spans="1:8">
      <c r="A10" s="137" t="s">
        <v>119</v>
      </c>
      <c r="B10" s="137" t="s">
        <v>120</v>
      </c>
      <c r="C10" s="137"/>
      <c r="D10" s="149">
        <v>482615</v>
      </c>
      <c r="E10" s="149">
        <v>498343.87</v>
      </c>
      <c r="F10" s="135">
        <f>E10-D10</f>
        <v>15728.869999999995</v>
      </c>
      <c r="G10" s="134">
        <f t="shared" si="0"/>
        <v>3.2590926514923894E-2</v>
      </c>
      <c r="H10" s="137"/>
    </row>
    <row r="11" spans="1:8">
      <c r="A11" s="137" t="s">
        <v>121</v>
      </c>
      <c r="B11" s="137" t="s">
        <v>122</v>
      </c>
      <c r="C11" s="137"/>
      <c r="D11" s="149">
        <v>3449046</v>
      </c>
      <c r="E11" s="149">
        <v>3544043.84</v>
      </c>
      <c r="F11" s="135">
        <f>E11-D11</f>
        <v>94997.839999999851</v>
      </c>
      <c r="G11" s="134">
        <f t="shared" si="0"/>
        <v>2.7543222096776863E-2</v>
      </c>
      <c r="H11" s="137"/>
    </row>
    <row r="12" spans="1:8">
      <c r="A12" s="137" t="s">
        <v>123</v>
      </c>
      <c r="B12" s="137" t="s">
        <v>124</v>
      </c>
      <c r="C12" s="137"/>
      <c r="D12" s="149">
        <v>778477</v>
      </c>
      <c r="E12" s="149">
        <v>1107084.97</v>
      </c>
      <c r="F12" s="135">
        <f>E12-D12</f>
        <v>328607.96999999997</v>
      </c>
      <c r="G12" s="134">
        <f t="shared" si="0"/>
        <v>0.42211647871420732</v>
      </c>
      <c r="H12" s="139"/>
    </row>
    <row r="13" spans="1:8">
      <c r="A13" s="137" t="s">
        <v>125</v>
      </c>
      <c r="B13" s="137" t="s">
        <v>126</v>
      </c>
      <c r="C13" s="137"/>
      <c r="D13" s="149">
        <v>6954</v>
      </c>
      <c r="E13" s="149">
        <v>4274.5600000000004</v>
      </c>
      <c r="F13" s="135">
        <f>E13-D13</f>
        <v>-2679.4399999999996</v>
      </c>
      <c r="G13" s="134">
        <f t="shared" si="0"/>
        <v>-0.38530917457578368</v>
      </c>
      <c r="H13" s="139"/>
    </row>
    <row r="14" spans="1:8">
      <c r="A14" s="133" t="s">
        <v>183</v>
      </c>
      <c r="B14" s="137"/>
      <c r="C14" s="137"/>
      <c r="D14" s="234">
        <f>SUM(D9:D13)</f>
        <v>4735615</v>
      </c>
      <c r="E14" s="234">
        <f>SUM(E9:E13)</f>
        <v>5153766.2399999993</v>
      </c>
      <c r="F14" s="143">
        <f>SUM(F9:F13)</f>
        <v>418151.23999999982</v>
      </c>
      <c r="G14" s="144">
        <f t="shared" si="0"/>
        <v>8.8299247299453154E-2</v>
      </c>
      <c r="H14" s="137"/>
    </row>
    <row r="15" spans="1:8">
      <c r="A15" s="137"/>
      <c r="B15" s="137"/>
      <c r="C15" s="137"/>
      <c r="D15" s="149"/>
      <c r="E15" s="149"/>
      <c r="F15" s="135"/>
      <c r="G15" s="134"/>
      <c r="H15" s="137"/>
    </row>
    <row r="16" spans="1:8">
      <c r="A16" s="137" t="s">
        <v>127</v>
      </c>
      <c r="B16" s="137"/>
      <c r="C16" s="137"/>
      <c r="D16" s="149"/>
      <c r="E16" s="149"/>
      <c r="F16" s="135"/>
      <c r="G16" s="134"/>
      <c r="H16" s="137"/>
    </row>
    <row r="17" spans="1:8">
      <c r="A17" s="137" t="s">
        <v>128</v>
      </c>
      <c r="B17" s="137" t="s">
        <v>118</v>
      </c>
      <c r="C17" s="137"/>
      <c r="D17" s="235">
        <v>0</v>
      </c>
      <c r="E17" s="235">
        <v>0</v>
      </c>
      <c r="F17" s="135">
        <f>E17-D17</f>
        <v>0</v>
      </c>
      <c r="G17" s="232" t="s">
        <v>13</v>
      </c>
      <c r="H17" s="137"/>
    </row>
    <row r="18" spans="1:8">
      <c r="A18" s="137" t="s">
        <v>129</v>
      </c>
      <c r="B18" s="137" t="s">
        <v>130</v>
      </c>
      <c r="C18" s="137"/>
      <c r="D18" s="149">
        <v>1076400</v>
      </c>
      <c r="E18" s="149">
        <v>1033285.73</v>
      </c>
      <c r="F18" s="135">
        <f>E18-D18</f>
        <v>-43114.270000000019</v>
      </c>
      <c r="G18" s="134">
        <f>F18/D18</f>
        <v>-4.0054134150873298E-2</v>
      </c>
      <c r="H18" s="137"/>
    </row>
    <row r="19" spans="1:8">
      <c r="A19" s="137" t="s">
        <v>131</v>
      </c>
      <c r="B19" s="137" t="s">
        <v>132</v>
      </c>
      <c r="C19" s="137"/>
      <c r="D19" s="149">
        <v>22294</v>
      </c>
      <c r="E19" s="149">
        <v>24515.95</v>
      </c>
      <c r="F19" s="135">
        <f>E19-D19</f>
        <v>2221.9500000000007</v>
      </c>
      <c r="G19" s="134">
        <f>F19/D19</f>
        <v>9.9665829371131276E-2</v>
      </c>
      <c r="H19" s="137"/>
    </row>
    <row r="20" spans="1:8">
      <c r="A20" s="137" t="s">
        <v>133</v>
      </c>
      <c r="B20" s="137" t="s">
        <v>134</v>
      </c>
      <c r="C20" s="137"/>
      <c r="D20" s="149">
        <v>0</v>
      </c>
      <c r="E20" s="149">
        <v>269.26</v>
      </c>
      <c r="F20" s="135">
        <f>E20-D20</f>
        <v>269.26</v>
      </c>
      <c r="G20" s="232" t="s">
        <v>13</v>
      </c>
      <c r="H20" s="139"/>
    </row>
    <row r="21" spans="1:8">
      <c r="A21" s="133" t="s">
        <v>184</v>
      </c>
      <c r="B21" s="137"/>
      <c r="C21" s="137"/>
      <c r="D21" s="234">
        <f>SUM(D17:D20)</f>
        <v>1098694</v>
      </c>
      <c r="E21" s="234">
        <f>SUM(E17:E20)</f>
        <v>1058070.94</v>
      </c>
      <c r="F21" s="143">
        <f>SUM(F17:F20)</f>
        <v>-40623.060000000019</v>
      </c>
      <c r="G21" s="144">
        <f>F21/D21</f>
        <v>-3.697395271112796E-2</v>
      </c>
      <c r="H21" s="137"/>
    </row>
    <row r="22" spans="1:8">
      <c r="A22" s="137"/>
      <c r="B22" s="137"/>
      <c r="C22" s="137"/>
      <c r="D22" s="149"/>
      <c r="E22" s="149"/>
      <c r="F22" s="135"/>
      <c r="G22" s="134"/>
      <c r="H22" s="137"/>
    </row>
    <row r="23" spans="1:8">
      <c r="A23" s="137" t="s">
        <v>135</v>
      </c>
      <c r="B23" s="137"/>
      <c r="C23" s="137"/>
      <c r="D23" s="149"/>
      <c r="E23" s="149"/>
      <c r="F23" s="135"/>
      <c r="G23" s="134"/>
      <c r="H23" s="137"/>
    </row>
    <row r="24" spans="1:8">
      <c r="A24" s="137" t="s">
        <v>136</v>
      </c>
      <c r="B24" s="137" t="s">
        <v>118</v>
      </c>
      <c r="C24" s="137"/>
      <c r="D24" s="149">
        <v>0</v>
      </c>
      <c r="E24" s="149">
        <v>0</v>
      </c>
      <c r="F24" s="135">
        <f>E24-D24</f>
        <v>0</v>
      </c>
      <c r="G24" s="134"/>
      <c r="H24" s="137"/>
    </row>
    <row r="25" spans="1:8">
      <c r="A25" s="137" t="s">
        <v>137</v>
      </c>
      <c r="B25" s="137" t="s">
        <v>138</v>
      </c>
      <c r="C25" s="137"/>
      <c r="D25" s="149">
        <v>0</v>
      </c>
      <c r="E25" s="149">
        <v>0</v>
      </c>
      <c r="F25" s="135">
        <f>E25-D25</f>
        <v>0</v>
      </c>
      <c r="G25" s="134"/>
      <c r="H25" s="137"/>
    </row>
    <row r="26" spans="1:8">
      <c r="A26" s="137" t="s">
        <v>139</v>
      </c>
      <c r="B26" s="137" t="s">
        <v>12</v>
      </c>
      <c r="C26" s="137"/>
      <c r="D26" s="149">
        <v>6948</v>
      </c>
      <c r="E26" s="149">
        <v>9412.3700000000008</v>
      </c>
      <c r="F26" s="135">
        <f>E26-D26</f>
        <v>2464.3700000000008</v>
      </c>
      <c r="G26" s="134">
        <f>F26/D26</f>
        <v>0.3546876799078873</v>
      </c>
      <c r="H26" s="137"/>
    </row>
    <row r="27" spans="1:8">
      <c r="A27" s="137" t="s">
        <v>140</v>
      </c>
      <c r="B27" s="137" t="s">
        <v>141</v>
      </c>
      <c r="C27" s="137"/>
      <c r="D27" s="149">
        <v>0</v>
      </c>
      <c r="E27" s="149">
        <v>0</v>
      </c>
      <c r="F27" s="135">
        <f>E27-D27</f>
        <v>0</v>
      </c>
      <c r="G27" s="134"/>
      <c r="H27" s="137"/>
    </row>
    <row r="28" spans="1:8">
      <c r="A28" s="133" t="s">
        <v>185</v>
      </c>
      <c r="B28" s="137"/>
      <c r="C28" s="137"/>
      <c r="D28" s="234">
        <f>SUM(D24:D27)</f>
        <v>6948</v>
      </c>
      <c r="E28" s="234">
        <f>SUM(E24:E27)</f>
        <v>9412.3700000000008</v>
      </c>
      <c r="F28" s="143">
        <f>SUM(F24:F27)</f>
        <v>2464.3700000000008</v>
      </c>
      <c r="G28" s="144">
        <f>F28/D28</f>
        <v>0.3546876799078873</v>
      </c>
      <c r="H28" s="137"/>
    </row>
    <row r="29" spans="1:8">
      <c r="A29" s="137"/>
      <c r="B29" s="137"/>
      <c r="C29" s="137"/>
      <c r="D29" s="149"/>
      <c r="E29" s="149"/>
      <c r="F29" s="135"/>
      <c r="G29" s="134"/>
      <c r="H29" s="137"/>
    </row>
    <row r="30" spans="1:8">
      <c r="A30" s="137" t="s">
        <v>142</v>
      </c>
      <c r="B30" s="137"/>
      <c r="C30" s="137"/>
      <c r="D30" s="149"/>
      <c r="E30" s="149"/>
      <c r="F30" s="135"/>
      <c r="G30" s="134"/>
      <c r="H30" s="137"/>
    </row>
    <row r="31" spans="1:8">
      <c r="A31" s="137" t="s">
        <v>143</v>
      </c>
      <c r="B31" s="137" t="s">
        <v>144</v>
      </c>
      <c r="C31" s="137"/>
      <c r="D31" s="149">
        <v>4753695</v>
      </c>
      <c r="E31" s="149">
        <v>5181959.18</v>
      </c>
      <c r="F31" s="135">
        <f t="shared" ref="F31:F41" si="1">E31-D31</f>
        <v>428264.1799999997</v>
      </c>
      <c r="G31" s="134">
        <f t="shared" ref="G31:G41" si="2">F31/D31</f>
        <v>9.009079884174305E-2</v>
      </c>
      <c r="H31" s="137"/>
    </row>
    <row r="32" spans="1:8">
      <c r="A32" s="137" t="s">
        <v>145</v>
      </c>
      <c r="B32" s="137" t="s">
        <v>146</v>
      </c>
      <c r="C32" s="137"/>
      <c r="D32" s="149">
        <v>3805828</v>
      </c>
      <c r="E32" s="149">
        <v>4206288.7699999996</v>
      </c>
      <c r="F32" s="135">
        <f t="shared" si="1"/>
        <v>400460.76999999955</v>
      </c>
      <c r="G32" s="134">
        <f t="shared" si="2"/>
        <v>0.10522303425167914</v>
      </c>
      <c r="H32" s="137"/>
    </row>
    <row r="33" spans="1:8">
      <c r="A33" s="137" t="s">
        <v>147</v>
      </c>
      <c r="B33" s="137" t="s">
        <v>148</v>
      </c>
      <c r="C33" s="137"/>
      <c r="D33" s="149">
        <v>583328</v>
      </c>
      <c r="E33" s="149">
        <v>878005.33</v>
      </c>
      <c r="F33" s="135">
        <f t="shared" si="1"/>
        <v>294677.32999999996</v>
      </c>
      <c r="G33" s="134">
        <f t="shared" si="2"/>
        <v>0.50516575580119583</v>
      </c>
      <c r="H33" s="137"/>
    </row>
    <row r="34" spans="1:8">
      <c r="A34" s="137" t="s">
        <v>149</v>
      </c>
      <c r="B34" s="137" t="s">
        <v>150</v>
      </c>
      <c r="C34" s="137"/>
      <c r="D34" s="149">
        <v>59037</v>
      </c>
      <c r="E34" s="149">
        <v>52141.62</v>
      </c>
      <c r="F34" s="135">
        <f t="shared" si="1"/>
        <v>-6895.3799999999974</v>
      </c>
      <c r="G34" s="134">
        <f t="shared" si="2"/>
        <v>-0.11679760150414142</v>
      </c>
      <c r="H34" s="137"/>
    </row>
    <row r="35" spans="1:8">
      <c r="A35" s="137" t="s">
        <v>151</v>
      </c>
      <c r="B35" s="137" t="s">
        <v>152</v>
      </c>
      <c r="C35" s="137"/>
      <c r="D35" s="149">
        <v>909876</v>
      </c>
      <c r="E35" s="149">
        <v>1016647.18</v>
      </c>
      <c r="F35" s="135">
        <f t="shared" si="1"/>
        <v>106771.18000000005</v>
      </c>
      <c r="G35" s="134">
        <f t="shared" si="2"/>
        <v>0.11734695716778995</v>
      </c>
      <c r="H35" s="137"/>
    </row>
    <row r="36" spans="1:8">
      <c r="A36" s="137" t="s">
        <v>153</v>
      </c>
      <c r="B36" s="137" t="s">
        <v>154</v>
      </c>
      <c r="C36" s="137"/>
      <c r="D36" s="149">
        <v>3788516</v>
      </c>
      <c r="E36" s="149">
        <v>4673857.3499999996</v>
      </c>
      <c r="F36" s="135">
        <f t="shared" si="1"/>
        <v>885341.34999999963</v>
      </c>
      <c r="G36" s="134">
        <f t="shared" si="2"/>
        <v>0.23369080399818812</v>
      </c>
      <c r="H36" s="137"/>
    </row>
    <row r="37" spans="1:8">
      <c r="A37" s="137" t="s">
        <v>155</v>
      </c>
      <c r="B37" s="137" t="s">
        <v>156</v>
      </c>
      <c r="C37" s="137"/>
      <c r="D37" s="149">
        <v>0</v>
      </c>
      <c r="E37" s="149">
        <v>0</v>
      </c>
      <c r="F37" s="135">
        <f t="shared" si="1"/>
        <v>0</v>
      </c>
      <c r="G37" s="134"/>
      <c r="H37" s="137"/>
    </row>
    <row r="38" spans="1:8">
      <c r="A38" s="137" t="s">
        <v>157</v>
      </c>
      <c r="B38" s="137" t="s">
        <v>158</v>
      </c>
      <c r="C38" s="137"/>
      <c r="D38" s="149">
        <v>80189</v>
      </c>
      <c r="E38" s="149">
        <v>42783.35</v>
      </c>
      <c r="F38" s="135">
        <f t="shared" si="1"/>
        <v>-37405.65</v>
      </c>
      <c r="G38" s="134">
        <f t="shared" si="2"/>
        <v>-0.46646859294915766</v>
      </c>
      <c r="H38" s="137"/>
    </row>
    <row r="39" spans="1:8">
      <c r="A39" s="137" t="s">
        <v>159</v>
      </c>
      <c r="B39" s="137" t="s">
        <v>160</v>
      </c>
      <c r="C39" s="137"/>
      <c r="D39" s="149">
        <v>520115</v>
      </c>
      <c r="E39" s="149">
        <v>421150.41</v>
      </c>
      <c r="F39" s="135">
        <f t="shared" si="1"/>
        <v>-98964.590000000026</v>
      </c>
      <c r="G39" s="134">
        <f t="shared" si="2"/>
        <v>-0.19027443930669183</v>
      </c>
      <c r="H39" s="137"/>
    </row>
    <row r="40" spans="1:8">
      <c r="A40" s="137" t="s">
        <v>161</v>
      </c>
      <c r="B40" s="137" t="s">
        <v>162</v>
      </c>
      <c r="C40" s="137"/>
      <c r="D40" s="149">
        <v>933704</v>
      </c>
      <c r="E40" s="149">
        <v>925407.36</v>
      </c>
      <c r="F40" s="135">
        <f t="shared" si="1"/>
        <v>-8296.640000000014</v>
      </c>
      <c r="G40" s="134">
        <f t="shared" si="2"/>
        <v>-8.8857282393563844E-3</v>
      </c>
      <c r="H40" s="137"/>
    </row>
    <row r="41" spans="1:8">
      <c r="A41" s="147">
        <v>935</v>
      </c>
      <c r="B41" s="137" t="s">
        <v>163</v>
      </c>
      <c r="C41" s="137"/>
      <c r="D41" s="149">
        <v>80452</v>
      </c>
      <c r="E41" s="149">
        <v>19213.3</v>
      </c>
      <c r="F41" s="135">
        <f t="shared" si="1"/>
        <v>-61238.7</v>
      </c>
      <c r="G41" s="134">
        <f t="shared" si="2"/>
        <v>-0.76118306567891414</v>
      </c>
      <c r="H41" s="139"/>
    </row>
    <row r="42" spans="1:8">
      <c r="A42" s="137"/>
      <c r="B42" s="137"/>
      <c r="C42" s="137"/>
      <c r="D42" s="234">
        <f>SUM(D31:D41)</f>
        <v>15514740</v>
      </c>
      <c r="E42" s="234">
        <f>SUM(E31:E41)</f>
        <v>17417453.849999998</v>
      </c>
      <c r="F42" s="143">
        <f>SUM(F31:F41)</f>
        <v>1902713.8499999994</v>
      </c>
      <c r="G42" s="144">
        <f>F42/D42</f>
        <v>0.12263910642395551</v>
      </c>
      <c r="H42" s="137"/>
    </row>
    <row r="43" spans="1:8">
      <c r="A43" s="137" t="s">
        <v>164</v>
      </c>
      <c r="B43" s="137" t="s">
        <v>165</v>
      </c>
      <c r="C43" s="137"/>
      <c r="D43" s="149">
        <v>-398075</v>
      </c>
      <c r="E43" s="149">
        <v>-401444</v>
      </c>
      <c r="F43" s="135">
        <f>E43-D43</f>
        <v>-3369</v>
      </c>
      <c r="G43" s="134">
        <f>-F43/D43</f>
        <v>-8.4632292909627583E-3</v>
      </c>
      <c r="H43" s="137"/>
    </row>
    <row r="44" spans="1:8">
      <c r="A44" s="133" t="s">
        <v>182</v>
      </c>
      <c r="B44" s="137"/>
      <c r="C44" s="137"/>
      <c r="D44" s="236">
        <f>D42+D43</f>
        <v>15116665</v>
      </c>
      <c r="E44" s="236">
        <f>E42+E43</f>
        <v>17016009.849999998</v>
      </c>
      <c r="F44" s="145">
        <f>F42+F43</f>
        <v>1899344.8499999994</v>
      </c>
      <c r="G44" s="146">
        <f>F44/D44</f>
        <v>0.12564575916711784</v>
      </c>
      <c r="H44" s="137"/>
    </row>
    <row r="45" spans="1:8">
      <c r="A45" s="137"/>
      <c r="B45" s="137"/>
      <c r="C45" s="137"/>
      <c r="D45" s="234"/>
      <c r="E45" s="234"/>
      <c r="F45" s="143"/>
      <c r="G45" s="144"/>
      <c r="H45" s="137"/>
    </row>
    <row r="46" spans="1:8" ht="13.5" thickBot="1">
      <c r="A46" s="137" t="s">
        <v>178</v>
      </c>
      <c r="B46" s="137"/>
      <c r="C46" s="137"/>
      <c r="D46" s="237">
        <f>D14+D21+D28+D44</f>
        <v>20957922</v>
      </c>
      <c r="E46" s="237">
        <f>E14+E21+E28+E44</f>
        <v>23237259.399999999</v>
      </c>
      <c r="F46" s="136">
        <f>F14+F21+F28+F44</f>
        <v>2279337.3999999994</v>
      </c>
      <c r="G46" s="142">
        <f>F46/D46</f>
        <v>0.10875779573948216</v>
      </c>
      <c r="H46" s="137"/>
    </row>
    <row r="47" spans="1:8" ht="13.5" thickTop="1">
      <c r="A47" s="137"/>
      <c r="B47" s="137"/>
      <c r="C47" s="137"/>
      <c r="D47" s="149"/>
      <c r="E47" s="149"/>
      <c r="F47" s="135"/>
      <c r="G47" s="134"/>
      <c r="H47" s="137"/>
    </row>
    <row r="48" spans="1:8">
      <c r="A48" s="138" t="s">
        <v>186</v>
      </c>
      <c r="B48" s="137"/>
      <c r="C48" s="137"/>
      <c r="D48" s="149"/>
      <c r="E48" s="149"/>
      <c r="F48" s="135"/>
      <c r="G48" s="134"/>
      <c r="H48" s="137"/>
    </row>
    <row r="49" spans="1:8">
      <c r="A49" s="137" t="s">
        <v>123</v>
      </c>
      <c r="B49" s="137" t="s">
        <v>124</v>
      </c>
      <c r="C49" s="137"/>
      <c r="D49" s="149">
        <f>+D12</f>
        <v>778477</v>
      </c>
      <c r="E49" s="149">
        <f>+E12</f>
        <v>1107084.97</v>
      </c>
      <c r="F49" s="135">
        <f>E49-D49</f>
        <v>328607.96999999997</v>
      </c>
      <c r="G49" s="134">
        <f>+G12</f>
        <v>0.42211647871420732</v>
      </c>
      <c r="H49" s="137"/>
    </row>
    <row r="50" spans="1:8">
      <c r="A50" s="137" t="s">
        <v>129</v>
      </c>
      <c r="B50" s="137" t="s">
        <v>130</v>
      </c>
      <c r="C50" s="137"/>
      <c r="D50" s="149">
        <f>+D18</f>
        <v>1076400</v>
      </c>
      <c r="E50" s="149">
        <f>+E18</f>
        <v>1033285.73</v>
      </c>
      <c r="F50" s="135">
        <f>E50-D50</f>
        <v>-43114.270000000019</v>
      </c>
      <c r="G50" s="134">
        <f>+G18</f>
        <v>-4.0054134150873298E-2</v>
      </c>
      <c r="H50" s="137"/>
    </row>
    <row r="51" spans="1:8" ht="13.5" thickBot="1">
      <c r="A51" s="138" t="s">
        <v>187</v>
      </c>
      <c r="B51" s="138"/>
      <c r="C51" s="138"/>
      <c r="D51" s="237">
        <f>D46-D49-D50</f>
        <v>19103045</v>
      </c>
      <c r="E51" s="237">
        <f>E46-E49-E50</f>
        <v>21096888.699999999</v>
      </c>
      <c r="F51" s="136">
        <f>F46-F49-F50</f>
        <v>1993843.6999999995</v>
      </c>
      <c r="G51" s="142">
        <f>F51/D51</f>
        <v>0.10437308292997266</v>
      </c>
    </row>
    <row r="52" spans="1:8" ht="13.5" thickTop="1"/>
  </sheetData>
  <mergeCells count="3">
    <mergeCell ref="A1:G1"/>
    <mergeCell ref="A2:G2"/>
    <mergeCell ref="A3:G3"/>
  </mergeCells>
  <phoneticPr fontId="10" type="noConversion"/>
  <pageMargins left="1" right="1" top="1" bottom="1" header="0.5" footer="0.5"/>
  <pageSetup scale="76" firstPageNumber="2" orientation="portrait" useFirstPageNumber="1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2015-04-24T07:00:00+00:00</OpenedDate>
    <Date1 xmlns="dc463f71-b30c-4ab2-9473-d307f9d35888">2015-06-19T07:00:00+00:00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DocketNumber xmlns="dc463f71-b30c-4ab2-9473-d307f9d35888">150668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C2C3C8FFC59F946AFFEDDEBA3D33440" ma:contentTypeVersion="119" ma:contentTypeDescription="" ma:contentTypeScope="" ma:versionID="6a5b7bc41dc0a358ea309078cca53b9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26615E9-DE70-4BDF-8CD7-EF5E5E8BE94F}"/>
</file>

<file path=customXml/itemProps2.xml><?xml version="1.0" encoding="utf-8"?>
<ds:datastoreItem xmlns:ds="http://schemas.openxmlformats.org/officeDocument/2006/customXml" ds:itemID="{AFFDE2FC-47E2-44C7-A55B-C0452635F430}"/>
</file>

<file path=customXml/itemProps3.xml><?xml version="1.0" encoding="utf-8"?>
<ds:datastoreItem xmlns:ds="http://schemas.openxmlformats.org/officeDocument/2006/customXml" ds:itemID="{86284D3E-DAAE-4E70-B8E4-2ACDDD23D2D2}"/>
</file>

<file path=customXml/itemProps4.xml><?xml version="1.0" encoding="utf-8"?>
<ds:datastoreItem xmlns:ds="http://schemas.openxmlformats.org/officeDocument/2006/customXml" ds:itemID="{7D884265-DD24-49AF-A2F0-06B6C7B62D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St.of Op. </vt:lpstr>
      <vt:lpstr>Weather Norm Adj</vt:lpstr>
      <vt:lpstr>Promo Adv Adj</vt:lpstr>
      <vt:lpstr>A&amp;G Adj</vt:lpstr>
      <vt:lpstr>A&amp;G Benchmark WP</vt:lpstr>
      <vt:lpstr>A&amp;G Detail WP</vt:lpstr>
      <vt:lpstr>'A&amp;G Adj'!Print_Area</vt:lpstr>
      <vt:lpstr>'Promo Adv Adj'!Print_Area</vt:lpstr>
      <vt:lpstr>'St.of Op.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2011-03-31T22:13:46Z</dcterms:created>
  <dcterms:modified xsi:type="dcterms:W3CDTF">2015-06-19T18:41:48Z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0x0101006E56B4D1795A2E4DB2F0B01679ED314A00EC2C3C8FFC59F946AFFEDDEBA3D33440</vt:lpwstr>
  </property>
  <property fmtid="{D5CDD505-2E9C-101B-9397-08002B2CF9AE}" pid="3" name="_docset_NoMedatataSyncRequired">
    <vt:lpwstr>False</vt:lpwstr>
  </property>
</Properties>
</file>