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-15" yWindow="-15" windowWidth="18510" windowHeight="11640" tabRatio="872"/>
  </bookViews>
  <sheets>
    <sheet name="Table 1" sheetId="51" r:id="rId1"/>
    <sheet name="Table 2" sheetId="17" r:id="rId2"/>
    <sheet name="Tables 3 to 4" sheetId="5" r:id="rId3"/>
    <sheet name="Tables 5" sheetId="13" r:id="rId4"/>
    <sheet name="Table 6" sheetId="35" r:id="rId5"/>
    <sheet name="&gt;&gt;&gt;  Do Not Print" sheetId="33" r:id="rId6"/>
    <sheet name="Tariff Page" sheetId="18" r:id="rId7"/>
  </sheets>
  <externalReferences>
    <externalReference r:id="rId8"/>
    <externalReference r:id="rId9"/>
  </externalReferences>
  <definedNames>
    <definedName name="__j1" localSheetId="5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5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5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5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5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Order1" hidden="1">255</definedName>
    <definedName name="_Order2" hidden="1">0</definedName>
    <definedName name="Capacity_Contr_Solar_Fixed">'Tables 3 to 4'!#REF!</definedName>
    <definedName name="Capacity_Contr_Solar_Tracking">'Tables 3 to 4'!#REF!</definedName>
    <definedName name="Capacity_Contr_Wind">'Tables 3 to 4'!#REF!</definedName>
    <definedName name="_xlnm.Print_Area" localSheetId="0">'Table 1'!$B$1:$R$75</definedName>
    <definedName name="_xlnm.Print_Area" localSheetId="1">'Table 2'!$B$1:$O$43</definedName>
    <definedName name="_xlnm.Print_Area" localSheetId="4">'Table 6'!$B$1:$H$36</definedName>
    <definedName name="_xlnm.Print_Area" localSheetId="2">'Tables 3 to 4'!$B$1:$G$36,'Tables 3 to 4'!$I$1:$N$36</definedName>
    <definedName name="_xlnm.Print_Area" localSheetId="3">'Tables 5'!$B$1:$E$36</definedName>
    <definedName name="_xlnm.Print_Area" localSheetId="6">'Tariff Page'!$B$1:$N$29</definedName>
    <definedName name="_xlnm.Print_Titles" localSheetId="1">'Table 2'!$1:$4</definedName>
    <definedName name="Solar_Fixed_integr_cost">'[1]Table 12'!$B$46</definedName>
    <definedName name="Solar_Tracking_integr_cost">'[1]Table 12'!$B$45</definedName>
    <definedName name="Study_Name">[2]ImportData!$D$7</definedName>
  </definedNames>
  <calcPr calcId="145621" calcMode="manual" calcOnSave="0"/>
</workbook>
</file>

<file path=xl/calcChain.xml><?xml version="1.0" encoding="utf-8"?>
<calcChain xmlns="http://schemas.openxmlformats.org/spreadsheetml/2006/main">
  <c r="M6" i="5" l="1"/>
  <c r="N6" i="5"/>
  <c r="I14" i="5"/>
  <c r="J14" i="5"/>
  <c r="J15" i="5"/>
  <c r="J16" i="5"/>
  <c r="J17" i="5"/>
  <c r="J18" i="5"/>
  <c r="J19" i="5"/>
  <c r="J20" i="5"/>
  <c r="J21" i="5"/>
  <c r="J22" i="5"/>
  <c r="J23" i="5"/>
  <c r="I30" i="5"/>
  <c r="I31" i="5"/>
  <c r="C36" i="17" l="1"/>
  <c r="B12" i="13" l="1"/>
  <c r="B15" i="5"/>
  <c r="D23" i="5"/>
  <c r="L23" i="5" s="1"/>
  <c r="D22" i="5"/>
  <c r="L22" i="5" s="1"/>
  <c r="D21" i="5"/>
  <c r="L21" i="5" s="1"/>
  <c r="D20" i="5"/>
  <c r="L20" i="5" s="1"/>
  <c r="D19" i="5"/>
  <c r="L19" i="5" s="1"/>
  <c r="D18" i="5"/>
  <c r="L18" i="5" s="1"/>
  <c r="D17" i="5"/>
  <c r="L17" i="5" s="1"/>
  <c r="D16" i="5"/>
  <c r="L16" i="5" s="1"/>
  <c r="D15" i="5"/>
  <c r="L15" i="5" s="1"/>
  <c r="D14" i="5"/>
  <c r="L14" i="5" s="1"/>
  <c r="N17" i="5" l="1"/>
  <c r="M17" i="5"/>
  <c r="N21" i="5"/>
  <c r="M21" i="5"/>
  <c r="M14" i="5"/>
  <c r="N14" i="5"/>
  <c r="M18" i="5"/>
  <c r="N18" i="5"/>
  <c r="M22" i="5"/>
  <c r="N22" i="5"/>
  <c r="M15" i="5"/>
  <c r="N15" i="5"/>
  <c r="M19" i="5"/>
  <c r="N19" i="5"/>
  <c r="M23" i="5"/>
  <c r="N23" i="5"/>
  <c r="M16" i="5"/>
  <c r="N16" i="5"/>
  <c r="M20" i="5"/>
  <c r="N20" i="5"/>
  <c r="B16" i="5"/>
  <c r="I15" i="5"/>
  <c r="B34" i="17"/>
  <c r="B33" i="17"/>
  <c r="B32" i="17"/>
  <c r="B31" i="17"/>
  <c r="B16" i="17"/>
  <c r="B17" i="5" l="1"/>
  <c r="I16" i="5"/>
  <c r="B17" i="17"/>
  <c r="B18" i="5" l="1"/>
  <c r="I17" i="5"/>
  <c r="I31" i="17"/>
  <c r="E31" i="17"/>
  <c r="M31" i="17"/>
  <c r="B18" i="17"/>
  <c r="B19" i="5" l="1"/>
  <c r="I18" i="5"/>
  <c r="I32" i="17"/>
  <c r="M32" i="17"/>
  <c r="E32" i="17"/>
  <c r="B19" i="17"/>
  <c r="B20" i="5" l="1"/>
  <c r="I19" i="5"/>
  <c r="I33" i="17"/>
  <c r="F20" i="5"/>
  <c r="E20" i="5"/>
  <c r="G20" i="5"/>
  <c r="M33" i="17"/>
  <c r="E33" i="17"/>
  <c r="B21" i="5" l="1"/>
  <c r="I20" i="5"/>
  <c r="F21" i="5"/>
  <c r="E21" i="5"/>
  <c r="G21" i="5"/>
  <c r="I34" i="17"/>
  <c r="M34" i="17"/>
  <c r="E34" i="17"/>
  <c r="B22" i="5" l="1"/>
  <c r="I21" i="5"/>
  <c r="E22" i="5"/>
  <c r="G22" i="5"/>
  <c r="F22" i="5"/>
  <c r="B23" i="5" l="1"/>
  <c r="I23" i="5" s="1"/>
  <c r="I22" i="5"/>
  <c r="F23" i="5"/>
  <c r="G23" i="5"/>
  <c r="E23" i="5"/>
  <c r="C33" i="18" l="1"/>
  <c r="C34" i="18"/>
  <c r="B12" i="18" l="1"/>
  <c r="B13" i="18" l="1"/>
  <c r="B14" i="18" l="1"/>
  <c r="B15" i="18" l="1"/>
  <c r="B16" i="18" l="1"/>
  <c r="B17" i="18" l="1"/>
  <c r="B18" i="18" l="1"/>
  <c r="B19" i="18" l="1"/>
  <c r="B20" i="18" l="1"/>
  <c r="B25" i="17" l="1"/>
  <c r="B10" i="35" l="1"/>
  <c r="D10" i="35" l="1"/>
  <c r="C10" i="35"/>
  <c r="E9" i="35"/>
  <c r="B11" i="35"/>
  <c r="C11" i="35" l="1"/>
  <c r="E10" i="35"/>
  <c r="F9" i="35"/>
  <c r="B12" i="35"/>
  <c r="D11" i="35" l="1"/>
  <c r="E11" i="35" s="1"/>
  <c r="F10" i="35"/>
  <c r="B13" i="35"/>
  <c r="D12" i="35" l="1"/>
  <c r="C12" i="35"/>
  <c r="B14" i="35"/>
  <c r="D13" i="35"/>
  <c r="F11" i="35"/>
  <c r="B15" i="35" l="1"/>
  <c r="E12" i="35"/>
  <c r="C13" i="35"/>
  <c r="C14" i="35" s="1"/>
  <c r="D14" i="35"/>
  <c r="F12" i="35"/>
  <c r="D15" i="35" l="1"/>
  <c r="E15" i="35" s="1"/>
  <c r="B16" i="35"/>
  <c r="C15" i="35"/>
  <c r="E13" i="35"/>
  <c r="F13" i="35" s="1"/>
  <c r="C16" i="35"/>
  <c r="E14" i="35"/>
  <c r="B17" i="35"/>
  <c r="D16" i="35" l="1"/>
  <c r="E16" i="35" s="1"/>
  <c r="C17" i="35"/>
  <c r="F14" i="35"/>
  <c r="F15" i="35"/>
  <c r="B18" i="35"/>
  <c r="D17" i="35" l="1"/>
  <c r="D18" i="35" s="1"/>
  <c r="C18" i="35"/>
  <c r="F16" i="35"/>
  <c r="B19" i="35"/>
  <c r="E17" i="35" l="1"/>
  <c r="F17" i="35" s="1"/>
  <c r="D19" i="35"/>
  <c r="C19" i="35"/>
  <c r="E18" i="35"/>
  <c r="B20" i="35"/>
  <c r="C20" i="35" l="1"/>
  <c r="D20" i="35"/>
  <c r="F18" i="35"/>
  <c r="E19" i="35"/>
  <c r="B21" i="35"/>
  <c r="E20" i="35" l="1"/>
  <c r="F20" i="35" s="1"/>
  <c r="D21" i="35"/>
  <c r="C21" i="35"/>
  <c r="F19" i="35"/>
  <c r="B22" i="35"/>
  <c r="C22" i="35" l="1"/>
  <c r="D22" i="35"/>
  <c r="E21" i="35"/>
  <c r="B23" i="35"/>
  <c r="D23" i="35" l="1"/>
  <c r="C23" i="35"/>
  <c r="F21" i="35"/>
  <c r="E22" i="35"/>
  <c r="B24" i="35"/>
  <c r="E23" i="35" l="1"/>
  <c r="F23" i="35" s="1"/>
  <c r="C24" i="35"/>
  <c r="D24" i="35"/>
  <c r="F22" i="35"/>
  <c r="B25" i="35"/>
  <c r="E24" i="35" l="1"/>
  <c r="F24" i="35" s="1"/>
  <c r="D25" i="35"/>
  <c r="C25" i="35"/>
  <c r="B26" i="35"/>
  <c r="C26" i="35" l="1"/>
  <c r="D26" i="35"/>
  <c r="E25" i="35"/>
  <c r="F25" i="35" s="1"/>
  <c r="B27" i="35"/>
  <c r="D27" i="35" l="1"/>
  <c r="C27" i="35"/>
  <c r="E26" i="35"/>
  <c r="B28" i="35"/>
  <c r="C28" i="35" l="1"/>
  <c r="D28" i="35"/>
  <c r="F26" i="35"/>
  <c r="E27" i="35"/>
  <c r="B29" i="35"/>
  <c r="D29" i="35" l="1"/>
  <c r="C29" i="35"/>
  <c r="F27" i="35"/>
  <c r="E28" i="35"/>
  <c r="B30" i="35"/>
  <c r="C30" i="35" l="1"/>
  <c r="D30" i="35"/>
  <c r="F28" i="35"/>
  <c r="E29" i="35"/>
  <c r="B31" i="35"/>
  <c r="D31" i="35" l="1"/>
  <c r="C31" i="35"/>
  <c r="F29" i="35"/>
  <c r="E30" i="35"/>
  <c r="B32" i="35"/>
  <c r="C32" i="35" l="1"/>
  <c r="F30" i="35"/>
  <c r="E31" i="35"/>
  <c r="D32" i="35" l="1"/>
  <c r="E32" i="35" s="1"/>
  <c r="F31" i="35"/>
  <c r="F32" i="35" l="1"/>
  <c r="G10" i="5" l="1"/>
  <c r="F10" i="5"/>
  <c r="E10" i="5"/>
  <c r="H43" i="17" l="1"/>
  <c r="C30" i="13" l="1"/>
  <c r="E9" i="13"/>
  <c r="B31" i="13"/>
  <c r="B30" i="13"/>
  <c r="B26" i="17" l="1"/>
  <c r="B27" i="17" s="1"/>
  <c r="B28" i="17" s="1"/>
  <c r="B29" i="17" s="1"/>
  <c r="B30" i="17" s="1"/>
  <c r="B11" i="17" l="1"/>
  <c r="B12" i="17" l="1"/>
  <c r="G11" i="18" l="1"/>
  <c r="C11" i="18" s="1"/>
  <c r="B13" i="13"/>
  <c r="B13" i="17"/>
  <c r="G12" i="18" l="1"/>
  <c r="C12" i="18" s="1"/>
  <c r="B14" i="17"/>
  <c r="B14" i="13"/>
  <c r="G13" i="18" l="1"/>
  <c r="C13" i="18" s="1"/>
  <c r="B15" i="13"/>
  <c r="B15" i="17"/>
  <c r="G14" i="18" l="1"/>
  <c r="C14" i="18" s="1"/>
  <c r="B16" i="13"/>
  <c r="G15" i="18" l="1"/>
  <c r="C15" i="18" s="1"/>
  <c r="B17" i="13"/>
  <c r="G19" i="18"/>
  <c r="C19" i="18" s="1"/>
  <c r="G17" i="18" l="1"/>
  <c r="C17" i="18" s="1"/>
  <c r="D18" i="18"/>
  <c r="G20" i="18"/>
  <c r="C20" i="18" s="1"/>
  <c r="D20" i="18"/>
  <c r="G18" i="18"/>
  <c r="C18" i="18" s="1"/>
  <c r="D17" i="18"/>
  <c r="D19" i="18"/>
  <c r="G16" i="18"/>
  <c r="C16" i="18" s="1"/>
  <c r="B18" i="13"/>
  <c r="C18" i="13" s="1"/>
  <c r="B19" i="13" l="1"/>
  <c r="C19" i="13" s="1"/>
  <c r="B20" i="13" l="1"/>
  <c r="B26" i="13" l="1"/>
  <c r="C20" i="13"/>
  <c r="B21" i="13"/>
  <c r="C21" i="13" s="1"/>
  <c r="D27" i="13" l="1"/>
  <c r="E20" i="13" l="1"/>
  <c r="E19" i="13"/>
  <c r="E18" i="13" l="1"/>
  <c r="I30" i="17" l="1"/>
  <c r="I27" i="17"/>
  <c r="I28" i="17"/>
  <c r="I29" i="17"/>
  <c r="I25" i="17" l="1"/>
  <c r="M27" i="17" l="1"/>
  <c r="E27" i="17"/>
  <c r="M30" i="17"/>
  <c r="E30" i="17"/>
  <c r="I26" i="17"/>
  <c r="E29" i="17"/>
  <c r="M29" i="17"/>
  <c r="M28" i="17"/>
  <c r="E28" i="17"/>
  <c r="M25" i="17" l="1"/>
  <c r="E25" i="17"/>
  <c r="E26" i="17"/>
  <c r="M26" i="17"/>
  <c r="E18" i="5" l="1"/>
  <c r="F18" i="5"/>
  <c r="C16" i="13" s="1"/>
  <c r="G18" i="5"/>
  <c r="D14" i="18"/>
  <c r="D13" i="18"/>
  <c r="G19" i="5"/>
  <c r="E19" i="5"/>
  <c r="F19" i="5"/>
  <c r="C17" i="13" s="1"/>
  <c r="D16" i="18"/>
  <c r="D15" i="18"/>
  <c r="F17" i="5"/>
  <c r="C15" i="13" s="1"/>
  <c r="E17" i="5"/>
  <c r="G17" i="5"/>
  <c r="E16" i="5"/>
  <c r="G16" i="5"/>
  <c r="F16" i="5"/>
  <c r="C14" i="13" s="1"/>
  <c r="D11" i="18" l="1"/>
  <c r="D12" i="18"/>
  <c r="G15" i="5"/>
  <c r="E15" i="5"/>
  <c r="F15" i="5"/>
  <c r="C13" i="13" s="1"/>
  <c r="E14" i="5"/>
  <c r="F14" i="5"/>
  <c r="C12" i="13" s="1"/>
  <c r="G14" i="5"/>
  <c r="E15" i="13" l="1"/>
  <c r="E16" i="13"/>
  <c r="E14" i="13"/>
  <c r="E17" i="13"/>
  <c r="E13" i="13" l="1"/>
  <c r="E12" i="13" l="1"/>
  <c r="E27" i="13" s="1"/>
  <c r="C27" i="13"/>
</calcChain>
</file>

<file path=xl/sharedStrings.xml><?xml version="1.0" encoding="utf-8"?>
<sst xmlns="http://schemas.openxmlformats.org/spreadsheetml/2006/main" count="235" uniqueCount="176">
  <si>
    <t>On-Peak Hours</t>
  </si>
  <si>
    <t>On-Peak</t>
  </si>
  <si>
    <t>Off-Peak</t>
  </si>
  <si>
    <t>Year</t>
  </si>
  <si>
    <t>($/kW-yr)</t>
  </si>
  <si>
    <t>Costs</t>
  </si>
  <si>
    <t>Energy Cost</t>
  </si>
  <si>
    <t>Avoided</t>
  </si>
  <si>
    <t>Total</t>
  </si>
  <si>
    <t>Total Avoided Costs</t>
  </si>
  <si>
    <t>At Stated Capacity Factor</t>
  </si>
  <si>
    <t>Total Avoided  Cost</t>
  </si>
  <si>
    <t>Columns</t>
  </si>
  <si>
    <t>(a)</t>
  </si>
  <si>
    <t>(b)</t>
  </si>
  <si>
    <t>(c)</t>
  </si>
  <si>
    <t>(d)</t>
  </si>
  <si>
    <t>(e)</t>
  </si>
  <si>
    <t>Avoided Firm</t>
  </si>
  <si>
    <t>Capacity</t>
  </si>
  <si>
    <t xml:space="preserve">Capacity Cost </t>
  </si>
  <si>
    <t>Allocated to</t>
  </si>
  <si>
    <t>Difference</t>
  </si>
  <si>
    <t>Table 3</t>
  </si>
  <si>
    <t>Table 4</t>
  </si>
  <si>
    <t>Table 5</t>
  </si>
  <si>
    <t>$/MWH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</si>
  <si>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</si>
  <si>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</si>
  <si>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</si>
  <si>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</si>
  <si>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</si>
  <si>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</si>
  <si>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</si>
  <si>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</si>
  <si>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</si>
  <si>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</si>
  <si>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</si>
  <si>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</si>
  <si>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Winter Season</t>
  </si>
  <si>
    <t>Summer Season</t>
  </si>
  <si>
    <t>Current</t>
  </si>
  <si>
    <t>Avoided Costs</t>
  </si>
  <si>
    <t xml:space="preserve"> </t>
  </si>
  <si>
    <t>Price</t>
  </si>
  <si>
    <t>Annual Seasonal Average</t>
  </si>
  <si>
    <t>Annual Average</t>
  </si>
  <si>
    <t xml:space="preserve"> $/kW-yr</t>
  </si>
  <si>
    <t>Source:</t>
  </si>
  <si>
    <t>Note:</t>
  </si>
  <si>
    <t>($/MWH)</t>
  </si>
  <si>
    <t>Intended to be Cut and Pasted Directly into the Tariff</t>
  </si>
  <si>
    <t>Days</t>
  </si>
  <si>
    <t>Leap Year</t>
  </si>
  <si>
    <t>GRID Production Cost Model Study</t>
  </si>
  <si>
    <t>$/MWh</t>
  </si>
  <si>
    <t>Energy</t>
  </si>
  <si>
    <t>Calendar Year</t>
  </si>
  <si>
    <t>Discount Rate - 2013 IRP Update Page 39</t>
  </si>
  <si>
    <t>Integration Costs</t>
  </si>
  <si>
    <t>Inter-hour Wind Integration Costs</t>
  </si>
  <si>
    <t>Intra-hour Wind Integration Costs</t>
  </si>
  <si>
    <t>Total Wind Integration Costs</t>
  </si>
  <si>
    <t>(c) = (a) +(b)</t>
  </si>
  <si>
    <t>Base Load QF</t>
  </si>
  <si>
    <t>Solar Integration Costs</t>
  </si>
  <si>
    <t>(d) = (c) * 25%</t>
  </si>
  <si>
    <t>Comparison between Proposed and Current Avoided Costs</t>
  </si>
  <si>
    <t>Solar Integration - 25% of wind integration costs as used by the most recent IRP study</t>
  </si>
  <si>
    <t>Inflation Forecast</t>
  </si>
  <si>
    <t xml:space="preserve">(e) </t>
  </si>
  <si>
    <t>Avoided Energy - $/MWH</t>
  </si>
  <si>
    <t>Table 1</t>
  </si>
  <si>
    <t>(1)</t>
  </si>
  <si>
    <t>Total Avoided Costs at Stated Capacity Factor are provided for illustrative purposes</t>
  </si>
  <si>
    <t xml:space="preserve">and are not used for QF pricing. </t>
  </si>
  <si>
    <t>Notes</t>
  </si>
  <si>
    <t>(2)</t>
  </si>
  <si>
    <t>Avoided Cost Prices</t>
  </si>
  <si>
    <t>Deliveries</t>
  </si>
  <si>
    <t>During</t>
  </si>
  <si>
    <t>Payment</t>
  </si>
  <si>
    <t xml:space="preserve"> $/kW-Month</t>
  </si>
  <si>
    <t xml:space="preserve">  Avoided Costs Approved by the Commission January 30, 2014</t>
  </si>
  <si>
    <t>Total Avoided Costs with Capacity Costs included at 85.0% Capacity Factor</t>
  </si>
  <si>
    <t>Proposed</t>
  </si>
  <si>
    <t>$/MWH (1)</t>
  </si>
  <si>
    <t xml:space="preserve">Notes </t>
  </si>
  <si>
    <r>
      <rPr>
        <sz val="9.35"/>
        <rFont val="Times New Roman"/>
        <family val="1"/>
      </rPr>
      <t xml:space="preserve">Illustrative </t>
    </r>
    <r>
      <rPr>
        <b/>
        <sz val="11"/>
        <rFont val="Times New Roman"/>
        <family val="1"/>
      </rPr>
      <t xml:space="preserve"> On- &amp; Off Peak- Avoided Cost Prices (1)</t>
    </r>
  </si>
  <si>
    <t xml:space="preserve">  Table 2  Annual Average</t>
  </si>
  <si>
    <t xml:space="preserve">  Table 3  Column (a)</t>
  </si>
  <si>
    <t xml:space="preserve">  Table 3  Column (b)</t>
  </si>
  <si>
    <t>Excerpt from 2013 IRP Update Table 5.5</t>
  </si>
  <si>
    <t>Capacity (MW)</t>
  </si>
  <si>
    <t>Resource Totals 1/</t>
  </si>
  <si>
    <t>Resource</t>
  </si>
  <si>
    <t>10-year</t>
  </si>
  <si>
    <t>20-year</t>
  </si>
  <si>
    <t>East</t>
  </si>
  <si>
    <t>Existing Plant Retirements/Conversions</t>
  </si>
  <si>
    <t>Hayden1</t>
  </si>
  <si>
    <t>Hayden2</t>
  </si>
  <si>
    <t>Carbon1  (Early Retirement/Conversion)</t>
  </si>
  <si>
    <t>Carbon2  (Early Retirement/Conversion)</t>
  </si>
  <si>
    <t>Cholla1  (Early Retirement/Conversion)</t>
  </si>
  <si>
    <t>Johnston1</t>
  </si>
  <si>
    <t>Johnston2</t>
  </si>
  <si>
    <t>Johnston3</t>
  </si>
  <si>
    <t>Johnston4</t>
  </si>
  <si>
    <t>Naughton1</t>
  </si>
  <si>
    <t>Naughton2</t>
  </si>
  <si>
    <t>Naughton3  (Early Retirement/Conversion)</t>
  </si>
  <si>
    <t>Coal Ret_UT - Gas RePower</t>
  </si>
  <si>
    <t>Coal Ret_WY - Gas RePower</t>
  </si>
  <si>
    <t>Expansion Resources</t>
  </si>
  <si>
    <t>CCCT FD 2x1</t>
  </si>
  <si>
    <t>CCCT GH 1x1</t>
  </si>
  <si>
    <t>CCCT J 1x1</t>
  </si>
  <si>
    <t>Lake Side II</t>
  </si>
  <si>
    <t>Coal Plant Turbine Upgrades</t>
  </si>
  <si>
    <t xml:space="preserve">    Wind, Wyoming, 40</t>
  </si>
  <si>
    <t>Total Wind</t>
  </si>
  <si>
    <t>CHP - Biomass</t>
  </si>
  <si>
    <t>CHP - Other</t>
  </si>
  <si>
    <t xml:space="preserve">    DSM, Class 1, ID-Irrigate</t>
  </si>
  <si>
    <t xml:space="preserve">    DSM, Class 1, UT-Curtail</t>
  </si>
  <si>
    <t xml:space="preserve">    DSM, Class 1, UT-Irrigate</t>
  </si>
  <si>
    <t xml:space="preserve">    DSM, Class 1, WY-Irrigate</t>
  </si>
  <si>
    <t>DSM, Class 1 Total</t>
  </si>
  <si>
    <t xml:space="preserve">    DSM, Class 2, ID</t>
  </si>
  <si>
    <t xml:space="preserve">    DSM, Class 2, UT</t>
  </si>
  <si>
    <t xml:space="preserve">    DSM, Class 2, WY</t>
  </si>
  <si>
    <t>DSM, Class 2 Total</t>
  </si>
  <si>
    <t>Micro Solar - PV</t>
  </si>
  <si>
    <t>Micro Solar - Water Heating</t>
  </si>
  <si>
    <t>FOT Mona Q3</t>
  </si>
  <si>
    <t>West</t>
  </si>
  <si>
    <t xml:space="preserve">    DSM, Class 1, OR-Curtail</t>
  </si>
  <si>
    <t xml:space="preserve">    DSM, Class 1, OR-DLC-IRR</t>
  </si>
  <si>
    <t xml:space="preserve">    DSM, Class 1, CA-DLC-IRR</t>
  </si>
  <si>
    <t xml:space="preserve">    DSM, Class 1, CA-Curtail</t>
  </si>
  <si>
    <t>DSM, Class 1  Total</t>
  </si>
  <si>
    <t xml:space="preserve">    DSM, Class 2, CA</t>
  </si>
  <si>
    <t xml:space="preserve">    DSM, Class 2, OR</t>
  </si>
  <si>
    <t xml:space="preserve">    DSM, Class 2, WA</t>
  </si>
  <si>
    <t>DSM, Class 2  Total</t>
  </si>
  <si>
    <t>OR Solar (Util Cap Standard &amp; Cust Incentive Prgm)</t>
  </si>
  <si>
    <t>Signed Contract - OR Solar</t>
  </si>
  <si>
    <t>FOT COB Q3</t>
  </si>
  <si>
    <t>FOT NOB Q3</t>
  </si>
  <si>
    <t>FOT MidColumbia Q3</t>
  </si>
  <si>
    <t>FOT MidColumbia Q3 - 2</t>
  </si>
  <si>
    <t>Annual Additions, Long Term Resources</t>
  </si>
  <si>
    <t>Annual Additions, Short Term Resources</t>
  </si>
  <si>
    <t>Total Annual Additions</t>
  </si>
  <si>
    <t>1/ Front office transaction amounts reflect one-year transaction periods, are not additive, and are reported as a 10/20-year annual average.</t>
  </si>
  <si>
    <t>The 2013 IRP was prepared using a 13% planning reserve margin.  See 2013 IRP, page 162.</t>
  </si>
  <si>
    <t>Table 2</t>
  </si>
  <si>
    <t>(1)  Discount Rate - 2013 IRP Update Discount Rate</t>
  </si>
  <si>
    <t>IRP Preferred Portfolio (1)</t>
  </si>
  <si>
    <t>(1):</t>
  </si>
  <si>
    <t xml:space="preserve">Washington Commission rule, WAC 480-107-055, related to schedules of estimated avoided costs states that avoided costs should be based on </t>
  </si>
  <si>
    <t>(a) The most recent project proposals received pursuant to an RFP issued under these rules;</t>
  </si>
  <si>
    <t>Avoided capacity costs are zero consistent with 2013 IRP Update</t>
  </si>
  <si>
    <t xml:space="preserve"> which does not include any new resources until 2027.  </t>
  </si>
  <si>
    <t xml:space="preserve">    $3.06/MWh and $0.77/MWh (in 2015$), respectively.</t>
  </si>
  <si>
    <t xml:space="preserve">     Wind and solar integration costs that are used to reduce energy payments for years beyond 2015 </t>
  </si>
  <si>
    <t>Energy payments for wind and solar qualifying facilities will be reduced by integration</t>
  </si>
  <si>
    <t>cost of  $3.06/MWh and $0.77/MWh (in 2015$), respectively.</t>
  </si>
  <si>
    <t xml:space="preserve">    are escalated from 2015 values at inflation rate as  as shown in Table 6.  </t>
  </si>
  <si>
    <t>Table 6</t>
  </si>
  <si>
    <t>Wind Integration costs -Table H.21 of 2014 Wind Integration study</t>
  </si>
  <si>
    <t xml:space="preserve">(1): Energy payments for wind and solar qualifying facilities will be reduced by integration costs of </t>
  </si>
  <si>
    <t>(b) Estimates included in the utility's current integrated resource plan filed pursuant to WAC 480-100-238;</t>
  </si>
  <si>
    <t>(c) The results of the utility's most recent bidding process; and</t>
  </si>
  <si>
    <t>(d) Current projected market prices for power.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</si>
</sst>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&quot;$&quot;#,##0"/>
    <numFmt numFmtId="167" formatCode="&quot;$&quot;#,##0.00"/>
    <numFmt numFmtId="168" formatCode="0.0%"/>
    <numFmt numFmtId="169" formatCode="_(* #,##0.00_);_(* \(#,##0.00\);_(* &quot;-&quot;_);_(@_)"/>
    <numFmt numFmtId="170" formatCode="&quot;$&quot;###0;[Red]\(&quot;$&quot;###0\)"/>
    <numFmt numFmtId="171" formatCode="_(* #,##0_);[Red]_(* \(#,##0\);_(* &quot;-&quot;_);_(@_)"/>
    <numFmt numFmtId="172" formatCode="_(* #,##0.00_);[Red]_(* \(#,##0.00\);_(* &quot;-&quot;_);_(@_)"/>
    <numFmt numFmtId="173" formatCode="0.000%"/>
    <numFmt numFmtId="174" formatCode="_(* #,##0.0_);_(* \(#,##0.0\);_(* &quot;-&quot;??_);_(@_)"/>
  </numFmts>
  <fonts count="27" x14ac:knownFonts="1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i/>
      <sz val="8"/>
      <color indexed="18"/>
      <name val="Helv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12"/>
      <name val="Arial"/>
      <family val="2"/>
    </font>
    <font>
      <sz val="9.35"/>
      <name val="Times New Roman"/>
      <family val="1"/>
    </font>
    <font>
      <sz val="10"/>
      <color rgb="FF00B0F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9">
    <xf numFmtId="171" fontId="0" fillId="0" borderId="0"/>
    <xf numFmtId="43" fontId="2" fillId="0" borderId="0" applyFont="0" applyFill="0" applyBorder="0" applyAlignment="0" applyProtection="0"/>
    <xf numFmtId="170" fontId="14" fillId="0" borderId="0" applyFont="0" applyFill="0" applyBorder="0" applyProtection="0">
      <alignment horizontal="right"/>
    </xf>
    <xf numFmtId="0" fontId="13" fillId="0" borderId="0" applyNumberFormat="0" applyFill="0" applyBorder="0" applyAlignment="0">
      <protection locked="0"/>
    </xf>
    <xf numFmtId="165" fontId="15" fillId="0" borderId="0" applyNumberFormat="0" applyFill="0" applyBorder="0" applyAlignment="0" applyProtection="0"/>
    <xf numFmtId="0" fontId="16" fillId="0" borderId="1" applyNumberFormat="0" applyBorder="0" applyAlignment="0"/>
    <xf numFmtId="0" fontId="4" fillId="0" borderId="0"/>
    <xf numFmtId="171" fontId="4" fillId="0" borderId="0"/>
    <xf numFmtId="12" fontId="12" fillId="2" borderId="2">
      <alignment horizontal="left"/>
    </xf>
    <xf numFmtId="9" fontId="2" fillId="0" borderId="0" applyFont="0" applyFill="0" applyBorder="0" applyAlignment="0" applyProtection="0"/>
    <xf numFmtId="37" fontId="16" fillId="3" borderId="0" applyNumberFormat="0" applyBorder="0" applyAlignment="0" applyProtection="0"/>
    <xf numFmtId="37" fontId="17" fillId="0" borderId="0"/>
    <xf numFmtId="3" fontId="18" fillId="4" borderId="3" applyProtection="0"/>
    <xf numFmtId="171" fontId="4" fillId="0" borderId="0"/>
    <xf numFmtId="0" fontId="2" fillId="0" borderId="0"/>
    <xf numFmtId="0" fontId="2" fillId="0" borderId="0"/>
    <xf numFmtId="0" fontId="1" fillId="0" borderId="0"/>
    <xf numFmtId="171" fontId="2" fillId="0" borderId="0"/>
    <xf numFmtId="171" fontId="2" fillId="0" borderId="0"/>
  </cellStyleXfs>
  <cellXfs count="237">
    <xf numFmtId="171" fontId="0" fillId="0" borderId="0" xfId="0"/>
    <xf numFmtId="171" fontId="5" fillId="0" borderId="0" xfId="0" applyFont="1" applyFill="1" applyAlignment="1">
      <alignment horizontal="centerContinuous"/>
    </xf>
    <xf numFmtId="171" fontId="11" fillId="0" borderId="0" xfId="0" applyFont="1" applyFill="1"/>
    <xf numFmtId="171" fontId="11" fillId="0" borderId="0" xfId="0" applyFont="1" applyFill="1" applyBorder="1"/>
    <xf numFmtId="171" fontId="11" fillId="0" borderId="4" xfId="0" applyFont="1" applyFill="1" applyBorder="1" applyAlignment="1">
      <alignment horizontal="center"/>
    </xf>
    <xf numFmtId="8" fontId="11" fillId="0" borderId="0" xfId="0" applyNumberFormat="1" applyFont="1" applyFill="1" applyBorder="1" applyAlignment="1">
      <alignment horizontal="center"/>
    </xf>
    <xf numFmtId="171" fontId="11" fillId="0" borderId="0" xfId="0" applyFont="1" applyFill="1" applyAlignment="1">
      <alignment horizontal="center"/>
    </xf>
    <xf numFmtId="171" fontId="4" fillId="0" borderId="0" xfId="0" applyFont="1" applyFill="1"/>
    <xf numFmtId="171" fontId="6" fillId="0" borderId="0" xfId="0" applyFont="1" applyFill="1" applyAlignment="1">
      <alignment horizontal="centerContinuous"/>
    </xf>
    <xf numFmtId="171" fontId="4" fillId="0" borderId="5" xfId="0" applyFont="1" applyFill="1" applyBorder="1" applyAlignment="1">
      <alignment horizontal="centerContinuous"/>
    </xf>
    <xf numFmtId="171" fontId="4" fillId="0" borderId="0" xfId="0" applyFont="1" applyFill="1" applyBorder="1"/>
    <xf numFmtId="171" fontId="4" fillId="0" borderId="0" xfId="0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8" fontId="8" fillId="0" borderId="0" xfId="0" applyNumberFormat="1" applyFont="1" applyFill="1" applyAlignment="1">
      <alignment horizontal="center"/>
    </xf>
    <xf numFmtId="171" fontId="11" fillId="0" borderId="6" xfId="0" applyFont="1" applyFill="1" applyBorder="1" applyAlignment="1">
      <alignment horizontal="center"/>
    </xf>
    <xf numFmtId="171" fontId="11" fillId="0" borderId="7" xfId="0" applyFont="1" applyFill="1" applyBorder="1" applyAlignment="1">
      <alignment horizontal="center"/>
    </xf>
    <xf numFmtId="171" fontId="9" fillId="0" borderId="0" xfId="0" applyFont="1" applyFill="1"/>
    <xf numFmtId="171" fontId="4" fillId="0" borderId="0" xfId="0" quotePrefix="1" applyFont="1" applyFill="1" applyBorder="1" applyAlignment="1">
      <alignment horizontal="center"/>
    </xf>
    <xf numFmtId="171" fontId="9" fillId="0" borderId="0" xfId="0" applyFont="1" applyFill="1" applyAlignment="1">
      <alignment horizontal="centerContinuous"/>
    </xf>
    <xf numFmtId="171" fontId="10" fillId="0" borderId="0" xfId="0" applyFont="1" applyFill="1"/>
    <xf numFmtId="171" fontId="6" fillId="0" borderId="0" xfId="0" applyFont="1" applyFill="1" applyBorder="1" applyAlignment="1">
      <alignment horizontal="center"/>
    </xf>
    <xf numFmtId="171" fontId="8" fillId="0" borderId="0" xfId="0" quotePrefix="1" applyFont="1" applyFill="1" applyAlignment="1">
      <alignment horizontal="center"/>
    </xf>
    <xf numFmtId="8" fontId="8" fillId="0" borderId="0" xfId="0" applyNumberFormat="1" applyFont="1" applyFill="1" applyAlignment="1"/>
    <xf numFmtId="171" fontId="3" fillId="0" borderId="0" xfId="0" applyFont="1" applyFill="1" applyBorder="1" applyAlignment="1">
      <alignment horizontal="left"/>
    </xf>
    <xf numFmtId="171" fontId="10" fillId="0" borderId="0" xfId="0" applyFont="1" applyFill="1" applyAlignment="1">
      <alignment horizontal="centerContinuous"/>
    </xf>
    <xf numFmtId="171" fontId="5" fillId="0" borderId="0" xfId="0" applyFont="1" applyFill="1" applyBorder="1" applyAlignment="1">
      <alignment horizontal="centerContinuous"/>
    </xf>
    <xf numFmtId="171" fontId="6" fillId="0" borderId="0" xfId="0" applyFont="1" applyFill="1" applyBorder="1" applyAlignment="1">
      <alignment horizontal="centerContinuous"/>
    </xf>
    <xf numFmtId="8" fontId="8" fillId="0" borderId="0" xfId="0" applyNumberFormat="1" applyFont="1" applyFill="1" applyBorder="1" applyAlignment="1">
      <alignment horizontal="left"/>
    </xf>
    <xf numFmtId="171" fontId="4" fillId="0" borderId="0" xfId="0" quotePrefix="1" applyFont="1" applyFill="1" applyBorder="1" applyAlignment="1">
      <alignment horizontal="left"/>
    </xf>
    <xf numFmtId="171" fontId="11" fillId="0" borderId="8" xfId="0" applyFont="1" applyFill="1" applyBorder="1" applyAlignment="1">
      <alignment horizontal="centerContinuous"/>
    </xf>
    <xf numFmtId="171" fontId="11" fillId="0" borderId="0" xfId="0" applyFont="1" applyFill="1" applyBorder="1" applyAlignment="1">
      <alignment horizontal="center"/>
    </xf>
    <xf numFmtId="171" fontId="11" fillId="0" borderId="9" xfId="0" applyFont="1" applyFill="1" applyBorder="1" applyAlignment="1">
      <alignment horizontal="centerContinuous"/>
    </xf>
    <xf numFmtId="1" fontId="11" fillId="0" borderId="0" xfId="0" applyNumberFormat="1" applyFont="1" applyFill="1" applyAlignment="1">
      <alignment horizontal="center"/>
    </xf>
    <xf numFmtId="171" fontId="11" fillId="0" borderId="4" xfId="0" applyFont="1" applyFill="1" applyBorder="1"/>
    <xf numFmtId="171" fontId="11" fillId="0" borderId="6" xfId="0" applyFont="1" applyFill="1" applyBorder="1"/>
    <xf numFmtId="171" fontId="11" fillId="0" borderId="10" xfId="0" applyFont="1" applyFill="1" applyBorder="1"/>
    <xf numFmtId="171" fontId="11" fillId="0" borderId="10" xfId="0" applyFont="1" applyFill="1" applyBorder="1" applyAlignment="1">
      <alignment horizontal="center"/>
    </xf>
    <xf numFmtId="171" fontId="11" fillId="0" borderId="0" xfId="0" quotePrefix="1" applyFont="1" applyFill="1" applyBorder="1" applyAlignment="1">
      <alignment horizontal="center"/>
    </xf>
    <xf numFmtId="167" fontId="11" fillId="0" borderId="0" xfId="0" applyNumberFormat="1" applyFont="1" applyFill="1" applyBorder="1" applyAlignment="1">
      <alignment horizontal="center"/>
    </xf>
    <xf numFmtId="171" fontId="11" fillId="0" borderId="11" xfId="0" applyFont="1" applyFill="1" applyBorder="1" applyAlignment="1">
      <alignment horizontal="centerContinuous"/>
    </xf>
    <xf numFmtId="171" fontId="11" fillId="0" borderId="4" xfId="0" applyFont="1" applyFill="1" applyBorder="1" applyAlignment="1">
      <alignment horizontal="centerContinuous"/>
    </xf>
    <xf numFmtId="171" fontId="11" fillId="0" borderId="12" xfId="0" applyFont="1" applyFill="1" applyBorder="1" applyAlignment="1">
      <alignment horizontal="center"/>
    </xf>
    <xf numFmtId="171" fontId="11" fillId="0" borderId="13" xfId="0" applyFont="1" applyFill="1" applyBorder="1" applyAlignment="1">
      <alignment horizontal="centerContinuous"/>
    </xf>
    <xf numFmtId="171" fontId="11" fillId="0" borderId="12" xfId="0" applyFont="1" applyFill="1" applyBorder="1"/>
    <xf numFmtId="17" fontId="11" fillId="0" borderId="12" xfId="0" applyNumberFormat="1" applyFont="1" applyFill="1" applyBorder="1" applyAlignment="1">
      <alignment horizontal="centerContinuous"/>
    </xf>
    <xf numFmtId="17" fontId="11" fillId="0" borderId="7" xfId="0" applyNumberFormat="1" applyFont="1" applyFill="1" applyBorder="1" applyAlignment="1">
      <alignment horizontal="center"/>
    </xf>
    <xf numFmtId="171" fontId="11" fillId="0" borderId="14" xfId="0" applyFont="1" applyFill="1" applyBorder="1"/>
    <xf numFmtId="171" fontId="11" fillId="0" borderId="14" xfId="0" applyFont="1" applyFill="1" applyBorder="1" applyAlignment="1">
      <alignment horizontal="centerContinuous"/>
    </xf>
    <xf numFmtId="171" fontId="11" fillId="0" borderId="15" xfId="0" applyFont="1" applyFill="1" applyBorder="1" applyAlignment="1">
      <alignment horizontal="centerContinuous"/>
    </xf>
    <xf numFmtId="171" fontId="11" fillId="0" borderId="15" xfId="0" applyFont="1" applyFill="1" applyBorder="1" applyAlignment="1">
      <alignment horizontal="center"/>
    </xf>
    <xf numFmtId="171" fontId="11" fillId="0" borderId="0" xfId="0" quotePrefix="1" applyFont="1" applyFill="1" applyBorder="1" applyAlignment="1">
      <alignment horizontal="centerContinuous"/>
    </xf>
    <xf numFmtId="171" fontId="11" fillId="0" borderId="13" xfId="0" applyFont="1" applyFill="1" applyBorder="1" applyAlignment="1">
      <alignment horizontal="center"/>
    </xf>
    <xf numFmtId="171" fontId="11" fillId="0" borderId="12" xfId="0" applyFont="1" applyFill="1" applyBorder="1" applyAlignment="1">
      <alignment horizontal="centerContinuous"/>
    </xf>
    <xf numFmtId="9" fontId="11" fillId="0" borderId="6" xfId="9" applyFont="1" applyFill="1" applyBorder="1" applyAlignment="1">
      <alignment horizontal="center"/>
    </xf>
    <xf numFmtId="171" fontId="11" fillId="0" borderId="11" xfId="0" quotePrefix="1" applyFont="1" applyFill="1" applyBorder="1" applyAlignment="1">
      <alignment horizontal="centerContinuous"/>
    </xf>
    <xf numFmtId="171" fontId="11" fillId="0" borderId="8" xfId="0" quotePrefix="1" applyFont="1" applyFill="1" applyBorder="1" applyAlignment="1">
      <alignment horizontal="centerContinuous"/>
    </xf>
    <xf numFmtId="0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center"/>
    </xf>
    <xf numFmtId="171" fontId="4" fillId="0" borderId="11" xfId="0" applyFont="1" applyFill="1" applyBorder="1" applyAlignment="1">
      <alignment horizontal="center"/>
    </xf>
    <xf numFmtId="171" fontId="4" fillId="0" borderId="0" xfId="0" applyFont="1" applyFill="1" applyBorder="1" applyAlignment="1">
      <alignment horizontal="left"/>
    </xf>
    <xf numFmtId="171" fontId="4" fillId="0" borderId="0" xfId="0" quotePrefix="1" applyFont="1" applyFill="1"/>
    <xf numFmtId="171" fontId="4" fillId="0" borderId="8" xfId="0" applyFont="1" applyFill="1" applyBorder="1" applyAlignment="1">
      <alignment horizontal="centerContinuous"/>
    </xf>
    <xf numFmtId="171" fontId="4" fillId="0" borderId="17" xfId="0" applyFont="1" applyFill="1" applyBorder="1" applyAlignment="1">
      <alignment horizontal="centerContinuous"/>
    </xf>
    <xf numFmtId="171" fontId="4" fillId="0" borderId="0" xfId="0" applyFont="1" applyFill="1" applyAlignment="1">
      <alignment horizontal="right"/>
    </xf>
    <xf numFmtId="171" fontId="4" fillId="0" borderId="0" xfId="0" applyFont="1" applyFill="1" applyBorder="1" applyAlignment="1">
      <alignment horizontal="right"/>
    </xf>
    <xf numFmtId="167" fontId="4" fillId="0" borderId="0" xfId="0" applyNumberFormat="1" applyFont="1" applyFill="1" applyAlignment="1">
      <alignment horizontal="left"/>
    </xf>
    <xf numFmtId="0" fontId="4" fillId="0" borderId="13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8" fontId="4" fillId="0" borderId="18" xfId="0" applyNumberFormat="1" applyFont="1" applyFill="1" applyBorder="1" applyAlignment="1">
      <alignment horizontal="center"/>
    </xf>
    <xf numFmtId="167" fontId="4" fillId="0" borderId="18" xfId="0" applyNumberFormat="1" applyFont="1" applyFill="1" applyBorder="1" applyAlignment="1">
      <alignment horizontal="center"/>
    </xf>
    <xf numFmtId="167" fontId="4" fillId="0" borderId="16" xfId="0" applyNumberFormat="1" applyFont="1" applyFill="1" applyBorder="1" applyAlignment="1">
      <alignment horizontal="center"/>
    </xf>
    <xf numFmtId="167" fontId="4" fillId="0" borderId="7" xfId="0" applyNumberFormat="1" applyFont="1" applyFill="1" applyBorder="1" applyAlignment="1">
      <alignment horizontal="center"/>
    </xf>
    <xf numFmtId="8" fontId="4" fillId="0" borderId="9" xfId="0" applyNumberFormat="1" applyFont="1" applyFill="1" applyBorder="1" applyAlignment="1">
      <alignment horizontal="center"/>
    </xf>
    <xf numFmtId="167" fontId="4" fillId="0" borderId="9" xfId="0" applyNumberFormat="1" applyFont="1" applyFill="1" applyBorder="1" applyAlignment="1">
      <alignment horizontal="center"/>
    </xf>
    <xf numFmtId="167" fontId="4" fillId="0" borderId="15" xfId="0" applyNumberFormat="1" applyFont="1" applyFill="1" applyBorder="1" applyAlignment="1">
      <alignment horizontal="center"/>
    </xf>
    <xf numFmtId="171" fontId="7" fillId="0" borderId="0" xfId="0" applyFont="1" applyFill="1" applyBorder="1" applyAlignment="1">
      <alignment horizontal="center"/>
    </xf>
    <xf numFmtId="171" fontId="7" fillId="0" borderId="0" xfId="0" quotePrefix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167" fontId="11" fillId="0" borderId="7" xfId="0" applyNumberFormat="1" applyFont="1" applyFill="1" applyBorder="1" applyAlignment="1">
      <alignment horizontal="center"/>
    </xf>
    <xf numFmtId="171" fontId="5" fillId="0" borderId="0" xfId="7" applyFont="1" applyFill="1" applyAlignment="1">
      <alignment horizontal="centerContinuous"/>
    </xf>
    <xf numFmtId="171" fontId="3" fillId="0" borderId="4" xfId="7" applyFont="1" applyFill="1" applyBorder="1" applyAlignment="1">
      <alignment horizontal="center"/>
    </xf>
    <xf numFmtId="171" fontId="11" fillId="0" borderId="11" xfId="0" applyFont="1" applyFill="1" applyBorder="1" applyAlignment="1">
      <alignment horizontal="center"/>
    </xf>
    <xf numFmtId="171" fontId="19" fillId="0" borderId="0" xfId="0" applyFont="1" applyFill="1"/>
    <xf numFmtId="171" fontId="19" fillId="0" borderId="0" xfId="0" applyFont="1" applyFill="1" applyAlignment="1">
      <alignment horizontal="center"/>
    </xf>
    <xf numFmtId="171" fontId="19" fillId="0" borderId="0" xfId="0" applyFont="1" applyFill="1" applyAlignment="1">
      <alignment horizontal="left"/>
    </xf>
    <xf numFmtId="10" fontId="19" fillId="0" borderId="0" xfId="0" applyNumberFormat="1" applyFont="1" applyFill="1" applyAlignment="1">
      <alignment horizontal="center"/>
    </xf>
    <xf numFmtId="171" fontId="19" fillId="0" borderId="0" xfId="0" applyFont="1" applyFill="1" applyAlignment="1">
      <alignment horizontal="right"/>
    </xf>
    <xf numFmtId="39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Alignment="1">
      <alignment horizontal="center"/>
    </xf>
    <xf numFmtId="171" fontId="19" fillId="0" borderId="0" xfId="0" quotePrefix="1" applyFont="1" applyFill="1" applyAlignment="1">
      <alignment horizontal="right"/>
    </xf>
    <xf numFmtId="43" fontId="19" fillId="0" borderId="0" xfId="1" applyFont="1" applyFill="1"/>
    <xf numFmtId="0" fontId="19" fillId="0" borderId="0" xfId="6" applyFont="1"/>
    <xf numFmtId="0" fontId="11" fillId="0" borderId="12" xfId="0" applyNumberFormat="1" applyFont="1" applyFill="1" applyBorder="1" applyAlignment="1">
      <alignment horizontal="center"/>
    </xf>
    <xf numFmtId="0" fontId="11" fillId="0" borderId="14" xfId="0" applyNumberFormat="1" applyFont="1" applyFill="1" applyBorder="1" applyAlignment="1">
      <alignment horizontal="center"/>
    </xf>
    <xf numFmtId="8" fontId="11" fillId="0" borderId="9" xfId="0" applyNumberFormat="1" applyFont="1" applyFill="1" applyBorder="1" applyAlignment="1">
      <alignment horizontal="center"/>
    </xf>
    <xf numFmtId="167" fontId="11" fillId="0" borderId="9" xfId="0" applyNumberFormat="1" applyFont="1" applyFill="1" applyBorder="1" applyAlignment="1">
      <alignment horizontal="center"/>
    </xf>
    <xf numFmtId="167" fontId="11" fillId="0" borderId="15" xfId="0" applyNumberFormat="1" applyFont="1" applyFill="1" applyBorder="1" applyAlignment="1">
      <alignment horizontal="center"/>
    </xf>
    <xf numFmtId="171" fontId="11" fillId="0" borderId="9" xfId="0" applyFont="1" applyFill="1" applyBorder="1" applyAlignment="1">
      <alignment horizontal="center"/>
    </xf>
    <xf numFmtId="8" fontId="11" fillId="0" borderId="0" xfId="0" applyNumberFormat="1" applyFont="1" applyFill="1" applyBorder="1"/>
    <xf numFmtId="164" fontId="11" fillId="0" borderId="0" xfId="0" applyNumberFormat="1" applyFont="1" applyFill="1" applyBorder="1"/>
    <xf numFmtId="167" fontId="4" fillId="0" borderId="13" xfId="0" applyNumberFormat="1" applyFont="1" applyFill="1" applyBorder="1" applyAlignment="1">
      <alignment horizontal="center"/>
    </xf>
    <xf numFmtId="167" fontId="4" fillId="0" borderId="12" xfId="0" applyNumberFormat="1" applyFont="1" applyFill="1" applyBorder="1" applyAlignment="1">
      <alignment horizontal="center"/>
    </xf>
    <xf numFmtId="171" fontId="4" fillId="0" borderId="6" xfId="0" quotePrefix="1" applyFont="1" applyFill="1" applyBorder="1" applyAlignment="1">
      <alignment horizontal="center"/>
    </xf>
    <xf numFmtId="1" fontId="4" fillId="0" borderId="13" xfId="0" applyNumberFormat="1" applyFont="1" applyFill="1" applyBorder="1" applyAlignment="1">
      <alignment horizontal="center"/>
    </xf>
    <xf numFmtId="169" fontId="4" fillId="0" borderId="0" xfId="0" applyNumberFormat="1" applyFont="1" applyFill="1"/>
    <xf numFmtId="171" fontId="11" fillId="0" borderId="8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71" fontId="0" fillId="0" borderId="0" xfId="0" applyFont="1" applyFill="1"/>
    <xf numFmtId="1" fontId="4" fillId="0" borderId="12" xfId="0" applyNumberFormat="1" applyFont="1" applyFill="1" applyBorder="1" applyAlignment="1">
      <alignment horizontal="center"/>
    </xf>
    <xf numFmtId="171" fontId="0" fillId="0" borderId="0" xfId="7" applyFont="1" applyFill="1"/>
    <xf numFmtId="173" fontId="0" fillId="0" borderId="0" xfId="0" applyNumberFormat="1" applyFont="1" applyFill="1" applyAlignment="1">
      <alignment horizontal="center"/>
    </xf>
    <xf numFmtId="171" fontId="0" fillId="0" borderId="0" xfId="7" applyFont="1" applyFill="1" applyAlignment="1">
      <alignment horizontal="centerContinuous"/>
    </xf>
    <xf numFmtId="171" fontId="3" fillId="0" borderId="4" xfId="0" applyFont="1" applyFill="1" applyBorder="1" applyAlignment="1">
      <alignment horizontal="centerContinuous" wrapText="1"/>
    </xf>
    <xf numFmtId="171" fontId="0" fillId="0" borderId="0" xfId="0" applyFont="1" applyFill="1" applyAlignment="1">
      <alignment horizontal="right"/>
    </xf>
    <xf numFmtId="167" fontId="0" fillId="0" borderId="0" xfId="0" applyNumberFormat="1" applyFont="1" applyFill="1" applyAlignment="1">
      <alignment horizontal="left"/>
    </xf>
    <xf numFmtId="171" fontId="21" fillId="0" borderId="0" xfId="0" applyFont="1" applyFill="1" applyBorder="1"/>
    <xf numFmtId="171" fontId="21" fillId="0" borderId="0" xfId="0" applyFont="1" applyFill="1" applyBorder="1" applyAlignment="1">
      <alignment horizontal="centerContinuous"/>
    </xf>
    <xf numFmtId="171" fontId="21" fillId="0" borderId="0" xfId="0" applyFont="1" applyFill="1" applyBorder="1" applyAlignment="1">
      <alignment horizontal="center"/>
    </xf>
    <xf numFmtId="171" fontId="21" fillId="0" borderId="4" xfId="0" applyFont="1" applyFill="1" applyBorder="1" applyAlignment="1">
      <alignment horizontal="center"/>
    </xf>
    <xf numFmtId="171" fontId="21" fillId="0" borderId="10" xfId="0" applyFont="1" applyFill="1" applyBorder="1" applyAlignment="1">
      <alignment horizontal="center"/>
    </xf>
    <xf numFmtId="172" fontId="21" fillId="0" borderId="0" xfId="0" applyNumberFormat="1" applyFont="1" applyFill="1" applyBorder="1"/>
    <xf numFmtId="171" fontId="21" fillId="0" borderId="0" xfId="0" applyFont="1" applyFill="1"/>
    <xf numFmtId="39" fontId="21" fillId="0" borderId="0" xfId="0" applyNumberFormat="1" applyFont="1" applyFill="1" applyBorder="1" applyAlignment="1">
      <alignment horizontal="center"/>
    </xf>
    <xf numFmtId="173" fontId="21" fillId="0" borderId="0" xfId="0" applyNumberFormat="1" applyFont="1" applyFill="1" applyAlignment="1">
      <alignment horizontal="center"/>
    </xf>
    <xf numFmtId="168" fontId="4" fillId="0" borderId="0" xfId="9" applyNumberFormat="1" applyFont="1" applyFill="1"/>
    <xf numFmtId="171" fontId="6" fillId="0" borderId="0" xfId="0" applyFont="1" applyFill="1" applyAlignment="1">
      <alignment horizontal="centerContinuous" vertical="center"/>
    </xf>
    <xf numFmtId="171" fontId="0" fillId="0" borderId="0" xfId="0" applyFill="1" applyAlignment="1">
      <alignment horizontal="centerContinuous" vertical="center"/>
    </xf>
    <xf numFmtId="171" fontId="3" fillId="0" borderId="4" xfId="13" applyFont="1" applyFill="1" applyBorder="1" applyAlignment="1">
      <alignment horizontal="center" wrapText="1"/>
    </xf>
    <xf numFmtId="171" fontId="0" fillId="0" borderId="10" xfId="7" applyFont="1" applyFill="1" applyBorder="1"/>
    <xf numFmtId="171" fontId="20" fillId="0" borderId="10" xfId="13" quotePrefix="1" applyFont="1" applyFill="1" applyBorder="1" applyAlignment="1">
      <alignment horizontal="center" wrapText="1"/>
    </xf>
    <xf numFmtId="171" fontId="0" fillId="0" borderId="0" xfId="7" quotePrefix="1" applyFont="1" applyFill="1" applyBorder="1" applyAlignment="1">
      <alignment horizontal="center"/>
    </xf>
    <xf numFmtId="0" fontId="0" fillId="0" borderId="0" xfId="7" applyNumberFormat="1" applyFont="1" applyFill="1" applyAlignment="1">
      <alignment horizontal="center"/>
    </xf>
    <xf numFmtId="167" fontId="0" fillId="0" borderId="0" xfId="7" applyNumberFormat="1" applyFont="1" applyFill="1" applyBorder="1" applyAlignment="1">
      <alignment horizontal="center"/>
    </xf>
    <xf numFmtId="171" fontId="4" fillId="0" borderId="0" xfId="13" applyFont="1" applyFill="1"/>
    <xf numFmtId="0" fontId="2" fillId="0" borderId="0" xfId="14"/>
    <xf numFmtId="8" fontId="4" fillId="0" borderId="0" xfId="13" applyNumberFormat="1" applyFont="1" applyFill="1" applyAlignment="1">
      <alignment horizontal="right"/>
    </xf>
    <xf numFmtId="171" fontId="8" fillId="0" borderId="0" xfId="0" applyNumberFormat="1" applyFont="1" applyFill="1" applyAlignment="1">
      <alignment horizontal="center"/>
    </xf>
    <xf numFmtId="171" fontId="0" fillId="0" borderId="8" xfId="0" applyFont="1" applyFill="1" applyBorder="1"/>
    <xf numFmtId="171" fontId="0" fillId="0" borderId="5" xfId="0" applyFont="1" applyFill="1" applyBorder="1"/>
    <xf numFmtId="171" fontId="3" fillId="0" borderId="11" xfId="0" applyFont="1" applyFill="1" applyBorder="1" applyAlignment="1">
      <alignment horizontal="centerContinuous" wrapText="1"/>
    </xf>
    <xf numFmtId="169" fontId="4" fillId="0" borderId="0" xfId="0" applyNumberFormat="1" applyFont="1" applyFill="1" applyBorder="1"/>
    <xf numFmtId="172" fontId="11" fillId="0" borderId="0" xfId="0" applyNumberFormat="1" applyFont="1" applyFill="1"/>
    <xf numFmtId="172" fontId="11" fillId="0" borderId="0" xfId="0" applyNumberFormat="1" applyFont="1" applyFill="1" applyBorder="1"/>
    <xf numFmtId="171" fontId="3" fillId="0" borderId="12" xfId="13" applyFont="1" applyFill="1" applyBorder="1" applyAlignment="1">
      <alignment horizontal="center" wrapText="1"/>
    </xf>
    <xf numFmtId="168" fontId="0" fillId="0" borderId="0" xfId="9" applyNumberFormat="1" applyFont="1"/>
    <xf numFmtId="171" fontId="0" fillId="0" borderId="10" xfId="0" applyBorder="1"/>
    <xf numFmtId="1" fontId="21" fillId="0" borderId="12" xfId="0" applyNumberFormat="1" applyFont="1" applyFill="1" applyBorder="1" applyAlignment="1">
      <alignment horizontal="center"/>
    </xf>
    <xf numFmtId="171" fontId="10" fillId="0" borderId="0" xfId="0" applyFont="1" applyFill="1" applyBorder="1"/>
    <xf numFmtId="14" fontId="11" fillId="0" borderId="0" xfId="0" applyNumberFormat="1" applyFont="1" applyFill="1" applyBorder="1"/>
    <xf numFmtId="171" fontId="12" fillId="0" borderId="0" xfId="0" applyFont="1" applyFill="1" applyBorder="1" applyAlignment="1">
      <alignment horizontal="centerContinuous"/>
    </xf>
    <xf numFmtId="8" fontId="21" fillId="0" borderId="0" xfId="0" applyNumberFormat="1" applyFont="1" applyFill="1" applyBorder="1"/>
    <xf numFmtId="171" fontId="21" fillId="0" borderId="6" xfId="0" applyFont="1" applyFill="1" applyBorder="1" applyAlignment="1">
      <alignment horizontal="center"/>
    </xf>
    <xf numFmtId="8" fontId="21" fillId="0" borderId="0" xfId="0" applyNumberFormat="1" applyFont="1" applyFill="1" applyBorder="1" applyAlignment="1">
      <alignment horizontal="center"/>
    </xf>
    <xf numFmtId="2" fontId="21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/>
    </xf>
    <xf numFmtId="171" fontId="12" fillId="0" borderId="0" xfId="0" applyFont="1" applyFill="1" applyBorder="1"/>
    <xf numFmtId="167" fontId="23" fillId="0" borderId="0" xfId="7" applyNumberFormat="1" applyFon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/>
    </xf>
    <xf numFmtId="167" fontId="4" fillId="0" borderId="14" xfId="0" applyNumberFormat="1" applyFont="1" applyFill="1" applyBorder="1" applyAlignment="1">
      <alignment horizontal="center"/>
    </xf>
    <xf numFmtId="171" fontId="21" fillId="0" borderId="0" xfId="0" applyFont="1" applyFill="1" applyBorder="1" applyAlignment="1">
      <alignment horizontal="left" vertical="top"/>
    </xf>
    <xf numFmtId="171" fontId="5" fillId="0" borderId="0" xfId="18" applyFont="1" applyAlignment="1">
      <alignment horizontal="centerContinuous"/>
    </xf>
    <xf numFmtId="171" fontId="4" fillId="0" borderId="0" xfId="18" applyFont="1" applyAlignment="1">
      <alignment horizontal="centerContinuous"/>
    </xf>
    <xf numFmtId="171" fontId="4" fillId="0" borderId="0" xfId="18" applyFont="1"/>
    <xf numFmtId="171" fontId="5" fillId="0" borderId="0" xfId="18" applyFont="1" applyFill="1" applyAlignment="1">
      <alignment horizontal="centerContinuous"/>
    </xf>
    <xf numFmtId="17" fontId="5" fillId="0" borderId="0" xfId="0" quotePrefix="1" applyNumberFormat="1" applyFont="1" applyFill="1" applyAlignment="1">
      <alignment horizontal="centerContinuous"/>
    </xf>
    <xf numFmtId="171" fontId="24" fillId="0" borderId="0" xfId="0" applyFont="1" applyAlignment="1">
      <alignment horizontal="right" vertical="center"/>
    </xf>
    <xf numFmtId="166" fontId="25" fillId="0" borderId="0" xfId="0" applyNumberFormat="1" applyFont="1" applyAlignment="1">
      <alignment horizontal="left" vertical="center"/>
    </xf>
    <xf numFmtId="171" fontId="9" fillId="6" borderId="11" xfId="0" applyFont="1" applyFill="1" applyBorder="1" applyAlignment="1">
      <alignment horizontal="centerContinuous" vertical="center"/>
    </xf>
    <xf numFmtId="171" fontId="9" fillId="6" borderId="11" xfId="0" applyFont="1" applyFill="1" applyBorder="1" applyAlignment="1">
      <alignment horizontal="centerContinuous"/>
    </xf>
    <xf numFmtId="171" fontId="9" fillId="6" borderId="17" xfId="0" applyFont="1" applyFill="1" applyBorder="1" applyAlignment="1">
      <alignment horizontal="centerContinuous"/>
    </xf>
    <xf numFmtId="171" fontId="5" fillId="6" borderId="8" xfId="0" applyFont="1" applyFill="1" applyBorder="1" applyAlignment="1">
      <alignment horizontal="centerContinuous" wrapText="1"/>
    </xf>
    <xf numFmtId="171" fontId="5" fillId="6" borderId="17" xfId="0" applyFont="1" applyFill="1" applyBorder="1" applyAlignment="1">
      <alignment horizontal="centerContinuous" wrapText="1"/>
    </xf>
    <xf numFmtId="171" fontId="26" fillId="0" borderId="0" xfId="0" applyFont="1"/>
    <xf numFmtId="171" fontId="9" fillId="0" borderId="15" xfId="0" applyFont="1" applyBorder="1" applyAlignment="1"/>
    <xf numFmtId="171" fontId="9" fillId="6" borderId="11" xfId="0" applyFont="1" applyFill="1" applyBorder="1" applyAlignment="1"/>
    <xf numFmtId="1" fontId="9" fillId="6" borderId="11" xfId="0" applyNumberFormat="1" applyFont="1" applyFill="1" applyBorder="1" applyAlignment="1">
      <alignment horizontal="center"/>
    </xf>
    <xf numFmtId="0" fontId="9" fillId="6" borderId="11" xfId="0" applyNumberFormat="1" applyFont="1" applyFill="1" applyBorder="1" applyAlignment="1">
      <alignment horizontal="center"/>
    </xf>
    <xf numFmtId="0" fontId="9" fillId="6" borderId="17" xfId="0" applyNumberFormat="1" applyFont="1" applyFill="1" applyBorder="1" applyAlignment="1">
      <alignment horizontal="center"/>
    </xf>
    <xf numFmtId="171" fontId="5" fillId="6" borderId="11" xfId="0" applyFont="1" applyFill="1" applyBorder="1" applyAlignment="1">
      <alignment horizontal="centerContinuous"/>
    </xf>
    <xf numFmtId="171" fontId="3" fillId="6" borderId="13" xfId="0" applyFont="1" applyFill="1" applyBorder="1" applyAlignment="1">
      <alignment horizontal="center" vertical="top"/>
    </xf>
    <xf numFmtId="171" fontId="3" fillId="7" borderId="8" xfId="0" applyFont="1" applyFill="1" applyBorder="1" applyAlignment="1"/>
    <xf numFmtId="171" fontId="4" fillId="7" borderId="8" xfId="0" applyFont="1" applyFill="1" applyBorder="1" applyAlignment="1"/>
    <xf numFmtId="171" fontId="4" fillId="7" borderId="5" xfId="0" applyFont="1" applyFill="1" applyBorder="1" applyAlignment="1"/>
    <xf numFmtId="171" fontId="4" fillId="7" borderId="17" xfId="0" applyFont="1" applyFill="1" applyBorder="1" applyAlignment="1"/>
    <xf numFmtId="171" fontId="3" fillId="6" borderId="6" xfId="0" applyFont="1" applyFill="1" applyBorder="1" applyAlignment="1">
      <alignment horizontal="center" vertical="top"/>
    </xf>
    <xf numFmtId="171" fontId="4" fillId="0" borderId="19" xfId="0" applyFont="1" applyBorder="1" applyAlignment="1"/>
    <xf numFmtId="164" fontId="9" fillId="0" borderId="11" xfId="1" applyNumberFormat="1" applyFont="1" applyBorder="1" applyAlignment="1">
      <alignment horizontal="center"/>
    </xf>
    <xf numFmtId="164" fontId="9" fillId="0" borderId="17" xfId="1" applyNumberFormat="1" applyFont="1" applyBorder="1" applyAlignment="1">
      <alignment horizontal="center"/>
    </xf>
    <xf numFmtId="171" fontId="4" fillId="6" borderId="6" xfId="0" applyFont="1" applyFill="1" applyBorder="1" applyAlignment="1">
      <alignment horizontal="center" vertical="top"/>
    </xf>
    <xf numFmtId="171" fontId="4" fillId="0" borderId="20" xfId="0" applyFont="1" applyBorder="1" applyAlignment="1"/>
    <xf numFmtId="164" fontId="9" fillId="0" borderId="10" xfId="1" applyNumberFormat="1" applyFont="1" applyBorder="1" applyAlignment="1">
      <alignment horizontal="center"/>
    </xf>
    <xf numFmtId="164" fontId="9" fillId="0" borderId="15" xfId="1" applyNumberFormat="1" applyFont="1" applyBorder="1" applyAlignment="1">
      <alignment horizontal="center"/>
    </xf>
    <xf numFmtId="171" fontId="4" fillId="7" borderId="12" xfId="0" applyFont="1" applyFill="1" applyBorder="1" applyAlignment="1"/>
    <xf numFmtId="171" fontId="4" fillId="7" borderId="7" xfId="0" applyFont="1" applyFill="1" applyBorder="1" applyAlignment="1"/>
    <xf numFmtId="164" fontId="9" fillId="5" borderId="10" xfId="1" applyNumberFormat="1" applyFont="1" applyFill="1" applyBorder="1" applyAlignment="1">
      <alignment horizontal="center"/>
    </xf>
    <xf numFmtId="174" fontId="9" fillId="0" borderId="11" xfId="1" applyNumberFormat="1" applyFont="1" applyBorder="1" applyAlignment="1">
      <alignment horizontal="center"/>
    </xf>
    <xf numFmtId="171" fontId="4" fillId="0" borderId="8" xfId="0" applyFont="1" applyBorder="1" applyAlignment="1"/>
    <xf numFmtId="171" fontId="4" fillId="6" borderId="21" xfId="0" applyFont="1" applyFill="1" applyBorder="1" applyAlignment="1">
      <alignment horizontal="center" vertical="top"/>
    </xf>
    <xf numFmtId="174" fontId="9" fillId="0" borderId="10" xfId="1" applyNumberFormat="1" applyFont="1" applyBorder="1" applyAlignment="1">
      <alignment horizontal="center"/>
    </xf>
    <xf numFmtId="174" fontId="9" fillId="0" borderId="15" xfId="1" applyNumberFormat="1" applyFont="1" applyBorder="1" applyAlignment="1">
      <alignment horizontal="center"/>
    </xf>
    <xf numFmtId="164" fontId="9" fillId="0" borderId="6" xfId="1" applyNumberFormat="1" applyFont="1" applyBorder="1" applyAlignment="1">
      <alignment horizontal="center"/>
    </xf>
    <xf numFmtId="171" fontId="4" fillId="0" borderId="13" xfId="0" applyFont="1" applyBorder="1" applyAlignment="1"/>
    <xf numFmtId="164" fontId="9" fillId="0" borderId="4" xfId="1" applyNumberFormat="1" applyFont="1" applyBorder="1" applyAlignment="1">
      <alignment horizontal="center"/>
    </xf>
    <xf numFmtId="171" fontId="4" fillId="6" borderId="12" xfId="0" applyFont="1" applyFill="1" applyBorder="1" applyAlignment="1">
      <alignment horizontal="center" vertical="top"/>
    </xf>
    <xf numFmtId="171" fontId="4" fillId="0" borderId="11" xfId="0" applyFont="1" applyBorder="1" applyAlignment="1"/>
    <xf numFmtId="43" fontId="9" fillId="0" borderId="10" xfId="1" applyNumberFormat="1" applyFont="1" applyBorder="1" applyAlignment="1">
      <alignment horizontal="center"/>
    </xf>
    <xf numFmtId="171" fontId="4" fillId="6" borderId="22" xfId="0" applyFont="1" applyFill="1" applyBorder="1" applyAlignment="1">
      <alignment horizontal="center" vertical="top"/>
    </xf>
    <xf numFmtId="171" fontId="4" fillId="0" borderId="23" xfId="0" applyFont="1" applyBorder="1" applyAlignment="1"/>
    <xf numFmtId="171" fontId="4" fillId="0" borderId="7" xfId="0" applyFont="1" applyBorder="1" applyAlignment="1"/>
    <xf numFmtId="171" fontId="4" fillId="6" borderId="24" xfId="0" applyFont="1" applyFill="1" applyBorder="1" applyAlignment="1">
      <alignment horizontal="right"/>
    </xf>
    <xf numFmtId="164" fontId="9" fillId="6" borderId="25" xfId="1" applyNumberFormat="1" applyFont="1" applyFill="1" applyBorder="1" applyAlignment="1">
      <alignment horizontal="center"/>
    </xf>
    <xf numFmtId="164" fontId="9" fillId="6" borderId="26" xfId="1" applyNumberFormat="1" applyFont="1" applyFill="1" applyBorder="1" applyAlignment="1">
      <alignment horizontal="center"/>
    </xf>
    <xf numFmtId="164" fontId="9" fillId="0" borderId="18" xfId="1" applyNumberFormat="1" applyFont="1" applyFill="1" applyBorder="1" applyAlignment="1">
      <alignment horizontal="center"/>
    </xf>
    <xf numFmtId="171" fontId="4" fillId="6" borderId="27" xfId="0" applyFont="1" applyFill="1" applyBorder="1" applyAlignment="1">
      <alignment horizontal="right"/>
    </xf>
    <xf numFmtId="164" fontId="9" fillId="6" borderId="28" xfId="1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171" fontId="4" fillId="0" borderId="0" xfId="0" applyFont="1" applyAlignment="1"/>
    <xf numFmtId="171" fontId="4" fillId="6" borderId="8" xfId="0" applyFont="1" applyFill="1" applyBorder="1" applyAlignment="1">
      <alignment horizontal="right"/>
    </xf>
    <xf numFmtId="164" fontId="9" fillId="6" borderId="11" xfId="1" applyNumberFormat="1" applyFont="1" applyFill="1" applyBorder="1" applyAlignment="1">
      <alignment horizontal="center"/>
    </xf>
    <xf numFmtId="171" fontId="4" fillId="0" borderId="0" xfId="0" applyFont="1" applyFill="1" applyAlignment="1"/>
    <xf numFmtId="164" fontId="4" fillId="0" borderId="0" xfId="0" applyNumberFormat="1" applyFont="1"/>
    <xf numFmtId="171" fontId="4" fillId="0" borderId="0" xfId="0" applyFont="1" applyBorder="1"/>
    <xf numFmtId="164" fontId="4" fillId="0" borderId="0" xfId="0" applyNumberFormat="1" applyFont="1" applyFill="1" applyBorder="1"/>
    <xf numFmtId="171" fontId="12" fillId="0" borderId="0" xfId="0" applyFont="1" applyFill="1" applyBorder="1" applyAlignment="1">
      <alignment horizontal="left" vertical="top"/>
    </xf>
    <xf numFmtId="171" fontId="4" fillId="0" borderId="0" xfId="0" quotePrefix="1" applyFont="1" applyFill="1" applyAlignment="1">
      <alignment horizontal="right"/>
    </xf>
    <xf numFmtId="171" fontId="2" fillId="0" borderId="0" xfId="0" applyFont="1" applyFill="1" applyBorder="1" applyAlignment="1"/>
    <xf numFmtId="171" fontId="9" fillId="0" borderId="0" xfId="0" applyFont="1" applyFill="1" applyAlignment="1"/>
    <xf numFmtId="171" fontId="10" fillId="0" borderId="0" xfId="0" applyFont="1" applyFill="1" applyAlignment="1"/>
    <xf numFmtId="171" fontId="11" fillId="0" borderId="0" xfId="0" applyFont="1" applyFill="1" applyAlignment="1"/>
    <xf numFmtId="171" fontId="6" fillId="0" borderId="0" xfId="0" applyFont="1" applyFill="1" applyAlignment="1">
      <alignment horizontal="centerContinuous" vertical="top"/>
    </xf>
    <xf numFmtId="171" fontId="0" fillId="0" borderId="0" xfId="18" applyFont="1"/>
    <xf numFmtId="171" fontId="0" fillId="0" borderId="8" xfId="0" applyFont="1" applyFill="1" applyBorder="1" applyAlignment="1">
      <alignment horizontal="center"/>
    </xf>
    <xf numFmtId="171" fontId="0" fillId="0" borderId="5" xfId="0" applyFont="1" applyFill="1" applyBorder="1" applyAlignment="1">
      <alignment horizontal="center"/>
    </xf>
    <xf numFmtId="171" fontId="0" fillId="0" borderId="17" xfId="0" applyFont="1" applyFill="1" applyBorder="1" applyAlignment="1">
      <alignment horizontal="center"/>
    </xf>
    <xf numFmtId="171" fontId="5" fillId="0" borderId="0" xfId="7" applyFont="1" applyFill="1" applyAlignment="1">
      <alignment horizontal="center"/>
    </xf>
    <xf numFmtId="7" fontId="11" fillId="0" borderId="0" xfId="0" applyNumberFormat="1" applyFont="1" applyFill="1" applyBorder="1" applyAlignment="1">
      <alignment horizontal="center"/>
    </xf>
  </cellXfs>
  <cellStyles count="19">
    <cellStyle name="_x0013_" xfId="15"/>
    <cellStyle name="Comma" xfId="1" builtinId="3"/>
    <cellStyle name="Currency No Comma" xfId="2"/>
    <cellStyle name="Input" xfId="3" builtinId="20" customBuiltin="1"/>
    <cellStyle name="MCP" xfId="4"/>
    <cellStyle name="noninput" xfId="5"/>
    <cellStyle name="Normal" xfId="0" builtinId="0" customBuiltin="1"/>
    <cellStyle name="Normal 176" xfId="16"/>
    <cellStyle name="Normal 2" xfId="17"/>
    <cellStyle name="Normal_INF_06_03_07" xfId="14"/>
    <cellStyle name="Normal_Or AC 2003 - AC Study - Fuel Indexed Avoided Costs" xfId="6"/>
    <cellStyle name="Normal_OR AC Sch 37 - AC  Study (Gold) _2009 06 19" xfId="7"/>
    <cellStyle name="Normal_UT AC Sch 37 - L&amp;R  Study (Gold) _2009 06 19" xfId="18"/>
    <cellStyle name="Normal_WY AC 2009 - AC Study (Wind Study)_2009 08 11" xfId="13"/>
    <cellStyle name="Password" xfId="8"/>
    <cellStyle name="Percent" xfId="9" builtinId="5"/>
    <cellStyle name="Unprot" xfId="10"/>
    <cellStyle name="Unprot$" xfId="11"/>
    <cellStyle name="Unprotect" xfId="12"/>
  </cellStyles>
  <dxfs count="1"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ah/Ut%20AC%202014%20May%20-%20Sch%2037%20Update/Testimony/UT%20Sch%2037%202014%20-%20Appendix%201%20-AC%20Study%20_2014%2005%2007_Testimony%20Support%202014%2007%20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tah/Ut%20AC%202013%20May%20-%20Sch%2037%20Update/Scenario/Preliminary%20and%20Draft%20Versions/UT%20Sch%2037%202013%20-%202a%20-%20L&amp;R%20%20Study%20_2013%2005%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A BaseLoad"/>
      <sheetName val="Table 2B Wind"/>
      <sheetName val="Table 2C SolarFixed"/>
      <sheetName val="Table 2D SolarTracking"/>
      <sheetName val="Tables 3 to 6"/>
      <sheetName val="Table 7"/>
      <sheetName val="Table 8"/>
      <sheetName val="Table 9"/>
      <sheetName val="Table 10"/>
      <sheetName val="Table 11"/>
      <sheetName val="Table 12"/>
      <sheetName val="--- Do Not Print ---&gt;"/>
      <sheetName val="Tariff Page"/>
      <sheetName val="Tariff Page Solar Fixed"/>
      <sheetName val="Tariff Page Solar Tracking"/>
      <sheetName val="Tariff Page Wind"/>
      <sheetName val="Testimony _Table 1"/>
      <sheetName val="Capacity_Energy Prices"/>
      <sheetName val="Volumetric Pr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5">
          <cell r="B45">
            <v>2.1800000000000002</v>
          </cell>
        </row>
        <row r="46">
          <cell r="B46">
            <v>2.83</v>
          </cell>
        </row>
      </sheetData>
      <sheetData sheetId="12"/>
      <sheetData sheetId="13">
        <row r="30">
          <cell r="K30">
            <v>6.8820000000000006E-2</v>
          </cell>
        </row>
      </sheetData>
      <sheetData sheetId="14"/>
      <sheetData sheetId="15"/>
      <sheetData sheetId="16"/>
      <sheetData sheetId="17"/>
      <sheetData sheetId="18"/>
      <sheetData sheetId="19">
        <row r="15">
          <cell r="B15">
            <v>2014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 Version Log"/>
      <sheetName val="Summary"/>
      <sheetName val="Profile"/>
      <sheetName val="Delta"/>
      <sheetName val="L&amp;R"/>
      <sheetName val="Base"/>
      <sheetName val="Check LTC"/>
      <sheetName val="Thermal Derates"/>
      <sheetName val="GRID Hydro Gen Peak"/>
      <sheetName val="GRID Load Peak"/>
      <sheetName val="GRID LTC Availability Min"/>
      <sheetName val="GRID LTC Availability Peak"/>
      <sheetName val="GRID LTC Dispatch Peak"/>
      <sheetName val="GRID Nameplate"/>
      <sheetName val="GRID Plant Outage Peak"/>
      <sheetName val="GRID ResReq Margin Peak"/>
      <sheetName val="GRID ResReq NoSpin Peak"/>
      <sheetName val="GRID ResReq Spin Peak"/>
      <sheetName val="GRID STF Purchases Peak"/>
      <sheetName val="GRID STF Sales Peak"/>
      <sheetName val="GRID Thermal Avail Peak"/>
      <sheetName val="GRID Hydro Generation (MWH)"/>
      <sheetName val="GRID Load (MWH)"/>
      <sheetName val="GRID LTC Availability (MWH)"/>
      <sheetName val="GRID LTC Dispatch (MWH)"/>
      <sheetName val="GRID Plant Outage (MWH)"/>
      <sheetName val="GRID Ready Res (MWH)"/>
      <sheetName val="GRID ResReq Margin (MWH)"/>
      <sheetName val="GRID Spinning Res (MWH)"/>
      <sheetName val="GRID STF Purchases (MWH)"/>
      <sheetName val="GRID STF Sales (MWH)"/>
      <sheetName val="GRID Thermal Availability (MWH)"/>
      <sheetName val="MacroBuilder"/>
      <sheetName val="on off peak hours"/>
    </sheetNames>
    <sheetDataSet>
      <sheetData sheetId="0">
        <row r="7">
          <cell r="D7" t="str">
            <v>Ut Sch 37 - 05a - Base Case _2013 05 10 (Plants) (L&amp;R)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>
        <row r="15">
          <cell r="C15">
            <v>40909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5"/>
  <sheetViews>
    <sheetView tabSelected="1" zoomScale="80" zoomScaleNormal="80" workbookViewId="0">
      <selection activeCell="C75" sqref="C75"/>
    </sheetView>
  </sheetViews>
  <sheetFormatPr defaultColWidth="10" defaultRowHeight="12.75" x14ac:dyDescent="0.2"/>
  <cols>
    <col min="1" max="1" width="6.1640625" style="163" customWidth="1"/>
    <col min="2" max="2" width="10" style="163"/>
    <col min="3" max="3" width="55" style="163" customWidth="1"/>
    <col min="4" max="4" width="16.6640625" style="163" hidden="1" customWidth="1"/>
    <col min="5" max="18" width="10" style="163"/>
    <col min="19" max="25" width="0" style="163" hidden="1" customWidth="1"/>
    <col min="26" max="16384" width="10" style="163"/>
  </cols>
  <sheetData>
    <row r="1" spans="2:29" ht="15.75" x14ac:dyDescent="0.25">
      <c r="B1" s="161" t="s">
        <v>72</v>
      </c>
      <c r="C1" s="161"/>
      <c r="D1" s="161"/>
      <c r="E1" s="161"/>
      <c r="F1" s="161"/>
      <c r="G1" s="161"/>
      <c r="H1" s="161"/>
      <c r="I1" s="161"/>
      <c r="J1" s="161"/>
      <c r="K1" s="161"/>
      <c r="L1" s="162"/>
      <c r="M1" s="162"/>
      <c r="N1" s="162"/>
      <c r="O1" s="162"/>
      <c r="P1" s="162"/>
      <c r="Q1" s="162"/>
      <c r="R1" s="162"/>
    </row>
    <row r="2" spans="2:29" ht="15.75" x14ac:dyDescent="0.25">
      <c r="B2" s="164" t="s">
        <v>159</v>
      </c>
      <c r="C2" s="161"/>
      <c r="D2" s="161"/>
      <c r="E2" s="161"/>
      <c r="F2" s="161"/>
      <c r="G2" s="161"/>
      <c r="H2" s="161"/>
      <c r="I2" s="161"/>
      <c r="J2" s="161"/>
      <c r="K2" s="161"/>
      <c r="L2" s="162"/>
      <c r="M2" s="162"/>
      <c r="N2" s="162"/>
      <c r="O2" s="162"/>
      <c r="P2" s="162"/>
      <c r="Q2" s="162"/>
      <c r="R2" s="162"/>
    </row>
    <row r="3" spans="2:29" ht="15.75" x14ac:dyDescent="0.25">
      <c r="B3" s="165" t="s">
        <v>92</v>
      </c>
      <c r="C3" s="161"/>
      <c r="D3" s="161"/>
      <c r="E3" s="161"/>
      <c r="F3" s="161"/>
      <c r="G3" s="161"/>
      <c r="H3" s="161"/>
      <c r="I3" s="161"/>
      <c r="J3" s="161"/>
      <c r="K3" s="161"/>
      <c r="L3" s="162"/>
      <c r="M3" s="162"/>
      <c r="N3" s="162"/>
      <c r="O3" s="162"/>
      <c r="P3" s="162"/>
      <c r="Q3" s="162"/>
      <c r="R3" s="162"/>
    </row>
    <row r="5" spans="2:29" customFormat="1" ht="15.75" customHeight="1" x14ac:dyDescent="0.25">
      <c r="B5" s="166"/>
      <c r="C5" s="167"/>
      <c r="D5" s="168" t="s">
        <v>93</v>
      </c>
      <c r="E5" s="168" t="s">
        <v>93</v>
      </c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70"/>
      <c r="T5" s="169"/>
      <c r="U5" s="169"/>
      <c r="V5" s="169"/>
      <c r="W5" s="169"/>
      <c r="X5" s="171" t="s">
        <v>94</v>
      </c>
      <c r="Y5" s="172"/>
      <c r="AC5" s="173"/>
    </row>
    <row r="6" spans="2:29" customFormat="1" ht="15.75" x14ac:dyDescent="0.25">
      <c r="B6" s="174"/>
      <c r="C6" s="175" t="s">
        <v>95</v>
      </c>
      <c r="D6" s="176">
        <v>2013</v>
      </c>
      <c r="E6" s="177">
        <v>2014</v>
      </c>
      <c r="F6" s="177">
        <v>2015</v>
      </c>
      <c r="G6" s="177">
        <v>2016</v>
      </c>
      <c r="H6" s="177">
        <v>2017</v>
      </c>
      <c r="I6" s="177">
        <v>2018</v>
      </c>
      <c r="J6" s="177">
        <v>2019</v>
      </c>
      <c r="K6" s="177">
        <v>2020</v>
      </c>
      <c r="L6" s="177">
        <v>2021</v>
      </c>
      <c r="M6" s="177">
        <v>2022</v>
      </c>
      <c r="N6" s="177">
        <v>2023</v>
      </c>
      <c r="O6" s="177">
        <v>2024</v>
      </c>
      <c r="P6" s="177">
        <v>2025</v>
      </c>
      <c r="Q6" s="177">
        <v>2026</v>
      </c>
      <c r="R6" s="177">
        <v>2027</v>
      </c>
      <c r="S6" s="178">
        <v>2028</v>
      </c>
      <c r="T6" s="177">
        <v>2029</v>
      </c>
      <c r="U6" s="177">
        <v>2030</v>
      </c>
      <c r="V6" s="177">
        <v>2031</v>
      </c>
      <c r="W6" s="177">
        <v>2032</v>
      </c>
      <c r="X6" s="179" t="s">
        <v>96</v>
      </c>
      <c r="Y6" s="179" t="s">
        <v>97</v>
      </c>
    </row>
    <row r="7" spans="2:29" customFormat="1" hidden="1" x14ac:dyDescent="0.2">
      <c r="B7" s="180" t="s">
        <v>98</v>
      </c>
      <c r="C7" s="181" t="s">
        <v>99</v>
      </c>
      <c r="D7" s="182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4"/>
      <c r="S7" s="183"/>
      <c r="T7" s="183"/>
      <c r="U7" s="183"/>
      <c r="V7" s="183"/>
      <c r="W7" s="184"/>
      <c r="X7" s="182"/>
      <c r="Y7" s="184"/>
    </row>
    <row r="8" spans="2:29" customFormat="1" ht="15.75" hidden="1" x14ac:dyDescent="0.25">
      <c r="B8" s="185"/>
      <c r="C8" s="186" t="s">
        <v>100</v>
      </c>
      <c r="D8" s="187">
        <v>0</v>
      </c>
      <c r="E8" s="187">
        <v>0</v>
      </c>
      <c r="F8" s="187">
        <v>0</v>
      </c>
      <c r="G8" s="187">
        <v>0</v>
      </c>
      <c r="H8" s="187">
        <v>0</v>
      </c>
      <c r="I8" s="187">
        <v>0</v>
      </c>
      <c r="J8" s="187">
        <v>0</v>
      </c>
      <c r="K8" s="187">
        <v>0</v>
      </c>
      <c r="L8" s="187">
        <v>0</v>
      </c>
      <c r="M8" s="187">
        <v>0</v>
      </c>
      <c r="N8" s="187">
        <v>0</v>
      </c>
      <c r="O8" s="187">
        <v>0</v>
      </c>
      <c r="P8" s="187">
        <v>0</v>
      </c>
      <c r="Q8" s="187">
        <v>0</v>
      </c>
      <c r="R8" s="187">
        <v>0</v>
      </c>
      <c r="S8" s="188">
        <v>0</v>
      </c>
      <c r="T8" s="187">
        <v>0</v>
      </c>
      <c r="U8" s="187">
        <v>0</v>
      </c>
      <c r="V8" s="187">
        <v>-43.36</v>
      </c>
      <c r="W8" s="187">
        <v>0</v>
      </c>
      <c r="X8" s="187">
        <v>0</v>
      </c>
      <c r="Y8" s="187">
        <v>-43.36</v>
      </c>
    </row>
    <row r="9" spans="2:29" customFormat="1" ht="15.75" hidden="1" x14ac:dyDescent="0.25">
      <c r="B9" s="185"/>
      <c r="C9" s="186" t="s">
        <v>101</v>
      </c>
      <c r="D9" s="187">
        <v>0</v>
      </c>
      <c r="E9" s="187">
        <v>0</v>
      </c>
      <c r="F9" s="187">
        <v>0</v>
      </c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  <c r="N9" s="187">
        <v>0</v>
      </c>
      <c r="O9" s="187">
        <v>0</v>
      </c>
      <c r="P9" s="187">
        <v>0</v>
      </c>
      <c r="Q9" s="187">
        <v>0</v>
      </c>
      <c r="R9" s="187">
        <v>0</v>
      </c>
      <c r="S9" s="188">
        <v>0</v>
      </c>
      <c r="T9" s="187">
        <v>0</v>
      </c>
      <c r="U9" s="187">
        <v>0</v>
      </c>
      <c r="V9" s="187">
        <v>-30.42</v>
      </c>
      <c r="W9" s="187">
        <v>0</v>
      </c>
      <c r="X9" s="187">
        <v>0</v>
      </c>
      <c r="Y9" s="187">
        <v>-30.42</v>
      </c>
    </row>
    <row r="10" spans="2:29" customFormat="1" ht="15.75" hidden="1" x14ac:dyDescent="0.25">
      <c r="B10" s="185"/>
      <c r="C10" s="186" t="s">
        <v>102</v>
      </c>
      <c r="D10" s="187">
        <v>0</v>
      </c>
      <c r="E10" s="187">
        <v>0</v>
      </c>
      <c r="F10" s="187">
        <v>-67</v>
      </c>
      <c r="G10" s="187">
        <v>0</v>
      </c>
      <c r="H10" s="187">
        <v>0</v>
      </c>
      <c r="I10" s="187">
        <v>0</v>
      </c>
      <c r="J10" s="187">
        <v>0</v>
      </c>
      <c r="K10" s="187">
        <v>0</v>
      </c>
      <c r="L10" s="187">
        <v>0</v>
      </c>
      <c r="M10" s="187">
        <v>0</v>
      </c>
      <c r="N10" s="187">
        <v>0</v>
      </c>
      <c r="O10" s="187">
        <v>0</v>
      </c>
      <c r="P10" s="187">
        <v>0</v>
      </c>
      <c r="Q10" s="187">
        <v>0</v>
      </c>
      <c r="R10" s="187">
        <v>0</v>
      </c>
      <c r="S10" s="188">
        <v>0</v>
      </c>
      <c r="T10" s="187">
        <v>0</v>
      </c>
      <c r="U10" s="187">
        <v>0</v>
      </c>
      <c r="V10" s="187">
        <v>0</v>
      </c>
      <c r="W10" s="187">
        <v>0</v>
      </c>
      <c r="X10" s="187">
        <v>-67</v>
      </c>
      <c r="Y10" s="187">
        <v>-67</v>
      </c>
    </row>
    <row r="11" spans="2:29" customFormat="1" ht="15.75" hidden="1" x14ac:dyDescent="0.25">
      <c r="B11" s="185"/>
      <c r="C11" s="186" t="s">
        <v>103</v>
      </c>
      <c r="D11" s="187">
        <v>0</v>
      </c>
      <c r="E11" s="187">
        <v>0</v>
      </c>
      <c r="F11" s="187">
        <v>-105</v>
      </c>
      <c r="G11" s="187">
        <v>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87">
        <v>0</v>
      </c>
      <c r="S11" s="188">
        <v>0</v>
      </c>
      <c r="T11" s="187">
        <v>0</v>
      </c>
      <c r="U11" s="187">
        <v>0</v>
      </c>
      <c r="V11" s="187">
        <v>0</v>
      </c>
      <c r="W11" s="187">
        <v>0</v>
      </c>
      <c r="X11" s="187">
        <v>-105</v>
      </c>
      <c r="Y11" s="187">
        <v>-105</v>
      </c>
    </row>
    <row r="12" spans="2:29" customFormat="1" ht="15.75" hidden="1" x14ac:dyDescent="0.25">
      <c r="B12" s="185"/>
      <c r="C12" s="186" t="s">
        <v>104</v>
      </c>
      <c r="D12" s="187">
        <v>0</v>
      </c>
      <c r="E12" s="187">
        <v>0</v>
      </c>
      <c r="F12" s="187">
        <v>0</v>
      </c>
      <c r="G12" s="187">
        <v>0</v>
      </c>
      <c r="H12" s="187">
        <v>0</v>
      </c>
      <c r="I12" s="187">
        <v>-387</v>
      </c>
      <c r="J12" s="187">
        <v>0</v>
      </c>
      <c r="K12" s="187">
        <v>0</v>
      </c>
      <c r="L12" s="187">
        <v>0</v>
      </c>
      <c r="M12" s="187">
        <v>0</v>
      </c>
      <c r="N12" s="187">
        <v>0</v>
      </c>
      <c r="O12" s="187">
        <v>0</v>
      </c>
      <c r="P12" s="187">
        <v>0</v>
      </c>
      <c r="Q12" s="187">
        <v>0</v>
      </c>
      <c r="R12" s="187">
        <v>0</v>
      </c>
      <c r="S12" s="188">
        <v>0</v>
      </c>
      <c r="T12" s="187">
        <v>0</v>
      </c>
      <c r="U12" s="187">
        <v>0</v>
      </c>
      <c r="V12" s="187">
        <v>0</v>
      </c>
      <c r="W12" s="187">
        <v>0</v>
      </c>
      <c r="X12" s="187">
        <v>-387</v>
      </c>
      <c r="Y12" s="187">
        <v>-387</v>
      </c>
    </row>
    <row r="13" spans="2:29" customFormat="1" ht="15.75" hidden="1" x14ac:dyDescent="0.25">
      <c r="B13" s="185"/>
      <c r="C13" s="186" t="s">
        <v>105</v>
      </c>
      <c r="D13" s="187">
        <v>0</v>
      </c>
      <c r="E13" s="187">
        <v>0</v>
      </c>
      <c r="F13" s="187">
        <v>0</v>
      </c>
      <c r="G13" s="187">
        <v>0</v>
      </c>
      <c r="H13" s="187">
        <v>0</v>
      </c>
      <c r="I13" s="187">
        <v>0</v>
      </c>
      <c r="J13" s="187">
        <v>0</v>
      </c>
      <c r="K13" s="187">
        <v>0</v>
      </c>
      <c r="L13" s="187">
        <v>0</v>
      </c>
      <c r="M13" s="187">
        <v>0</v>
      </c>
      <c r="N13" s="187">
        <v>0</v>
      </c>
      <c r="O13" s="187">
        <v>0</v>
      </c>
      <c r="P13" s="187">
        <v>0</v>
      </c>
      <c r="Q13" s="187">
        <v>0</v>
      </c>
      <c r="R13" s="187">
        <v>0</v>
      </c>
      <c r="S13" s="188">
        <v>-106</v>
      </c>
      <c r="T13" s="187">
        <v>0</v>
      </c>
      <c r="U13" s="187">
        <v>0</v>
      </c>
      <c r="V13" s="187">
        <v>0</v>
      </c>
      <c r="W13" s="187">
        <v>0</v>
      </c>
      <c r="X13" s="187">
        <v>0</v>
      </c>
      <c r="Y13" s="187">
        <v>-106</v>
      </c>
    </row>
    <row r="14" spans="2:29" customFormat="1" ht="15.75" hidden="1" x14ac:dyDescent="0.25">
      <c r="B14" s="185"/>
      <c r="C14" s="186" t="s">
        <v>106</v>
      </c>
      <c r="D14" s="187">
        <v>0</v>
      </c>
      <c r="E14" s="187">
        <v>0</v>
      </c>
      <c r="F14" s="187">
        <v>0</v>
      </c>
      <c r="G14" s="187">
        <v>0</v>
      </c>
      <c r="H14" s="187">
        <v>0</v>
      </c>
      <c r="I14" s="187">
        <v>0</v>
      </c>
      <c r="J14" s="187">
        <v>0</v>
      </c>
      <c r="K14" s="187">
        <v>0</v>
      </c>
      <c r="L14" s="187">
        <v>0</v>
      </c>
      <c r="M14" s="187">
        <v>0</v>
      </c>
      <c r="N14" s="187">
        <v>0</v>
      </c>
      <c r="O14" s="187">
        <v>0</v>
      </c>
      <c r="P14" s="187">
        <v>0</v>
      </c>
      <c r="Q14" s="187">
        <v>0</v>
      </c>
      <c r="R14" s="187">
        <v>0</v>
      </c>
      <c r="S14" s="188">
        <v>-106</v>
      </c>
      <c r="T14" s="187">
        <v>0</v>
      </c>
      <c r="U14" s="187">
        <v>0</v>
      </c>
      <c r="V14" s="187">
        <v>0</v>
      </c>
      <c r="W14" s="187">
        <v>0</v>
      </c>
      <c r="X14" s="187">
        <v>0</v>
      </c>
      <c r="Y14" s="187">
        <v>-106</v>
      </c>
    </row>
    <row r="15" spans="2:29" customFormat="1" ht="15.75" hidden="1" x14ac:dyDescent="0.25">
      <c r="B15" s="185"/>
      <c r="C15" s="186" t="s">
        <v>107</v>
      </c>
      <c r="D15" s="187">
        <v>0</v>
      </c>
      <c r="E15" s="187">
        <v>0</v>
      </c>
      <c r="F15" s="187">
        <v>0</v>
      </c>
      <c r="G15" s="187">
        <v>0</v>
      </c>
      <c r="H15" s="187">
        <v>0</v>
      </c>
      <c r="I15" s="187">
        <v>0</v>
      </c>
      <c r="J15" s="187">
        <v>0</v>
      </c>
      <c r="K15" s="187">
        <v>0</v>
      </c>
      <c r="L15" s="187">
        <v>0</v>
      </c>
      <c r="M15" s="187">
        <v>0</v>
      </c>
      <c r="N15" s="187">
        <v>0</v>
      </c>
      <c r="O15" s="187">
        <v>0</v>
      </c>
      <c r="P15" s="187">
        <v>0</v>
      </c>
      <c r="Q15" s="187">
        <v>0</v>
      </c>
      <c r="R15" s="187">
        <v>0</v>
      </c>
      <c r="S15" s="188">
        <v>-220</v>
      </c>
      <c r="T15" s="187">
        <v>0</v>
      </c>
      <c r="U15" s="187">
        <v>0</v>
      </c>
      <c r="V15" s="187">
        <v>0</v>
      </c>
      <c r="W15" s="187">
        <v>0</v>
      </c>
      <c r="X15" s="187">
        <v>0</v>
      </c>
      <c r="Y15" s="187">
        <v>-220</v>
      </c>
    </row>
    <row r="16" spans="2:29" customFormat="1" ht="15.75" hidden="1" x14ac:dyDescent="0.25">
      <c r="B16" s="185"/>
      <c r="C16" s="186" t="s">
        <v>108</v>
      </c>
      <c r="D16" s="187">
        <v>0</v>
      </c>
      <c r="E16" s="187">
        <v>0</v>
      </c>
      <c r="F16" s="187">
        <v>0</v>
      </c>
      <c r="G16" s="187">
        <v>0</v>
      </c>
      <c r="H16" s="187">
        <v>0</v>
      </c>
      <c r="I16" s="187">
        <v>0</v>
      </c>
      <c r="J16" s="187">
        <v>0</v>
      </c>
      <c r="K16" s="187">
        <v>0</v>
      </c>
      <c r="L16" s="187">
        <v>0</v>
      </c>
      <c r="M16" s="187">
        <v>0</v>
      </c>
      <c r="N16" s="187">
        <v>0</v>
      </c>
      <c r="O16" s="187">
        <v>0</v>
      </c>
      <c r="P16" s="187">
        <v>0</v>
      </c>
      <c r="Q16" s="187">
        <v>0</v>
      </c>
      <c r="R16" s="187">
        <v>0</v>
      </c>
      <c r="S16" s="188">
        <v>-328</v>
      </c>
      <c r="T16" s="187">
        <v>0</v>
      </c>
      <c r="U16" s="187">
        <v>0</v>
      </c>
      <c r="V16" s="187">
        <v>0</v>
      </c>
      <c r="W16" s="187">
        <v>0</v>
      </c>
      <c r="X16" s="187">
        <v>0</v>
      </c>
      <c r="Y16" s="187">
        <v>-328</v>
      </c>
    </row>
    <row r="17" spans="2:25" customFormat="1" ht="15.75" hidden="1" x14ac:dyDescent="0.25">
      <c r="B17" s="185"/>
      <c r="C17" s="186" t="s">
        <v>109</v>
      </c>
      <c r="D17" s="187">
        <v>0</v>
      </c>
      <c r="E17" s="187">
        <v>0</v>
      </c>
      <c r="F17" s="187">
        <v>0</v>
      </c>
      <c r="G17" s="187">
        <v>0</v>
      </c>
      <c r="H17" s="187">
        <v>0</v>
      </c>
      <c r="I17" s="187">
        <v>0</v>
      </c>
      <c r="J17" s="187">
        <v>0</v>
      </c>
      <c r="K17" s="187">
        <v>0</v>
      </c>
      <c r="L17" s="187">
        <v>0</v>
      </c>
      <c r="M17" s="187">
        <v>0</v>
      </c>
      <c r="N17" s="187">
        <v>0</v>
      </c>
      <c r="O17" s="187">
        <v>0</v>
      </c>
      <c r="P17" s="187">
        <v>0</v>
      </c>
      <c r="Q17" s="187">
        <v>0</v>
      </c>
      <c r="R17" s="187">
        <v>0</v>
      </c>
      <c r="S17" s="188">
        <v>0</v>
      </c>
      <c r="T17" s="187">
        <v>0</v>
      </c>
      <c r="U17" s="187">
        <v>-157.52000000000001</v>
      </c>
      <c r="V17" s="187">
        <v>0</v>
      </c>
      <c r="W17" s="187">
        <v>0</v>
      </c>
      <c r="X17" s="187">
        <v>0</v>
      </c>
      <c r="Y17" s="187">
        <v>-157.52000000000001</v>
      </c>
    </row>
    <row r="18" spans="2:25" customFormat="1" ht="15.75" hidden="1" x14ac:dyDescent="0.25">
      <c r="B18" s="185"/>
      <c r="C18" s="186" t="s">
        <v>110</v>
      </c>
      <c r="D18" s="187">
        <v>0</v>
      </c>
      <c r="E18" s="187">
        <v>0</v>
      </c>
      <c r="F18" s="187">
        <v>0</v>
      </c>
      <c r="G18" s="187">
        <v>0</v>
      </c>
      <c r="H18" s="187">
        <v>0</v>
      </c>
      <c r="I18" s="187">
        <v>0</v>
      </c>
      <c r="J18" s="187">
        <v>0</v>
      </c>
      <c r="K18" s="187">
        <v>0</v>
      </c>
      <c r="L18" s="187">
        <v>0</v>
      </c>
      <c r="M18" s="187">
        <v>0</v>
      </c>
      <c r="N18" s="187">
        <v>0</v>
      </c>
      <c r="O18" s="187">
        <v>0</v>
      </c>
      <c r="P18" s="187">
        <v>0</v>
      </c>
      <c r="Q18" s="187">
        <v>0</v>
      </c>
      <c r="R18" s="187">
        <v>0</v>
      </c>
      <c r="S18" s="188">
        <v>0</v>
      </c>
      <c r="T18" s="187">
        <v>0</v>
      </c>
      <c r="U18" s="187">
        <v>-205.39</v>
      </c>
      <c r="V18" s="187">
        <v>0</v>
      </c>
      <c r="W18" s="187">
        <v>0</v>
      </c>
      <c r="X18" s="187">
        <v>0</v>
      </c>
      <c r="Y18" s="187">
        <v>-205.39</v>
      </c>
    </row>
    <row r="19" spans="2:25" customFormat="1" ht="15.75" x14ac:dyDescent="0.25">
      <c r="B19" s="185"/>
      <c r="C19" s="186" t="s">
        <v>111</v>
      </c>
      <c r="D19" s="187">
        <v>0</v>
      </c>
      <c r="E19" s="187">
        <v>0</v>
      </c>
      <c r="F19" s="187">
        <v>-330</v>
      </c>
      <c r="G19" s="187">
        <v>0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0</v>
      </c>
      <c r="N19" s="187">
        <v>0</v>
      </c>
      <c r="O19" s="187">
        <v>0</v>
      </c>
      <c r="P19" s="187">
        <v>0</v>
      </c>
      <c r="Q19" s="187">
        <v>0</v>
      </c>
      <c r="R19" s="187">
        <v>0</v>
      </c>
      <c r="S19" s="188">
        <v>0</v>
      </c>
      <c r="T19" s="187">
        <v>0</v>
      </c>
      <c r="U19" s="187">
        <v>0</v>
      </c>
      <c r="V19" s="187">
        <v>0</v>
      </c>
      <c r="W19" s="187">
        <v>0</v>
      </c>
      <c r="X19" s="187">
        <v>-330</v>
      </c>
      <c r="Y19" s="187">
        <v>-330</v>
      </c>
    </row>
    <row r="20" spans="2:25" customFormat="1" ht="15.75" x14ac:dyDescent="0.25">
      <c r="B20" s="189"/>
      <c r="C20" s="190" t="s">
        <v>112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387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2">
        <v>0</v>
      </c>
      <c r="T20" s="191">
        <v>0</v>
      </c>
      <c r="U20" s="191">
        <v>0</v>
      </c>
      <c r="V20" s="191">
        <v>0</v>
      </c>
      <c r="W20" s="191">
        <v>0</v>
      </c>
      <c r="X20" s="187">
        <v>387</v>
      </c>
      <c r="Y20" s="187">
        <v>387</v>
      </c>
    </row>
    <row r="21" spans="2:25" customFormat="1" ht="15.75" x14ac:dyDescent="0.25">
      <c r="B21" s="189"/>
      <c r="C21" s="190" t="s">
        <v>113</v>
      </c>
      <c r="D21" s="191">
        <v>0</v>
      </c>
      <c r="E21" s="191">
        <v>0</v>
      </c>
      <c r="F21" s="191">
        <v>337.9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2">
        <v>0</v>
      </c>
      <c r="T21" s="191">
        <v>0</v>
      </c>
      <c r="U21" s="191">
        <v>-337.9</v>
      </c>
      <c r="V21" s="191">
        <v>0</v>
      </c>
      <c r="W21" s="191">
        <v>0</v>
      </c>
      <c r="X21" s="187">
        <v>337.9</v>
      </c>
      <c r="Y21" s="187">
        <v>0</v>
      </c>
    </row>
    <row r="22" spans="2:25" customFormat="1" x14ac:dyDescent="0.2">
      <c r="B22" s="180" t="s">
        <v>98</v>
      </c>
      <c r="C22" s="181" t="s">
        <v>114</v>
      </c>
      <c r="D22" s="182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4"/>
      <c r="S22" s="183"/>
      <c r="T22" s="183"/>
      <c r="U22" s="183"/>
      <c r="V22" s="183"/>
      <c r="W22" s="184"/>
      <c r="X22" s="193"/>
      <c r="Y22" s="194"/>
    </row>
    <row r="23" spans="2:25" customFormat="1" ht="15.75" hidden="1" x14ac:dyDescent="0.25">
      <c r="B23" s="189"/>
      <c r="C23" s="190" t="s">
        <v>115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2">
        <v>0</v>
      </c>
      <c r="T23" s="191">
        <v>0</v>
      </c>
      <c r="U23" s="191">
        <v>661</v>
      </c>
      <c r="V23" s="191">
        <v>0</v>
      </c>
      <c r="W23" s="191">
        <v>0</v>
      </c>
      <c r="X23" s="187">
        <v>0</v>
      </c>
      <c r="Y23" s="187">
        <v>661</v>
      </c>
    </row>
    <row r="24" spans="2:25" customFormat="1" ht="15.75" hidden="1" x14ac:dyDescent="0.25">
      <c r="B24" s="189"/>
      <c r="C24" s="190" t="s">
        <v>116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0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0</v>
      </c>
      <c r="S24" s="192">
        <v>0</v>
      </c>
      <c r="T24" s="191">
        <v>0</v>
      </c>
      <c r="U24" s="191">
        <v>368</v>
      </c>
      <c r="V24" s="191">
        <v>0</v>
      </c>
      <c r="W24" s="191">
        <v>0</v>
      </c>
      <c r="X24" s="187">
        <v>0</v>
      </c>
      <c r="Y24" s="187">
        <v>368</v>
      </c>
    </row>
    <row r="25" spans="2:25" customFormat="1" ht="15.75" x14ac:dyDescent="0.25">
      <c r="B25" s="189"/>
      <c r="C25" s="190" t="s">
        <v>117</v>
      </c>
      <c r="D25" s="191">
        <v>0</v>
      </c>
      <c r="E25" s="191">
        <v>0</v>
      </c>
      <c r="F25" s="191">
        <v>0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5">
        <v>423</v>
      </c>
      <c r="S25" s="192">
        <v>834</v>
      </c>
      <c r="T25" s="191">
        <v>0</v>
      </c>
      <c r="U25" s="191">
        <v>0</v>
      </c>
      <c r="V25" s="191">
        <v>0</v>
      </c>
      <c r="W25" s="191">
        <v>0</v>
      </c>
      <c r="X25" s="187">
        <v>0</v>
      </c>
      <c r="Y25" s="187">
        <v>1257</v>
      </c>
    </row>
    <row r="26" spans="2:25" customFormat="1" ht="15.75" x14ac:dyDescent="0.25">
      <c r="B26" s="189"/>
      <c r="C26" s="190" t="s">
        <v>118</v>
      </c>
      <c r="D26" s="191">
        <v>0</v>
      </c>
      <c r="E26" s="191">
        <v>645</v>
      </c>
      <c r="F26" s="191">
        <v>0</v>
      </c>
      <c r="G26" s="191">
        <v>0</v>
      </c>
      <c r="H26" s="191">
        <v>0</v>
      </c>
      <c r="I26" s="191">
        <v>0</v>
      </c>
      <c r="J26" s="191">
        <v>0</v>
      </c>
      <c r="K26" s="191">
        <v>0</v>
      </c>
      <c r="L26" s="191">
        <v>0</v>
      </c>
      <c r="M26" s="191">
        <v>0</v>
      </c>
      <c r="N26" s="191">
        <v>0</v>
      </c>
      <c r="O26" s="191">
        <v>0</v>
      </c>
      <c r="P26" s="191">
        <v>0</v>
      </c>
      <c r="Q26" s="191">
        <v>0</v>
      </c>
      <c r="R26" s="191">
        <v>0</v>
      </c>
      <c r="S26" s="192">
        <v>0</v>
      </c>
      <c r="T26" s="191">
        <v>0</v>
      </c>
      <c r="U26" s="191">
        <v>0</v>
      </c>
      <c r="V26" s="191">
        <v>0</v>
      </c>
      <c r="W26" s="191">
        <v>0</v>
      </c>
      <c r="X26" s="187">
        <v>645</v>
      </c>
      <c r="Y26" s="187">
        <v>645</v>
      </c>
    </row>
    <row r="27" spans="2:25" customFormat="1" ht="15.75" hidden="1" x14ac:dyDescent="0.25">
      <c r="B27" s="189"/>
      <c r="C27" s="190" t="s">
        <v>119</v>
      </c>
      <c r="D27" s="196">
        <v>1.8</v>
      </c>
      <c r="E27" s="196">
        <v>0</v>
      </c>
      <c r="F27" s="196">
        <v>0</v>
      </c>
      <c r="G27" s="187">
        <v>0</v>
      </c>
      <c r="H27" s="196">
        <v>0</v>
      </c>
      <c r="I27" s="196">
        <v>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0</v>
      </c>
      <c r="R27" s="187">
        <v>0</v>
      </c>
      <c r="S27" s="188">
        <v>0</v>
      </c>
      <c r="T27" s="187">
        <v>0</v>
      </c>
      <c r="U27" s="187">
        <v>0</v>
      </c>
      <c r="V27" s="187">
        <v>0</v>
      </c>
      <c r="W27" s="187">
        <v>0</v>
      </c>
      <c r="X27" s="187">
        <v>1.8</v>
      </c>
      <c r="Y27" s="187">
        <v>1.8</v>
      </c>
    </row>
    <row r="28" spans="2:25" customFormat="1" ht="15.75" hidden="1" x14ac:dyDescent="0.25">
      <c r="B28" s="189"/>
      <c r="C28" s="197" t="s">
        <v>120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184</v>
      </c>
      <c r="P28" s="191">
        <v>296</v>
      </c>
      <c r="Q28" s="191">
        <v>0</v>
      </c>
      <c r="R28" s="191">
        <v>0</v>
      </c>
      <c r="S28" s="192">
        <v>0</v>
      </c>
      <c r="T28" s="191">
        <v>0</v>
      </c>
      <c r="U28" s="191">
        <v>0</v>
      </c>
      <c r="V28" s="191">
        <v>0</v>
      </c>
      <c r="W28" s="191">
        <v>0</v>
      </c>
      <c r="X28" s="187">
        <v>0</v>
      </c>
      <c r="Y28" s="187">
        <v>480</v>
      </c>
    </row>
    <row r="29" spans="2:25" customFormat="1" ht="15.75" x14ac:dyDescent="0.25">
      <c r="B29" s="189"/>
      <c r="C29" s="190" t="s">
        <v>121</v>
      </c>
      <c r="D29" s="191">
        <v>0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184</v>
      </c>
      <c r="P29" s="191">
        <v>296</v>
      </c>
      <c r="Q29" s="191">
        <v>0</v>
      </c>
      <c r="R29" s="191">
        <v>0</v>
      </c>
      <c r="S29" s="192">
        <v>0</v>
      </c>
      <c r="T29" s="191">
        <v>0</v>
      </c>
      <c r="U29" s="191">
        <v>0</v>
      </c>
      <c r="V29" s="191">
        <v>0</v>
      </c>
      <c r="W29" s="191">
        <v>0</v>
      </c>
      <c r="X29" s="187">
        <v>0</v>
      </c>
      <c r="Y29" s="187">
        <v>480</v>
      </c>
    </row>
    <row r="30" spans="2:25" customFormat="1" ht="15.75" x14ac:dyDescent="0.25">
      <c r="B30" s="198"/>
      <c r="C30" s="190" t="s">
        <v>122</v>
      </c>
      <c r="D30" s="199">
        <v>0.16</v>
      </c>
      <c r="E30" s="199">
        <v>0.16</v>
      </c>
      <c r="F30" s="199">
        <v>0.16</v>
      </c>
      <c r="G30" s="199">
        <v>0.16</v>
      </c>
      <c r="H30" s="199">
        <v>0.16</v>
      </c>
      <c r="I30" s="199">
        <v>0.16</v>
      </c>
      <c r="J30" s="199">
        <v>0.16</v>
      </c>
      <c r="K30" s="199">
        <v>0.16</v>
      </c>
      <c r="L30" s="199">
        <v>0.16</v>
      </c>
      <c r="M30" s="199">
        <v>0.16</v>
      </c>
      <c r="N30" s="199">
        <v>0.16</v>
      </c>
      <c r="O30" s="199">
        <v>0.16</v>
      </c>
      <c r="P30" s="199">
        <v>0.16</v>
      </c>
      <c r="Q30" s="199">
        <v>0.16</v>
      </c>
      <c r="R30" s="199">
        <v>0.16</v>
      </c>
      <c r="S30" s="200">
        <v>0.16</v>
      </c>
      <c r="T30" s="199">
        <v>0.16</v>
      </c>
      <c r="U30" s="199">
        <v>0.16</v>
      </c>
      <c r="V30" s="199">
        <v>0.16</v>
      </c>
      <c r="W30" s="199">
        <v>0.16</v>
      </c>
      <c r="X30" s="196">
        <v>1.5999999999999999</v>
      </c>
      <c r="Y30" s="196">
        <v>3.2000000000000006</v>
      </c>
    </row>
    <row r="31" spans="2:25" customFormat="1" ht="15.75" x14ac:dyDescent="0.25">
      <c r="B31" s="198"/>
      <c r="C31" s="190" t="s">
        <v>123</v>
      </c>
      <c r="D31" s="199">
        <v>0.36</v>
      </c>
      <c r="E31" s="199">
        <v>0.36</v>
      </c>
      <c r="F31" s="199">
        <v>0.36</v>
      </c>
      <c r="G31" s="199">
        <v>0.36</v>
      </c>
      <c r="H31" s="199">
        <v>0.36</v>
      </c>
      <c r="I31" s="199">
        <v>0.36</v>
      </c>
      <c r="J31" s="199">
        <v>0.36</v>
      </c>
      <c r="K31" s="199">
        <v>0.36</v>
      </c>
      <c r="L31" s="199">
        <v>0.36</v>
      </c>
      <c r="M31" s="199">
        <v>0.36</v>
      </c>
      <c r="N31" s="199">
        <v>0.36</v>
      </c>
      <c r="O31" s="199">
        <v>0.36</v>
      </c>
      <c r="P31" s="199">
        <v>0.36</v>
      </c>
      <c r="Q31" s="199">
        <v>0.36</v>
      </c>
      <c r="R31" s="199">
        <v>0.36</v>
      </c>
      <c r="S31" s="200">
        <v>0.36</v>
      </c>
      <c r="T31" s="199">
        <v>0.36</v>
      </c>
      <c r="U31" s="199">
        <v>0.36</v>
      </c>
      <c r="V31" s="199">
        <v>0.36</v>
      </c>
      <c r="W31" s="199">
        <v>0.36</v>
      </c>
      <c r="X31" s="196">
        <v>3.5999999999999992</v>
      </c>
      <c r="Y31" s="196">
        <v>7.200000000000002</v>
      </c>
    </row>
    <row r="32" spans="2:25" customFormat="1" ht="15.75" hidden="1" x14ac:dyDescent="0.25">
      <c r="B32" s="189"/>
      <c r="C32" s="197" t="s">
        <v>124</v>
      </c>
      <c r="D32" s="191">
        <v>0</v>
      </c>
      <c r="E32" s="191">
        <v>0</v>
      </c>
      <c r="F32" s="191">
        <v>0</v>
      </c>
      <c r="G32" s="191">
        <v>0</v>
      </c>
      <c r="H32" s="191">
        <v>0</v>
      </c>
      <c r="I32" s="191">
        <v>0</v>
      </c>
      <c r="J32" s="191">
        <v>0</v>
      </c>
      <c r="K32" s="191">
        <v>0</v>
      </c>
      <c r="L32" s="191">
        <v>0</v>
      </c>
      <c r="M32" s="191">
        <v>0</v>
      </c>
      <c r="N32" s="191">
        <v>0</v>
      </c>
      <c r="O32" s="191">
        <v>0</v>
      </c>
      <c r="P32" s="191">
        <v>1.02</v>
      </c>
      <c r="Q32" s="191">
        <v>0</v>
      </c>
      <c r="R32" s="191">
        <v>0</v>
      </c>
      <c r="S32" s="192">
        <v>0</v>
      </c>
      <c r="T32" s="191">
        <v>0</v>
      </c>
      <c r="U32" s="191">
        <v>0</v>
      </c>
      <c r="V32" s="191">
        <v>0</v>
      </c>
      <c r="W32" s="191">
        <v>0</v>
      </c>
      <c r="X32" s="187">
        <v>0</v>
      </c>
      <c r="Y32" s="187">
        <v>1.02</v>
      </c>
    </row>
    <row r="33" spans="2:25" customFormat="1" ht="15.75" hidden="1" x14ac:dyDescent="0.25">
      <c r="B33" s="189"/>
      <c r="C33" s="197" t="s">
        <v>125</v>
      </c>
      <c r="D33" s="191">
        <v>0</v>
      </c>
      <c r="E33" s="191">
        <v>0</v>
      </c>
      <c r="F33" s="191">
        <v>0</v>
      </c>
      <c r="G33" s="191">
        <v>0</v>
      </c>
      <c r="H33" s="191">
        <v>0</v>
      </c>
      <c r="I33" s="191">
        <v>0</v>
      </c>
      <c r="J33" s="191">
        <v>0</v>
      </c>
      <c r="K33" s="191">
        <v>0</v>
      </c>
      <c r="L33" s="191">
        <v>0</v>
      </c>
      <c r="M33" s="191">
        <v>0</v>
      </c>
      <c r="N33" s="191">
        <v>0</v>
      </c>
      <c r="O33" s="191">
        <v>0</v>
      </c>
      <c r="P33" s="191">
        <v>0</v>
      </c>
      <c r="Q33" s="191">
        <v>73.66</v>
      </c>
      <c r="R33" s="191">
        <v>0</v>
      </c>
      <c r="S33" s="192">
        <v>0</v>
      </c>
      <c r="T33" s="191">
        <v>0</v>
      </c>
      <c r="U33" s="191">
        <v>0</v>
      </c>
      <c r="V33" s="191">
        <v>0</v>
      </c>
      <c r="W33" s="191">
        <v>0</v>
      </c>
      <c r="X33" s="187">
        <v>0</v>
      </c>
      <c r="Y33" s="187">
        <v>73.66</v>
      </c>
    </row>
    <row r="34" spans="2:25" customFormat="1" ht="15.75" hidden="1" x14ac:dyDescent="0.25">
      <c r="B34" s="189"/>
      <c r="C34" s="197" t="s">
        <v>126</v>
      </c>
      <c r="D34" s="191">
        <v>0</v>
      </c>
      <c r="E34" s="191">
        <v>0</v>
      </c>
      <c r="F34" s="191">
        <v>0</v>
      </c>
      <c r="G34" s="191">
        <v>0</v>
      </c>
      <c r="H34" s="191">
        <v>0</v>
      </c>
      <c r="I34" s="191">
        <v>0</v>
      </c>
      <c r="J34" s="191">
        <v>0</v>
      </c>
      <c r="K34" s="191">
        <v>0</v>
      </c>
      <c r="L34" s="191">
        <v>0</v>
      </c>
      <c r="M34" s="191">
        <v>0</v>
      </c>
      <c r="N34" s="191">
        <v>0</v>
      </c>
      <c r="O34" s="199">
        <v>0</v>
      </c>
      <c r="P34" s="191">
        <v>0.18</v>
      </c>
      <c r="Q34" s="191">
        <v>0</v>
      </c>
      <c r="R34" s="191">
        <v>0</v>
      </c>
      <c r="S34" s="192">
        <v>0</v>
      </c>
      <c r="T34" s="191">
        <v>0</v>
      </c>
      <c r="U34" s="191">
        <v>0</v>
      </c>
      <c r="V34" s="191">
        <v>0</v>
      </c>
      <c r="W34" s="191">
        <v>0</v>
      </c>
      <c r="X34" s="187">
        <v>0</v>
      </c>
      <c r="Y34" s="187">
        <v>0.18</v>
      </c>
    </row>
    <row r="35" spans="2:25" customFormat="1" ht="15.75" hidden="1" x14ac:dyDescent="0.25">
      <c r="B35" s="189"/>
      <c r="C35" s="197" t="s">
        <v>127</v>
      </c>
      <c r="D35" s="191">
        <v>0</v>
      </c>
      <c r="E35" s="191">
        <v>0</v>
      </c>
      <c r="F35" s="191">
        <v>0</v>
      </c>
      <c r="G35" s="191">
        <v>0</v>
      </c>
      <c r="H35" s="191">
        <v>0</v>
      </c>
      <c r="I35" s="191">
        <v>0</v>
      </c>
      <c r="J35" s="191">
        <v>0</v>
      </c>
      <c r="K35" s="191">
        <v>0</v>
      </c>
      <c r="L35" s="191">
        <v>0</v>
      </c>
      <c r="M35" s="191">
        <v>0</v>
      </c>
      <c r="N35" s="191">
        <v>0</v>
      </c>
      <c r="O35" s="199">
        <v>0</v>
      </c>
      <c r="P35" s="199">
        <v>0.18</v>
      </c>
      <c r="Q35" s="191">
        <v>0</v>
      </c>
      <c r="R35" s="191">
        <v>0</v>
      </c>
      <c r="S35" s="192">
        <v>0</v>
      </c>
      <c r="T35" s="191">
        <v>0</v>
      </c>
      <c r="U35" s="191">
        <v>0</v>
      </c>
      <c r="V35" s="191">
        <v>0</v>
      </c>
      <c r="W35" s="191">
        <v>0</v>
      </c>
      <c r="X35" s="187">
        <v>0</v>
      </c>
      <c r="Y35" s="187">
        <v>0.18</v>
      </c>
    </row>
    <row r="36" spans="2:25" customFormat="1" ht="15.75" x14ac:dyDescent="0.25">
      <c r="B36" s="189"/>
      <c r="C36" s="190" t="s">
        <v>128</v>
      </c>
      <c r="D36" s="191">
        <v>0</v>
      </c>
      <c r="E36" s="191">
        <v>0</v>
      </c>
      <c r="F36" s="191">
        <v>0</v>
      </c>
      <c r="G36" s="191">
        <v>0</v>
      </c>
      <c r="H36" s="191">
        <v>0</v>
      </c>
      <c r="I36" s="191">
        <v>0</v>
      </c>
      <c r="J36" s="191">
        <v>0</v>
      </c>
      <c r="K36" s="191">
        <v>0</v>
      </c>
      <c r="L36" s="191">
        <v>0</v>
      </c>
      <c r="M36" s="191">
        <v>0</v>
      </c>
      <c r="N36" s="191">
        <v>0</v>
      </c>
      <c r="O36" s="191">
        <v>0</v>
      </c>
      <c r="P36" s="191">
        <v>1.38</v>
      </c>
      <c r="Q36" s="191">
        <v>73.66</v>
      </c>
      <c r="R36" s="191">
        <v>0</v>
      </c>
      <c r="S36" s="192">
        <v>0</v>
      </c>
      <c r="T36" s="191">
        <v>0</v>
      </c>
      <c r="U36" s="191">
        <v>0</v>
      </c>
      <c r="V36" s="191">
        <v>0</v>
      </c>
      <c r="W36" s="191">
        <v>0</v>
      </c>
      <c r="X36" s="187">
        <v>0</v>
      </c>
      <c r="Y36" s="187">
        <v>75.039999999999992</v>
      </c>
    </row>
    <row r="37" spans="2:25" customFormat="1" ht="15.75" hidden="1" x14ac:dyDescent="0.25">
      <c r="B37" s="189"/>
      <c r="C37" s="197" t="s">
        <v>129</v>
      </c>
      <c r="D37" s="191">
        <v>2.5300000000000002</v>
      </c>
      <c r="E37" s="191">
        <v>2.6100000000000003</v>
      </c>
      <c r="F37" s="191">
        <v>2.6900000000000004</v>
      </c>
      <c r="G37" s="191">
        <v>2.81</v>
      </c>
      <c r="H37" s="191">
        <v>2.83</v>
      </c>
      <c r="I37" s="191">
        <v>2.66</v>
      </c>
      <c r="J37" s="191">
        <v>2.67</v>
      </c>
      <c r="K37" s="191">
        <v>2.56</v>
      </c>
      <c r="L37" s="191">
        <v>2.6700000000000004</v>
      </c>
      <c r="M37" s="191">
        <v>3.59</v>
      </c>
      <c r="N37" s="191">
        <v>2.61</v>
      </c>
      <c r="O37" s="191">
        <v>2.64</v>
      </c>
      <c r="P37" s="191">
        <v>2.65</v>
      </c>
      <c r="Q37" s="191">
        <v>3.0400000000000005</v>
      </c>
      <c r="R37" s="191">
        <v>2.2799999999999998</v>
      </c>
      <c r="S37" s="192">
        <v>2.02</v>
      </c>
      <c r="T37" s="191">
        <v>2.0300000000000002</v>
      </c>
      <c r="U37" s="191">
        <v>1.8700000000000003</v>
      </c>
      <c r="V37" s="191">
        <v>1.93</v>
      </c>
      <c r="W37" s="191">
        <v>2.73</v>
      </c>
      <c r="X37" s="191">
        <v>27.620000000000005</v>
      </c>
      <c r="Y37" s="191">
        <v>51.42</v>
      </c>
    </row>
    <row r="38" spans="2:25" customFormat="1" ht="15.75" hidden="1" x14ac:dyDescent="0.25">
      <c r="B38" s="189"/>
      <c r="C38" s="197" t="s">
        <v>130</v>
      </c>
      <c r="D38" s="191">
        <v>62.519999999999996</v>
      </c>
      <c r="E38" s="191">
        <v>55.349999999999994</v>
      </c>
      <c r="F38" s="191">
        <v>50.34</v>
      </c>
      <c r="G38" s="191">
        <v>47.86</v>
      </c>
      <c r="H38" s="191">
        <v>48.81</v>
      </c>
      <c r="I38" s="191">
        <v>46.67</v>
      </c>
      <c r="J38" s="191">
        <v>43.93</v>
      </c>
      <c r="K38" s="191">
        <v>39.39</v>
      </c>
      <c r="L38" s="191">
        <v>40.200000000000003</v>
      </c>
      <c r="M38" s="191">
        <v>39.089999999999996</v>
      </c>
      <c r="N38" s="191">
        <v>30.419999999999995</v>
      </c>
      <c r="O38" s="191">
        <v>32.89</v>
      </c>
      <c r="P38" s="191">
        <v>29.52</v>
      </c>
      <c r="Q38" s="191">
        <v>27.94</v>
      </c>
      <c r="R38" s="191">
        <v>26.17</v>
      </c>
      <c r="S38" s="192">
        <v>24.67</v>
      </c>
      <c r="T38" s="191">
        <v>23.15</v>
      </c>
      <c r="U38" s="191">
        <v>21.61</v>
      </c>
      <c r="V38" s="191">
        <v>20.86</v>
      </c>
      <c r="W38" s="191">
        <v>20.079999999999998</v>
      </c>
      <c r="X38" s="191">
        <v>474.15999999999997</v>
      </c>
      <c r="Y38" s="191">
        <v>731.47</v>
      </c>
    </row>
    <row r="39" spans="2:25" customFormat="1" ht="15.75" hidden="1" x14ac:dyDescent="0.25">
      <c r="B39" s="189"/>
      <c r="C39" s="197" t="s">
        <v>131</v>
      </c>
      <c r="D39" s="191">
        <v>3.4299999999999997</v>
      </c>
      <c r="E39" s="191">
        <v>3.8599999999999994</v>
      </c>
      <c r="F39" s="191">
        <v>4.54</v>
      </c>
      <c r="G39" s="191">
        <v>5.0599999999999996</v>
      </c>
      <c r="H39" s="191">
        <v>5.5</v>
      </c>
      <c r="I39" s="191">
        <v>5.9499999999999993</v>
      </c>
      <c r="J39" s="191">
        <v>6.16</v>
      </c>
      <c r="K39" s="191">
        <v>6.21</v>
      </c>
      <c r="L39" s="191">
        <v>6.65</v>
      </c>
      <c r="M39" s="191">
        <v>7.0399999999999991</v>
      </c>
      <c r="N39" s="191">
        <v>6.1999999999999993</v>
      </c>
      <c r="O39" s="191">
        <v>6.47</v>
      </c>
      <c r="P39" s="191">
        <v>6.3299999999999992</v>
      </c>
      <c r="Q39" s="191">
        <v>6.41</v>
      </c>
      <c r="R39" s="191">
        <v>6.68</v>
      </c>
      <c r="S39" s="192">
        <v>6.51</v>
      </c>
      <c r="T39" s="191">
        <v>6.68</v>
      </c>
      <c r="U39" s="191">
        <v>6.83</v>
      </c>
      <c r="V39" s="191">
        <v>6.98</v>
      </c>
      <c r="W39" s="191">
        <v>7.379999999999999</v>
      </c>
      <c r="X39" s="201">
        <v>54.4</v>
      </c>
      <c r="Y39" s="201">
        <v>120.86999999999998</v>
      </c>
    </row>
    <row r="40" spans="2:25" customFormat="1" ht="15.75" x14ac:dyDescent="0.25">
      <c r="B40" s="189"/>
      <c r="C40" s="190" t="s">
        <v>132</v>
      </c>
      <c r="D40" s="191">
        <v>68.47999999999999</v>
      </c>
      <c r="E40" s="191">
        <v>61.819999999999993</v>
      </c>
      <c r="F40" s="191">
        <v>57.57</v>
      </c>
      <c r="G40" s="191">
        <v>55.730000000000004</v>
      </c>
      <c r="H40" s="191">
        <v>57.14</v>
      </c>
      <c r="I40" s="191">
        <v>55.28</v>
      </c>
      <c r="J40" s="191">
        <v>52.760000000000005</v>
      </c>
      <c r="K40" s="191">
        <v>48.160000000000004</v>
      </c>
      <c r="L40" s="191">
        <v>49.52</v>
      </c>
      <c r="M40" s="191">
        <v>49.719999999999992</v>
      </c>
      <c r="N40" s="191">
        <v>39.22999999999999</v>
      </c>
      <c r="O40" s="191">
        <v>42</v>
      </c>
      <c r="P40" s="191">
        <v>38.5</v>
      </c>
      <c r="Q40" s="191">
        <v>37.39</v>
      </c>
      <c r="R40" s="191">
        <v>35.130000000000003</v>
      </c>
      <c r="S40" s="192">
        <v>33.200000000000003</v>
      </c>
      <c r="T40" s="191">
        <v>31.86</v>
      </c>
      <c r="U40" s="191">
        <v>30.310000000000002</v>
      </c>
      <c r="V40" s="191">
        <v>29.77</v>
      </c>
      <c r="W40" s="191">
        <v>30.189999999999998</v>
      </c>
      <c r="X40" s="187">
        <v>556.17999999999995</v>
      </c>
      <c r="Y40" s="187">
        <v>903.76</v>
      </c>
    </row>
    <row r="41" spans="2:25" customFormat="1" ht="15.75" x14ac:dyDescent="0.25">
      <c r="B41" s="189"/>
      <c r="C41" s="190" t="s">
        <v>133</v>
      </c>
      <c r="D41" s="191">
        <v>7.109</v>
      </c>
      <c r="E41" s="191">
        <v>10.965</v>
      </c>
      <c r="F41" s="191">
        <v>14.19</v>
      </c>
      <c r="G41" s="191">
        <v>16.405000000000001</v>
      </c>
      <c r="H41" s="191">
        <v>16.952000000000002</v>
      </c>
      <c r="I41" s="191">
        <v>13.114000000000001</v>
      </c>
      <c r="J41" s="191">
        <v>13.114000000000001</v>
      </c>
      <c r="K41" s="191">
        <v>13.114000000000001</v>
      </c>
      <c r="L41" s="191">
        <v>13.114000000000001</v>
      </c>
      <c r="M41" s="191">
        <v>13.114000000000001</v>
      </c>
      <c r="N41" s="191">
        <v>13.114000000000001</v>
      </c>
      <c r="O41" s="191">
        <v>13.114000000000001</v>
      </c>
      <c r="P41" s="191">
        <v>13.114000000000001</v>
      </c>
      <c r="Q41" s="191">
        <v>13.114000000000001</v>
      </c>
      <c r="R41" s="191">
        <v>13.114000000000001</v>
      </c>
      <c r="S41" s="192">
        <v>13.114000000000001</v>
      </c>
      <c r="T41" s="191">
        <v>13.114000000000001</v>
      </c>
      <c r="U41" s="191">
        <v>13.114000000000001</v>
      </c>
      <c r="V41" s="191">
        <v>13.114000000000001</v>
      </c>
      <c r="W41" s="191">
        <v>13.114000000000001</v>
      </c>
      <c r="X41" s="187">
        <v>131.191</v>
      </c>
      <c r="Y41" s="187">
        <v>262.33100000000002</v>
      </c>
    </row>
    <row r="42" spans="2:25" customFormat="1" ht="15.75" x14ac:dyDescent="0.25">
      <c r="B42" s="189"/>
      <c r="C42" s="190" t="s">
        <v>134</v>
      </c>
      <c r="D42" s="191">
        <v>0</v>
      </c>
      <c r="E42" s="191">
        <v>0</v>
      </c>
      <c r="F42" s="191">
        <v>0</v>
      </c>
      <c r="G42" s="191">
        <v>0</v>
      </c>
      <c r="H42" s="191">
        <v>0</v>
      </c>
      <c r="I42" s="191">
        <v>0</v>
      </c>
      <c r="J42" s="191">
        <v>0.49199999999999999</v>
      </c>
      <c r="K42" s="191">
        <v>1.7350000000000001</v>
      </c>
      <c r="L42" s="191">
        <v>2.3660000000000001</v>
      </c>
      <c r="M42" s="191">
        <v>2.3660000000000001</v>
      </c>
      <c r="N42" s="191">
        <v>2.3660000000000001</v>
      </c>
      <c r="O42" s="191">
        <v>2.3660000000000001</v>
      </c>
      <c r="P42" s="191">
        <v>2.3660000000000001</v>
      </c>
      <c r="Q42" s="191">
        <v>2.3660000000000001</v>
      </c>
      <c r="R42" s="191">
        <v>2.3660000000000001</v>
      </c>
      <c r="S42" s="192">
        <v>2.3660000000000001</v>
      </c>
      <c r="T42" s="191">
        <v>2.3660000000000001</v>
      </c>
      <c r="U42" s="191">
        <v>2.3660000000000001</v>
      </c>
      <c r="V42" s="191">
        <v>2.3660000000000001</v>
      </c>
      <c r="W42" s="191">
        <v>2.3660000000000001</v>
      </c>
      <c r="X42" s="187">
        <v>6.9589999999999996</v>
      </c>
      <c r="Y42" s="187">
        <v>30.618999999999996</v>
      </c>
    </row>
    <row r="43" spans="2:25" customFormat="1" ht="15.75" x14ac:dyDescent="0.25">
      <c r="B43" s="189"/>
      <c r="C43" s="202" t="s">
        <v>135</v>
      </c>
      <c r="D43" s="191">
        <v>0</v>
      </c>
      <c r="E43" s="191">
        <v>0</v>
      </c>
      <c r="F43" s="191">
        <v>0</v>
      </c>
      <c r="G43" s="191">
        <v>0</v>
      </c>
      <c r="H43" s="191">
        <v>0</v>
      </c>
      <c r="I43" s="191">
        <v>56</v>
      </c>
      <c r="J43" s="191">
        <v>152</v>
      </c>
      <c r="K43" s="191">
        <v>89</v>
      </c>
      <c r="L43" s="191">
        <v>0</v>
      </c>
      <c r="M43" s="191">
        <v>0</v>
      </c>
      <c r="N43" s="191">
        <v>38</v>
      </c>
      <c r="O43" s="191">
        <v>130</v>
      </c>
      <c r="P43" s="191">
        <v>300</v>
      </c>
      <c r="Q43" s="191">
        <v>300</v>
      </c>
      <c r="R43" s="191">
        <v>105</v>
      </c>
      <c r="S43" s="192">
        <v>194</v>
      </c>
      <c r="T43" s="191">
        <v>300</v>
      </c>
      <c r="U43" s="191">
        <v>129</v>
      </c>
      <c r="V43" s="191">
        <v>167</v>
      </c>
      <c r="W43" s="191">
        <v>300</v>
      </c>
      <c r="X43" s="203">
        <v>29.7</v>
      </c>
      <c r="Y43" s="187">
        <v>113</v>
      </c>
    </row>
    <row r="44" spans="2:25" customFormat="1" x14ac:dyDescent="0.2">
      <c r="B44" s="180" t="s">
        <v>136</v>
      </c>
      <c r="C44" s="181" t="s">
        <v>114</v>
      </c>
      <c r="D44" s="182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4"/>
      <c r="S44" s="183"/>
      <c r="T44" s="183"/>
      <c r="U44" s="183"/>
      <c r="V44" s="183"/>
      <c r="W44" s="184"/>
      <c r="X44" s="182"/>
      <c r="Y44" s="194"/>
    </row>
    <row r="45" spans="2:25" customFormat="1" ht="15.75" hidden="1" x14ac:dyDescent="0.25">
      <c r="B45" s="204"/>
      <c r="C45" s="205" t="s">
        <v>116</v>
      </c>
      <c r="D45" s="191">
        <v>0</v>
      </c>
      <c r="E45" s="191">
        <v>0</v>
      </c>
      <c r="F45" s="191">
        <v>0</v>
      </c>
      <c r="G45" s="191">
        <v>0</v>
      </c>
      <c r="H45" s="191">
        <v>0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91">
        <v>0</v>
      </c>
      <c r="P45" s="191">
        <v>0</v>
      </c>
      <c r="Q45" s="191">
        <v>0</v>
      </c>
      <c r="R45" s="191">
        <v>0</v>
      </c>
      <c r="S45" s="192">
        <v>0</v>
      </c>
      <c r="T45" s="191">
        <v>0</v>
      </c>
      <c r="U45" s="191">
        <v>0</v>
      </c>
      <c r="V45" s="191">
        <v>420</v>
      </c>
      <c r="W45" s="191">
        <v>0</v>
      </c>
      <c r="X45" s="187">
        <v>0</v>
      </c>
      <c r="Y45" s="187">
        <v>420</v>
      </c>
    </row>
    <row r="46" spans="2:25" customFormat="1" ht="15.75" x14ac:dyDescent="0.25">
      <c r="B46" s="189"/>
      <c r="C46" s="205" t="s">
        <v>119</v>
      </c>
      <c r="D46" s="191">
        <v>12</v>
      </c>
      <c r="E46" s="191">
        <v>0</v>
      </c>
      <c r="F46" s="199">
        <v>0</v>
      </c>
      <c r="G46" s="191">
        <v>0</v>
      </c>
      <c r="H46" s="191">
        <v>0</v>
      </c>
      <c r="I46" s="191">
        <v>0</v>
      </c>
      <c r="J46" s="199">
        <v>0</v>
      </c>
      <c r="K46" s="199">
        <v>0</v>
      </c>
      <c r="L46" s="191">
        <v>0</v>
      </c>
      <c r="M46" s="191">
        <v>0</v>
      </c>
      <c r="N46" s="191">
        <v>0</v>
      </c>
      <c r="O46" s="187">
        <v>0</v>
      </c>
      <c r="P46" s="187">
        <v>0</v>
      </c>
      <c r="Q46" s="187">
        <v>0</v>
      </c>
      <c r="R46" s="187">
        <v>0</v>
      </c>
      <c r="S46" s="188">
        <v>0</v>
      </c>
      <c r="T46" s="187">
        <v>0</v>
      </c>
      <c r="U46" s="187">
        <v>0</v>
      </c>
      <c r="V46" s="187">
        <v>0</v>
      </c>
      <c r="W46" s="187">
        <v>0</v>
      </c>
      <c r="X46" s="187">
        <v>12</v>
      </c>
      <c r="Y46" s="187">
        <v>12</v>
      </c>
    </row>
    <row r="47" spans="2:25" customFormat="1" ht="15.75" x14ac:dyDescent="0.25">
      <c r="B47" s="198"/>
      <c r="C47" s="190" t="s">
        <v>122</v>
      </c>
      <c r="D47" s="199">
        <v>0.55000000000000004</v>
      </c>
      <c r="E47" s="199">
        <v>0.55000000000000004</v>
      </c>
      <c r="F47" s="199">
        <v>0.55000000000000004</v>
      </c>
      <c r="G47" s="199">
        <v>0.55000000000000004</v>
      </c>
      <c r="H47" s="199">
        <v>0.55000000000000004</v>
      </c>
      <c r="I47" s="199">
        <v>0.55000000000000004</v>
      </c>
      <c r="J47" s="199">
        <v>0.55000000000000004</v>
      </c>
      <c r="K47" s="199">
        <v>0.55000000000000004</v>
      </c>
      <c r="L47" s="199">
        <v>0.55000000000000004</v>
      </c>
      <c r="M47" s="199">
        <v>0.55000000000000004</v>
      </c>
      <c r="N47" s="199">
        <v>0.55000000000000004</v>
      </c>
      <c r="O47" s="199">
        <v>0.55000000000000004</v>
      </c>
      <c r="P47" s="199">
        <v>0.55000000000000004</v>
      </c>
      <c r="Q47" s="199">
        <v>0.55000000000000004</v>
      </c>
      <c r="R47" s="199">
        <v>0.55000000000000004</v>
      </c>
      <c r="S47" s="200">
        <v>0.55000000000000004</v>
      </c>
      <c r="T47" s="199">
        <v>0.55000000000000004</v>
      </c>
      <c r="U47" s="199">
        <v>0.55000000000000004</v>
      </c>
      <c r="V47" s="199">
        <v>0.55000000000000004</v>
      </c>
      <c r="W47" s="199">
        <v>0.55000000000000004</v>
      </c>
      <c r="X47" s="196">
        <v>5.4999999999999991</v>
      </c>
      <c r="Y47" s="196">
        <v>11.000000000000002</v>
      </c>
    </row>
    <row r="48" spans="2:25" customFormat="1" ht="15.75" hidden="1" x14ac:dyDescent="0.25">
      <c r="B48" s="189"/>
      <c r="C48" s="197" t="s">
        <v>137</v>
      </c>
      <c r="D48" s="191">
        <v>0</v>
      </c>
      <c r="E48" s="191">
        <v>0</v>
      </c>
      <c r="F48" s="191">
        <v>0</v>
      </c>
      <c r="G48" s="191">
        <v>0</v>
      </c>
      <c r="H48" s="191">
        <v>0</v>
      </c>
      <c r="I48" s="191">
        <v>0</v>
      </c>
      <c r="J48" s="191">
        <v>0</v>
      </c>
      <c r="K48" s="191">
        <v>0</v>
      </c>
      <c r="L48" s="191">
        <v>0</v>
      </c>
      <c r="M48" s="191">
        <v>0</v>
      </c>
      <c r="N48" s="191">
        <v>0</v>
      </c>
      <c r="O48" s="191">
        <v>0</v>
      </c>
      <c r="P48" s="191">
        <v>0</v>
      </c>
      <c r="Q48" s="191">
        <v>43.769999999999996</v>
      </c>
      <c r="R48" s="191">
        <v>0</v>
      </c>
      <c r="S48" s="192">
        <v>0</v>
      </c>
      <c r="T48" s="191">
        <v>0</v>
      </c>
      <c r="U48" s="191">
        <v>0</v>
      </c>
      <c r="V48" s="191">
        <v>0</v>
      </c>
      <c r="W48" s="191">
        <v>0</v>
      </c>
      <c r="X48" s="187">
        <v>0</v>
      </c>
      <c r="Y48" s="187">
        <v>43.769999999999996</v>
      </c>
    </row>
    <row r="49" spans="2:25" customFormat="1" ht="15.75" hidden="1" x14ac:dyDescent="0.25">
      <c r="B49" s="189"/>
      <c r="C49" s="197" t="s">
        <v>138</v>
      </c>
      <c r="D49" s="191">
        <v>0</v>
      </c>
      <c r="E49" s="191">
        <v>0</v>
      </c>
      <c r="F49" s="191">
        <v>0</v>
      </c>
      <c r="G49" s="191">
        <v>0</v>
      </c>
      <c r="H49" s="191">
        <v>0</v>
      </c>
      <c r="I49" s="191">
        <v>0</v>
      </c>
      <c r="J49" s="191">
        <v>0</v>
      </c>
      <c r="K49" s="191">
        <v>0</v>
      </c>
      <c r="L49" s="191">
        <v>0</v>
      </c>
      <c r="M49" s="191">
        <v>0</v>
      </c>
      <c r="N49" s="191">
        <v>0</v>
      </c>
      <c r="O49" s="191">
        <v>0</v>
      </c>
      <c r="P49" s="191">
        <v>2.78</v>
      </c>
      <c r="Q49" s="191">
        <v>0</v>
      </c>
      <c r="R49" s="191">
        <v>0</v>
      </c>
      <c r="S49" s="192">
        <v>0</v>
      </c>
      <c r="T49" s="191">
        <v>0</v>
      </c>
      <c r="U49" s="191">
        <v>0</v>
      </c>
      <c r="V49" s="191">
        <v>0</v>
      </c>
      <c r="W49" s="191">
        <v>0</v>
      </c>
      <c r="X49" s="187">
        <v>0</v>
      </c>
      <c r="Y49" s="187">
        <v>2.78</v>
      </c>
    </row>
    <row r="50" spans="2:25" customFormat="1" ht="15.75" hidden="1" x14ac:dyDescent="0.25">
      <c r="B50" s="189"/>
      <c r="C50" s="197" t="s">
        <v>139</v>
      </c>
      <c r="D50" s="191">
        <v>0</v>
      </c>
      <c r="E50" s="191">
        <v>0</v>
      </c>
      <c r="F50" s="191">
        <v>0</v>
      </c>
      <c r="G50" s="191">
        <v>0</v>
      </c>
      <c r="H50" s="191">
        <v>0</v>
      </c>
      <c r="I50" s="191">
        <v>0</v>
      </c>
      <c r="J50" s="191">
        <v>0</v>
      </c>
      <c r="K50" s="191">
        <v>0</v>
      </c>
      <c r="L50" s="191">
        <v>0</v>
      </c>
      <c r="M50" s="191">
        <v>0</v>
      </c>
      <c r="N50" s="191">
        <v>0</v>
      </c>
      <c r="O50" s="191">
        <v>0</v>
      </c>
      <c r="P50" s="191">
        <v>0</v>
      </c>
      <c r="Q50" s="191">
        <v>4.46</v>
      </c>
      <c r="R50" s="191">
        <v>0</v>
      </c>
      <c r="S50" s="192">
        <v>0</v>
      </c>
      <c r="T50" s="191">
        <v>0</v>
      </c>
      <c r="U50" s="191">
        <v>0</v>
      </c>
      <c r="V50" s="191">
        <v>0</v>
      </c>
      <c r="W50" s="191">
        <v>0</v>
      </c>
      <c r="X50" s="187">
        <v>0</v>
      </c>
      <c r="Y50" s="187">
        <v>4.46</v>
      </c>
    </row>
    <row r="51" spans="2:25" customFormat="1" ht="15.75" hidden="1" x14ac:dyDescent="0.25">
      <c r="B51" s="189"/>
      <c r="C51" s="197" t="s">
        <v>140</v>
      </c>
      <c r="D51" s="191">
        <v>0</v>
      </c>
      <c r="E51" s="191">
        <v>0</v>
      </c>
      <c r="F51" s="191">
        <v>0</v>
      </c>
      <c r="G51" s="191">
        <v>0</v>
      </c>
      <c r="H51" s="191">
        <v>0</v>
      </c>
      <c r="I51" s="191">
        <v>0</v>
      </c>
      <c r="J51" s="191">
        <v>0</v>
      </c>
      <c r="K51" s="191">
        <v>0</v>
      </c>
      <c r="L51" s="191">
        <v>0</v>
      </c>
      <c r="M51" s="191">
        <v>0</v>
      </c>
      <c r="N51" s="191">
        <v>0</v>
      </c>
      <c r="O51" s="191">
        <v>0</v>
      </c>
      <c r="P51" s="191">
        <v>0.87</v>
      </c>
      <c r="Q51" s="191">
        <v>0</v>
      </c>
      <c r="R51" s="191">
        <v>0</v>
      </c>
      <c r="S51" s="192">
        <v>0</v>
      </c>
      <c r="T51" s="191">
        <v>0</v>
      </c>
      <c r="U51" s="191">
        <v>0</v>
      </c>
      <c r="V51" s="191">
        <v>0</v>
      </c>
      <c r="W51" s="191">
        <v>0</v>
      </c>
      <c r="X51" s="203">
        <v>0</v>
      </c>
      <c r="Y51" s="203">
        <v>0.87</v>
      </c>
    </row>
    <row r="52" spans="2:25" customFormat="1" ht="15.75" x14ac:dyDescent="0.25">
      <c r="B52" s="189"/>
      <c r="C52" s="190" t="s">
        <v>141</v>
      </c>
      <c r="D52" s="191">
        <v>0</v>
      </c>
      <c r="E52" s="191">
        <v>0</v>
      </c>
      <c r="F52" s="191">
        <v>0</v>
      </c>
      <c r="G52" s="191">
        <v>0</v>
      </c>
      <c r="H52" s="191">
        <v>0</v>
      </c>
      <c r="I52" s="191">
        <v>0</v>
      </c>
      <c r="J52" s="191">
        <v>0</v>
      </c>
      <c r="K52" s="191">
        <v>0</v>
      </c>
      <c r="L52" s="191">
        <v>0</v>
      </c>
      <c r="M52" s="191">
        <v>0</v>
      </c>
      <c r="N52" s="191">
        <v>0</v>
      </c>
      <c r="O52" s="191">
        <v>0</v>
      </c>
      <c r="P52" s="191">
        <v>3.65</v>
      </c>
      <c r="Q52" s="191">
        <v>48.23</v>
      </c>
      <c r="R52" s="191">
        <v>0</v>
      </c>
      <c r="S52" s="192">
        <v>0</v>
      </c>
      <c r="T52" s="191">
        <v>0</v>
      </c>
      <c r="U52" s="191">
        <v>0</v>
      </c>
      <c r="V52" s="191">
        <v>0</v>
      </c>
      <c r="W52" s="191">
        <v>0</v>
      </c>
      <c r="X52" s="187">
        <v>0</v>
      </c>
      <c r="Y52" s="187">
        <v>51.879999999999995</v>
      </c>
    </row>
    <row r="53" spans="2:25" customFormat="1" ht="15.75" hidden="1" x14ac:dyDescent="0.25">
      <c r="B53" s="198"/>
      <c r="C53" s="197" t="s">
        <v>142</v>
      </c>
      <c r="D53" s="191">
        <v>0.94</v>
      </c>
      <c r="E53" s="191">
        <v>0.97</v>
      </c>
      <c r="F53" s="191">
        <v>1</v>
      </c>
      <c r="G53" s="191">
        <v>0.98000000000000009</v>
      </c>
      <c r="H53" s="191">
        <v>1.01</v>
      </c>
      <c r="I53" s="191">
        <v>0.87</v>
      </c>
      <c r="J53" s="191">
        <v>0.81000000000000016</v>
      </c>
      <c r="K53" s="191">
        <v>0.78000000000000014</v>
      </c>
      <c r="L53" s="191">
        <v>0.93</v>
      </c>
      <c r="M53" s="191">
        <v>0.96000000000000008</v>
      </c>
      <c r="N53" s="191">
        <v>0.76000000000000023</v>
      </c>
      <c r="O53" s="191">
        <v>0.76000000000000023</v>
      </c>
      <c r="P53" s="191">
        <v>0.76000000000000023</v>
      </c>
      <c r="Q53" s="191">
        <v>0.78</v>
      </c>
      <c r="R53" s="191">
        <v>0.82000000000000006</v>
      </c>
      <c r="S53" s="192">
        <v>0.74</v>
      </c>
      <c r="T53" s="191">
        <v>0.71</v>
      </c>
      <c r="U53" s="191">
        <v>0.71</v>
      </c>
      <c r="V53" s="191">
        <v>0.69</v>
      </c>
      <c r="W53" s="191">
        <v>0.74</v>
      </c>
      <c r="X53" s="191">
        <v>9.2500000000000018</v>
      </c>
      <c r="Y53" s="191">
        <v>16.720000000000002</v>
      </c>
    </row>
    <row r="54" spans="2:25" customFormat="1" ht="15.75" hidden="1" x14ac:dyDescent="0.25">
      <c r="B54" s="189"/>
      <c r="C54" s="197" t="s">
        <v>143</v>
      </c>
      <c r="D54" s="191">
        <v>35.35</v>
      </c>
      <c r="E54" s="191">
        <v>40.340000000000003</v>
      </c>
      <c r="F54" s="191">
        <v>32.619999999999997</v>
      </c>
      <c r="G54" s="191">
        <v>31.91</v>
      </c>
      <c r="H54" s="191">
        <v>29.49</v>
      </c>
      <c r="I54" s="191">
        <v>26.05</v>
      </c>
      <c r="J54" s="191">
        <v>22.109999999999996</v>
      </c>
      <c r="K54" s="191">
        <v>18.850000000000001</v>
      </c>
      <c r="L54" s="191">
        <v>17.440000000000001</v>
      </c>
      <c r="M54" s="191">
        <v>17.34</v>
      </c>
      <c r="N54" s="191">
        <v>19.419999999999998</v>
      </c>
      <c r="O54" s="191">
        <v>19.220000000000002</v>
      </c>
      <c r="P54" s="191">
        <v>22.22</v>
      </c>
      <c r="Q54" s="191">
        <v>21.549999999999997</v>
      </c>
      <c r="R54" s="191">
        <v>17.330000000000002</v>
      </c>
      <c r="S54" s="192">
        <v>18.47</v>
      </c>
      <c r="T54" s="191">
        <v>18.850000000000001</v>
      </c>
      <c r="U54" s="191">
        <v>18.47</v>
      </c>
      <c r="V54" s="191">
        <v>18.850000000000001</v>
      </c>
      <c r="W54" s="191">
        <v>22.049999999999997</v>
      </c>
      <c r="X54" s="191">
        <v>271.5</v>
      </c>
      <c r="Y54" s="191">
        <v>467.93000000000012</v>
      </c>
    </row>
    <row r="55" spans="2:25" customFormat="1" ht="15.75" hidden="1" x14ac:dyDescent="0.25">
      <c r="B55" s="189"/>
      <c r="C55" s="197" t="s">
        <v>144</v>
      </c>
      <c r="D55" s="191">
        <v>7.3000000000000007</v>
      </c>
      <c r="E55" s="191">
        <v>7.1499999999999995</v>
      </c>
      <c r="F55" s="191">
        <v>7.0200000000000005</v>
      </c>
      <c r="G55" s="191">
        <v>6.8800000000000008</v>
      </c>
      <c r="H55" s="191">
        <v>7.1000000000000005</v>
      </c>
      <c r="I55" s="191">
        <v>6.1900000000000013</v>
      </c>
      <c r="J55" s="191">
        <v>6.080000000000001</v>
      </c>
      <c r="K55" s="191">
        <v>5.9499999999999993</v>
      </c>
      <c r="L55" s="191">
        <v>6.01</v>
      </c>
      <c r="M55" s="191">
        <v>5.9899999999999993</v>
      </c>
      <c r="N55" s="191">
        <v>4.41</v>
      </c>
      <c r="O55" s="191">
        <v>4.3099999999999996</v>
      </c>
      <c r="P55" s="191">
        <v>4.07</v>
      </c>
      <c r="Q55" s="191">
        <v>4.1899999999999995</v>
      </c>
      <c r="R55" s="191">
        <v>4.0699999999999994</v>
      </c>
      <c r="S55" s="192">
        <v>3.2099999999999991</v>
      </c>
      <c r="T55" s="191">
        <v>3.1199999999999992</v>
      </c>
      <c r="U55" s="191">
        <v>2.9499999999999997</v>
      </c>
      <c r="V55" s="191">
        <v>2.9499999999999997</v>
      </c>
      <c r="W55" s="191">
        <v>2.8899999999999997</v>
      </c>
      <c r="X55" s="201">
        <v>65.67</v>
      </c>
      <c r="Y55" s="201">
        <v>101.84</v>
      </c>
    </row>
    <row r="56" spans="2:25" customFormat="1" ht="15.75" x14ac:dyDescent="0.25">
      <c r="B56" s="189"/>
      <c r="C56" s="190" t="s">
        <v>145</v>
      </c>
      <c r="D56" s="191">
        <v>43.59</v>
      </c>
      <c r="E56" s="191">
        <v>48.46</v>
      </c>
      <c r="F56" s="191">
        <v>40.64</v>
      </c>
      <c r="G56" s="191">
        <v>39.770000000000003</v>
      </c>
      <c r="H56" s="191">
        <v>37.6</v>
      </c>
      <c r="I56" s="191">
        <v>33.11</v>
      </c>
      <c r="J56" s="191">
        <v>28.999999999999996</v>
      </c>
      <c r="K56" s="191">
        <v>25.580000000000002</v>
      </c>
      <c r="L56" s="191">
        <v>24.380000000000003</v>
      </c>
      <c r="M56" s="191">
        <v>24.29</v>
      </c>
      <c r="N56" s="191">
        <v>24.59</v>
      </c>
      <c r="O56" s="191">
        <v>24.290000000000003</v>
      </c>
      <c r="P56" s="191">
        <v>27.05</v>
      </c>
      <c r="Q56" s="191">
        <v>26.519999999999996</v>
      </c>
      <c r="R56" s="191">
        <v>22.220000000000002</v>
      </c>
      <c r="S56" s="192">
        <v>22.419999999999995</v>
      </c>
      <c r="T56" s="191">
        <v>22.68</v>
      </c>
      <c r="U56" s="191">
        <v>22.13</v>
      </c>
      <c r="V56" s="191">
        <v>22.490000000000002</v>
      </c>
      <c r="W56" s="191">
        <v>25.679999999999996</v>
      </c>
      <c r="X56" s="187">
        <v>346.42</v>
      </c>
      <c r="Y56" s="187">
        <v>586.49</v>
      </c>
    </row>
    <row r="57" spans="2:25" customFormat="1" ht="15.75" x14ac:dyDescent="0.25">
      <c r="B57" s="198"/>
      <c r="C57" s="190" t="s">
        <v>146</v>
      </c>
      <c r="D57" s="206">
        <v>1.45</v>
      </c>
      <c r="E57" s="199">
        <v>1</v>
      </c>
      <c r="F57" s="199">
        <v>0</v>
      </c>
      <c r="G57" s="191">
        <v>0</v>
      </c>
      <c r="H57" s="191">
        <v>0</v>
      </c>
      <c r="I57" s="191">
        <v>0</v>
      </c>
      <c r="J57" s="191">
        <v>0</v>
      </c>
      <c r="K57" s="191">
        <v>0</v>
      </c>
      <c r="L57" s="191">
        <v>0</v>
      </c>
      <c r="M57" s="191">
        <v>0</v>
      </c>
      <c r="N57" s="191">
        <v>0</v>
      </c>
      <c r="O57" s="191">
        <v>0</v>
      </c>
      <c r="P57" s="191">
        <v>0</v>
      </c>
      <c r="Q57" s="191">
        <v>0</v>
      </c>
      <c r="R57" s="191">
        <v>0</v>
      </c>
      <c r="S57" s="192">
        <v>0</v>
      </c>
      <c r="T57" s="191">
        <v>0</v>
      </c>
      <c r="U57" s="191">
        <v>0</v>
      </c>
      <c r="V57" s="191">
        <v>0</v>
      </c>
      <c r="W57" s="191">
        <v>0</v>
      </c>
      <c r="X57" s="187">
        <v>2.4500000000000002</v>
      </c>
      <c r="Y57" s="187">
        <v>2.4500000000000002</v>
      </c>
    </row>
    <row r="58" spans="2:25" customFormat="1" ht="15.75" x14ac:dyDescent="0.25">
      <c r="B58" s="198"/>
      <c r="C58" s="190" t="s">
        <v>147</v>
      </c>
      <c r="D58" s="199">
        <v>1</v>
      </c>
      <c r="E58" s="199">
        <v>5</v>
      </c>
      <c r="F58" s="199">
        <v>1.7</v>
      </c>
      <c r="G58" s="199">
        <v>0</v>
      </c>
      <c r="H58" s="199">
        <v>0</v>
      </c>
      <c r="I58" s="199">
        <v>0</v>
      </c>
      <c r="J58" s="199">
        <v>0</v>
      </c>
      <c r="K58" s="199">
        <v>0</v>
      </c>
      <c r="L58" s="199">
        <v>0</v>
      </c>
      <c r="M58" s="199">
        <v>0</v>
      </c>
      <c r="N58" s="199">
        <v>0</v>
      </c>
      <c r="O58" s="199">
        <v>0</v>
      </c>
      <c r="P58" s="199">
        <v>0</v>
      </c>
      <c r="Q58" s="199">
        <v>0</v>
      </c>
      <c r="R58" s="199">
        <v>0</v>
      </c>
      <c r="S58" s="200">
        <v>0</v>
      </c>
      <c r="T58" s="199">
        <v>0</v>
      </c>
      <c r="U58" s="199">
        <v>0</v>
      </c>
      <c r="V58" s="199">
        <v>0</v>
      </c>
      <c r="W58" s="199">
        <v>0</v>
      </c>
      <c r="X58" s="196">
        <v>7.7</v>
      </c>
      <c r="Y58" s="196">
        <v>7.7</v>
      </c>
    </row>
    <row r="59" spans="2:25" customFormat="1" ht="15.75" x14ac:dyDescent="0.25">
      <c r="B59" s="189"/>
      <c r="C59" s="190" t="s">
        <v>148</v>
      </c>
      <c r="D59" s="191">
        <v>0</v>
      </c>
      <c r="E59" s="191">
        <v>0</v>
      </c>
      <c r="F59" s="191">
        <v>0</v>
      </c>
      <c r="G59" s="191">
        <v>0</v>
      </c>
      <c r="H59" s="191">
        <v>0</v>
      </c>
      <c r="I59" s="191">
        <v>0</v>
      </c>
      <c r="J59" s="191">
        <v>0</v>
      </c>
      <c r="K59" s="191">
        <v>297</v>
      </c>
      <c r="L59" s="191">
        <v>297</v>
      </c>
      <c r="M59" s="191">
        <v>223</v>
      </c>
      <c r="N59" s="191">
        <v>297</v>
      </c>
      <c r="O59" s="191">
        <v>297</v>
      </c>
      <c r="P59" s="191">
        <v>297</v>
      </c>
      <c r="Q59" s="191">
        <v>297</v>
      </c>
      <c r="R59" s="191">
        <v>297</v>
      </c>
      <c r="S59" s="192">
        <v>297</v>
      </c>
      <c r="T59" s="191">
        <v>297</v>
      </c>
      <c r="U59" s="191">
        <v>297</v>
      </c>
      <c r="V59" s="191">
        <v>297</v>
      </c>
      <c r="W59" s="191">
        <v>297</v>
      </c>
      <c r="X59" s="187">
        <v>81.7</v>
      </c>
      <c r="Y59" s="187">
        <v>189.35</v>
      </c>
    </row>
    <row r="60" spans="2:25" customFormat="1" ht="15.75" x14ac:dyDescent="0.25">
      <c r="B60" s="189"/>
      <c r="C60" s="190" t="s">
        <v>149</v>
      </c>
      <c r="D60" s="191">
        <v>10</v>
      </c>
      <c r="E60" s="191">
        <v>100</v>
      </c>
      <c r="F60" s="191">
        <v>100</v>
      </c>
      <c r="G60" s="191">
        <v>100</v>
      </c>
      <c r="H60" s="191">
        <v>100</v>
      </c>
      <c r="I60" s="191">
        <v>100</v>
      </c>
      <c r="J60" s="191">
        <v>100</v>
      </c>
      <c r="K60" s="191">
        <v>100</v>
      </c>
      <c r="L60" s="191">
        <v>100</v>
      </c>
      <c r="M60" s="191">
        <v>100</v>
      </c>
      <c r="N60" s="191">
        <v>100</v>
      </c>
      <c r="O60" s="191">
        <v>100</v>
      </c>
      <c r="P60" s="191">
        <v>100</v>
      </c>
      <c r="Q60" s="191">
        <v>100</v>
      </c>
      <c r="R60" s="191">
        <v>100</v>
      </c>
      <c r="S60" s="192">
        <v>100</v>
      </c>
      <c r="T60" s="191">
        <v>100</v>
      </c>
      <c r="U60" s="191">
        <v>100</v>
      </c>
      <c r="V60" s="191">
        <v>100</v>
      </c>
      <c r="W60" s="191">
        <v>100</v>
      </c>
      <c r="X60" s="187">
        <v>91</v>
      </c>
      <c r="Y60" s="187">
        <v>95.5</v>
      </c>
    </row>
    <row r="61" spans="2:25" customFormat="1" ht="15.75" x14ac:dyDescent="0.25">
      <c r="B61" s="198"/>
      <c r="C61" s="190" t="s">
        <v>150</v>
      </c>
      <c r="D61" s="191">
        <v>245</v>
      </c>
      <c r="E61" s="191">
        <v>345</v>
      </c>
      <c r="F61" s="191">
        <v>400</v>
      </c>
      <c r="G61" s="191">
        <v>400</v>
      </c>
      <c r="H61" s="191">
        <v>400</v>
      </c>
      <c r="I61" s="191">
        <v>400</v>
      </c>
      <c r="J61" s="191">
        <v>400</v>
      </c>
      <c r="K61" s="191">
        <v>400</v>
      </c>
      <c r="L61" s="191">
        <v>400</v>
      </c>
      <c r="M61" s="191">
        <v>400</v>
      </c>
      <c r="N61" s="191">
        <v>400</v>
      </c>
      <c r="O61" s="191">
        <v>400</v>
      </c>
      <c r="P61" s="191">
        <v>400</v>
      </c>
      <c r="Q61" s="191">
        <v>400</v>
      </c>
      <c r="R61" s="191">
        <v>400</v>
      </c>
      <c r="S61" s="192">
        <v>400</v>
      </c>
      <c r="T61" s="191">
        <v>400</v>
      </c>
      <c r="U61" s="191">
        <v>400</v>
      </c>
      <c r="V61" s="191">
        <v>400</v>
      </c>
      <c r="W61" s="191">
        <v>400</v>
      </c>
      <c r="X61" s="187">
        <v>379</v>
      </c>
      <c r="Y61" s="187">
        <v>389.5</v>
      </c>
    </row>
    <row r="62" spans="2:25" customFormat="1" ht="16.5" thickBot="1" x14ac:dyDescent="0.3">
      <c r="B62" s="207"/>
      <c r="C62" s="208" t="s">
        <v>151</v>
      </c>
      <c r="D62" s="191">
        <v>0</v>
      </c>
      <c r="E62" s="191">
        <v>0</v>
      </c>
      <c r="F62" s="191">
        <v>83</v>
      </c>
      <c r="G62" s="191">
        <v>201</v>
      </c>
      <c r="H62" s="191">
        <v>331</v>
      </c>
      <c r="I62" s="191">
        <v>375</v>
      </c>
      <c r="J62" s="191">
        <v>375</v>
      </c>
      <c r="K62" s="191">
        <v>375</v>
      </c>
      <c r="L62" s="191">
        <v>245</v>
      </c>
      <c r="M62" s="191">
        <v>375</v>
      </c>
      <c r="N62" s="191">
        <v>375</v>
      </c>
      <c r="O62" s="191">
        <v>375</v>
      </c>
      <c r="P62" s="191">
        <v>375</v>
      </c>
      <c r="Q62" s="191">
        <v>375</v>
      </c>
      <c r="R62" s="191">
        <v>375</v>
      </c>
      <c r="S62" s="192">
        <v>375</v>
      </c>
      <c r="T62" s="191">
        <v>375</v>
      </c>
      <c r="U62" s="191">
        <v>375</v>
      </c>
      <c r="V62" s="191">
        <v>174</v>
      </c>
      <c r="W62" s="191">
        <v>180</v>
      </c>
      <c r="X62" s="187">
        <v>236</v>
      </c>
      <c r="Y62" s="187">
        <v>285.7</v>
      </c>
    </row>
    <row r="63" spans="2:25" customFormat="1" ht="17.25" thickTop="1" thickBot="1" x14ac:dyDescent="0.3">
      <c r="B63" s="209"/>
      <c r="C63" s="210" t="s">
        <v>99</v>
      </c>
      <c r="D63" s="211">
        <v>0</v>
      </c>
      <c r="E63" s="211">
        <v>0</v>
      </c>
      <c r="F63" s="211">
        <v>-164.10000000000002</v>
      </c>
      <c r="G63" s="211">
        <v>0</v>
      </c>
      <c r="H63" s="211">
        <v>0</v>
      </c>
      <c r="I63" s="211">
        <v>0</v>
      </c>
      <c r="J63" s="211">
        <v>0</v>
      </c>
      <c r="K63" s="211">
        <v>0</v>
      </c>
      <c r="L63" s="211">
        <v>0</v>
      </c>
      <c r="M63" s="211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2">
        <v>-760</v>
      </c>
      <c r="T63" s="212">
        <v>0</v>
      </c>
      <c r="U63" s="212">
        <v>-700.81</v>
      </c>
      <c r="V63" s="212">
        <v>-73.78</v>
      </c>
      <c r="W63" s="212">
        <v>0</v>
      </c>
      <c r="X63" s="213"/>
      <c r="Y63" s="213"/>
    </row>
    <row r="64" spans="2:25" customFormat="1" ht="16.5" thickTop="1" x14ac:dyDescent="0.25">
      <c r="B64" s="209"/>
      <c r="C64" s="214" t="s">
        <v>152</v>
      </c>
      <c r="D64" s="215">
        <v>136.49899999999997</v>
      </c>
      <c r="E64" s="215">
        <v>773.31500000000028</v>
      </c>
      <c r="F64" s="215">
        <v>115.16999999999999</v>
      </c>
      <c r="G64" s="215">
        <v>112.97500000000001</v>
      </c>
      <c r="H64" s="215">
        <v>112.76199999999996</v>
      </c>
      <c r="I64" s="215">
        <v>102.57399999999993</v>
      </c>
      <c r="J64" s="215">
        <v>96.435999999999908</v>
      </c>
      <c r="K64" s="215">
        <v>89.658999999999878</v>
      </c>
      <c r="L64" s="215">
        <v>90.449999999999903</v>
      </c>
      <c r="M64" s="215">
        <v>90.559999999999945</v>
      </c>
      <c r="N64" s="215">
        <v>80.370000000000061</v>
      </c>
      <c r="O64" s="215">
        <v>266.83999999999986</v>
      </c>
      <c r="P64" s="215">
        <v>383.13000000000005</v>
      </c>
      <c r="Q64" s="215">
        <v>202.34999999999985</v>
      </c>
      <c r="R64" s="215">
        <v>496.9</v>
      </c>
      <c r="S64" s="215">
        <v>906.17</v>
      </c>
      <c r="T64" s="215">
        <v>71.090000000000103</v>
      </c>
      <c r="U64" s="215">
        <v>1097.99</v>
      </c>
      <c r="V64" s="215">
        <v>488.80999999999995</v>
      </c>
      <c r="W64" s="215">
        <v>72.419999999999973</v>
      </c>
      <c r="X64" s="216"/>
      <c r="Y64" s="216"/>
    </row>
    <row r="65" spans="2:25" customFormat="1" ht="15.75" x14ac:dyDescent="0.25">
      <c r="B65" s="217"/>
      <c r="C65" s="218" t="s">
        <v>153</v>
      </c>
      <c r="D65" s="219">
        <v>255</v>
      </c>
      <c r="E65" s="219">
        <v>445</v>
      </c>
      <c r="F65" s="219">
        <v>583</v>
      </c>
      <c r="G65" s="219">
        <v>701</v>
      </c>
      <c r="H65" s="219">
        <v>831</v>
      </c>
      <c r="I65" s="219">
        <v>931</v>
      </c>
      <c r="J65" s="219">
        <v>1027</v>
      </c>
      <c r="K65" s="219">
        <v>1261</v>
      </c>
      <c r="L65" s="219">
        <v>1042</v>
      </c>
      <c r="M65" s="219">
        <v>1098</v>
      </c>
      <c r="N65" s="219">
        <v>1210</v>
      </c>
      <c r="O65" s="219">
        <v>1302</v>
      </c>
      <c r="P65" s="219">
        <v>1472</v>
      </c>
      <c r="Q65" s="219">
        <v>1472</v>
      </c>
      <c r="R65" s="219">
        <v>1277</v>
      </c>
      <c r="S65" s="219">
        <v>1366</v>
      </c>
      <c r="T65" s="219">
        <v>1472</v>
      </c>
      <c r="U65" s="219">
        <v>1301</v>
      </c>
      <c r="V65" s="219">
        <v>1138</v>
      </c>
      <c r="W65" s="219">
        <v>1277</v>
      </c>
      <c r="X65" s="216"/>
      <c r="Y65" s="216"/>
    </row>
    <row r="66" spans="2:25" customFormat="1" ht="15.75" x14ac:dyDescent="0.25">
      <c r="B66" s="217"/>
      <c r="C66" s="218" t="s">
        <v>154</v>
      </c>
      <c r="D66" s="219">
        <v>391.49899999999997</v>
      </c>
      <c r="E66" s="219">
        <v>1218.3150000000003</v>
      </c>
      <c r="F66" s="219">
        <v>698.17</v>
      </c>
      <c r="G66" s="219">
        <v>813.97500000000002</v>
      </c>
      <c r="H66" s="219">
        <v>943.76199999999994</v>
      </c>
      <c r="I66" s="219">
        <v>1033.5739999999998</v>
      </c>
      <c r="J66" s="219">
        <v>1123.4359999999999</v>
      </c>
      <c r="K66" s="219">
        <v>1350.6589999999999</v>
      </c>
      <c r="L66" s="219">
        <v>1132.4499999999998</v>
      </c>
      <c r="M66" s="219">
        <v>1188.56</v>
      </c>
      <c r="N66" s="219">
        <v>1290.3700000000001</v>
      </c>
      <c r="O66" s="219">
        <v>1568.84</v>
      </c>
      <c r="P66" s="219">
        <v>1855.13</v>
      </c>
      <c r="Q66" s="219">
        <v>1674.35</v>
      </c>
      <c r="R66" s="219">
        <v>1773.9</v>
      </c>
      <c r="S66" s="219">
        <v>2272.17</v>
      </c>
      <c r="T66" s="219">
        <v>1543.0900000000001</v>
      </c>
      <c r="U66" s="219">
        <v>2398.9899999999998</v>
      </c>
      <c r="V66" s="219">
        <v>1626.81</v>
      </c>
      <c r="W66" s="219">
        <v>1349.42</v>
      </c>
      <c r="X66" s="216"/>
      <c r="Y66" s="216"/>
    </row>
    <row r="67" spans="2:25" customFormat="1" ht="15.75" x14ac:dyDescent="0.25">
      <c r="B67" s="217"/>
      <c r="C67" s="220" t="s">
        <v>155</v>
      </c>
      <c r="D67" s="221"/>
      <c r="E67" s="221"/>
      <c r="F67" s="221"/>
      <c r="G67" s="221"/>
      <c r="H67" s="221"/>
      <c r="I67" s="221"/>
      <c r="J67" s="221"/>
      <c r="K67" s="222"/>
      <c r="L67" s="10"/>
      <c r="M67" s="10"/>
      <c r="N67" s="10"/>
      <c r="O67" s="222"/>
      <c r="P67" s="222"/>
      <c r="Q67" s="222"/>
      <c r="R67" s="10"/>
      <c r="S67" s="10"/>
      <c r="T67" s="10"/>
      <c r="U67" s="10"/>
      <c r="V67" s="223"/>
      <c r="W67" s="223"/>
      <c r="X67" s="216"/>
      <c r="Y67" s="216"/>
    </row>
    <row r="69" spans="2:25" x14ac:dyDescent="0.2">
      <c r="C69" s="10" t="s">
        <v>156</v>
      </c>
    </row>
    <row r="70" spans="2:25" x14ac:dyDescent="0.2">
      <c r="B70" s="163" t="s">
        <v>76</v>
      </c>
    </row>
    <row r="71" spans="2:25" x14ac:dyDescent="0.2">
      <c r="B71" s="163" t="s">
        <v>160</v>
      </c>
      <c r="C71" s="163" t="s">
        <v>161</v>
      </c>
    </row>
    <row r="72" spans="2:25" x14ac:dyDescent="0.2">
      <c r="C72" s="163" t="s">
        <v>162</v>
      </c>
    </row>
    <row r="73" spans="2:25" x14ac:dyDescent="0.2">
      <c r="C73" s="231" t="s">
        <v>173</v>
      </c>
    </row>
    <row r="74" spans="2:25" x14ac:dyDescent="0.2">
      <c r="C74" s="231" t="s">
        <v>174</v>
      </c>
    </row>
    <row r="75" spans="2:25" x14ac:dyDescent="0.2">
      <c r="C75" s="231" t="s">
        <v>175</v>
      </c>
    </row>
  </sheetData>
  <conditionalFormatting sqref="B5:C5">
    <cfRule type="expression" dxfId="0" priority="1" stopIfTrue="1">
      <formula>ROUND($H$368,0)&lt;&gt;0</formula>
    </cfRule>
  </conditionalFormatting>
  <printOptions horizontalCentered="1"/>
  <pageMargins left="0.25" right="0.25" top="0.75" bottom="0.7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>
    <pageSetUpPr fitToPage="1"/>
  </sheetPr>
  <dimension ref="B1:AD43"/>
  <sheetViews>
    <sheetView tabSelected="1" zoomScaleNormal="100" workbookViewId="0">
      <selection activeCell="C75" sqref="C75"/>
    </sheetView>
  </sheetViews>
  <sheetFormatPr defaultColWidth="9.33203125" defaultRowHeight="12.75" x14ac:dyDescent="0.2"/>
  <cols>
    <col min="1" max="1" width="1.33203125" style="2" customWidth="1"/>
    <col min="2" max="2" width="11.1640625" style="2" customWidth="1"/>
    <col min="3" max="8" width="8.1640625" style="2" customWidth="1"/>
    <col min="9" max="10" width="8.33203125" style="2" customWidth="1"/>
    <col min="11" max="11" width="8.1640625" style="2" customWidth="1"/>
    <col min="12" max="12" width="8.1640625" style="3" customWidth="1"/>
    <col min="13" max="14" width="8.1640625" style="2" customWidth="1"/>
    <col min="15" max="15" width="2.33203125" style="2" customWidth="1"/>
    <col min="16" max="16" width="10.83203125" style="3" customWidth="1"/>
    <col min="17" max="17" width="15.33203125" style="2" customWidth="1"/>
    <col min="18" max="18" width="2.1640625" style="2" customWidth="1"/>
    <col min="19" max="31" width="9.33203125" style="2"/>
    <col min="32" max="32" width="2.1640625" style="2" customWidth="1"/>
    <col min="33" max="33" width="2" style="2" customWidth="1"/>
    <col min="34" max="35" width="9.33203125" style="2"/>
    <col min="36" max="36" width="9.33203125" style="2" customWidth="1"/>
    <col min="37" max="16384" width="9.33203125" style="2"/>
  </cols>
  <sheetData>
    <row r="1" spans="2:17" s="17" customFormat="1" ht="15.75" x14ac:dyDescent="0.25">
      <c r="B1" s="1" t="s">
        <v>157</v>
      </c>
      <c r="C1" s="1"/>
      <c r="D1" s="1"/>
      <c r="E1" s="1"/>
      <c r="F1" s="19"/>
      <c r="G1" s="1"/>
      <c r="H1" s="1"/>
      <c r="I1" s="1"/>
      <c r="J1" s="1"/>
      <c r="K1" s="25"/>
      <c r="L1" s="26"/>
      <c r="M1" s="19"/>
      <c r="N1" s="19"/>
      <c r="P1" s="148"/>
    </row>
    <row r="2" spans="2:17" s="20" customFormat="1" ht="15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27"/>
      <c r="M2" s="25"/>
      <c r="N2" s="25"/>
      <c r="P2" s="148"/>
    </row>
    <row r="3" spans="2:17" ht="15" x14ac:dyDescent="0.25">
      <c r="B3" s="8" t="s">
        <v>71</v>
      </c>
      <c r="C3" s="8"/>
      <c r="D3" s="8"/>
      <c r="E3" s="8"/>
      <c r="F3" s="8"/>
      <c r="G3" s="8"/>
      <c r="H3" s="8"/>
      <c r="I3" s="8"/>
      <c r="J3" s="8"/>
      <c r="K3" s="8"/>
      <c r="L3" s="27"/>
      <c r="M3" s="25"/>
      <c r="N3" s="25"/>
    </row>
    <row r="4" spans="2:17" x14ac:dyDescent="0.2">
      <c r="C4" s="38"/>
      <c r="D4" s="38"/>
      <c r="E4" s="38"/>
      <c r="F4" s="14"/>
      <c r="G4" s="14"/>
      <c r="H4" s="14"/>
      <c r="I4" s="14"/>
      <c r="J4" s="14"/>
      <c r="K4" s="14"/>
      <c r="L4" s="28"/>
    </row>
    <row r="5" spans="2:17" x14ac:dyDescent="0.2">
      <c r="B5" s="4" t="s">
        <v>3</v>
      </c>
      <c r="C5" s="40" t="s">
        <v>39</v>
      </c>
      <c r="D5" s="55"/>
      <c r="E5" s="55"/>
      <c r="F5" s="40"/>
      <c r="G5" s="40" t="s">
        <v>40</v>
      </c>
      <c r="H5" s="40"/>
      <c r="I5" s="40"/>
      <c r="J5" s="40"/>
      <c r="K5" s="40"/>
      <c r="L5" s="40"/>
      <c r="M5" s="40" t="s">
        <v>39</v>
      </c>
      <c r="N5" s="40"/>
    </row>
    <row r="6" spans="2:17" x14ac:dyDescent="0.2">
      <c r="B6" s="37"/>
      <c r="C6" s="98" t="s">
        <v>27</v>
      </c>
      <c r="D6" s="98" t="s">
        <v>28</v>
      </c>
      <c r="E6" s="98" t="s">
        <v>29</v>
      </c>
      <c r="F6" s="98" t="s">
        <v>30</v>
      </c>
      <c r="G6" s="106" t="s">
        <v>31</v>
      </c>
      <c r="H6" s="98" t="s">
        <v>32</v>
      </c>
      <c r="I6" s="98" t="s">
        <v>33</v>
      </c>
      <c r="J6" s="98" t="s">
        <v>34</v>
      </c>
      <c r="K6" s="98" t="s">
        <v>35</v>
      </c>
      <c r="L6" s="98" t="s">
        <v>36</v>
      </c>
      <c r="M6" s="106" t="s">
        <v>37</v>
      </c>
      <c r="N6" s="50" t="s">
        <v>38</v>
      </c>
    </row>
    <row r="7" spans="2:17" x14ac:dyDescent="0.2"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2:17" s="7" customFormat="1" ht="12.75" customHeight="1" x14ac:dyDescent="0.2">
      <c r="B8" s="24" t="s">
        <v>54</v>
      </c>
      <c r="D8" s="18"/>
      <c r="E8" s="18"/>
      <c r="F8" s="18"/>
      <c r="G8" s="18"/>
      <c r="H8" s="18"/>
      <c r="I8" s="18"/>
      <c r="J8" s="18"/>
      <c r="K8" s="29"/>
      <c r="L8" s="10"/>
      <c r="M8" s="18"/>
      <c r="N8" s="10"/>
      <c r="P8" s="10"/>
    </row>
    <row r="9" spans="2:17" s="7" customFormat="1" ht="12.75" customHeight="1" x14ac:dyDescent="0.2">
      <c r="B9" s="104"/>
      <c r="C9" s="70"/>
      <c r="D9" s="70"/>
      <c r="E9" s="70"/>
      <c r="F9" s="70"/>
      <c r="G9" s="101"/>
      <c r="H9" s="70"/>
      <c r="I9" s="70"/>
      <c r="J9" s="70"/>
      <c r="K9" s="70"/>
      <c r="L9" s="71"/>
      <c r="M9" s="70"/>
      <c r="N9" s="71"/>
      <c r="P9" s="13"/>
      <c r="Q9" s="105"/>
    </row>
    <row r="10" spans="2:17" s="7" customFormat="1" ht="12.75" customHeight="1" x14ac:dyDescent="0.2">
      <c r="B10" s="109">
        <v>2015</v>
      </c>
      <c r="C10" s="13">
        <v>38.2584585512109</v>
      </c>
      <c r="D10" s="13">
        <v>35.683492796153182</v>
      </c>
      <c r="E10" s="13">
        <v>32.088707911290271</v>
      </c>
      <c r="F10" s="13">
        <v>26.452237791666555</v>
      </c>
      <c r="G10" s="102">
        <v>23.126323548386935</v>
      </c>
      <c r="H10" s="13">
        <v>21.032578091666515</v>
      </c>
      <c r="I10" s="13">
        <v>31.497291910414614</v>
      </c>
      <c r="J10" s="13">
        <v>36.1628382187575</v>
      </c>
      <c r="K10" s="13">
        <v>36.018615339964008</v>
      </c>
      <c r="L10" s="72">
        <v>34.125118349741101</v>
      </c>
      <c r="M10" s="13">
        <v>35.554427190539947</v>
      </c>
      <c r="N10" s="72">
        <v>39.685269923306279</v>
      </c>
      <c r="P10" s="13"/>
      <c r="Q10" s="105"/>
    </row>
    <row r="11" spans="2:17" s="7" customFormat="1" ht="12.75" customHeight="1" x14ac:dyDescent="0.2">
      <c r="B11" s="109">
        <f t="shared" ref="B11:B12" si="0">B10+1</f>
        <v>2016</v>
      </c>
      <c r="C11" s="13">
        <v>39.98538410015825</v>
      </c>
      <c r="D11" s="13">
        <v>36.898425272514764</v>
      </c>
      <c r="E11" s="13">
        <v>34.04441799121058</v>
      </c>
      <c r="F11" s="13">
        <v>27.454921496864202</v>
      </c>
      <c r="G11" s="102">
        <v>23.900445698924685</v>
      </c>
      <c r="H11" s="13">
        <v>22.308776313889151</v>
      </c>
      <c r="I11" s="13">
        <v>31.249030315602617</v>
      </c>
      <c r="J11" s="13">
        <v>39.715153514314444</v>
      </c>
      <c r="K11" s="13">
        <v>39.185228264496146</v>
      </c>
      <c r="L11" s="72">
        <v>36.023100987562849</v>
      </c>
      <c r="M11" s="13">
        <v>37.861204358333516</v>
      </c>
      <c r="N11" s="72">
        <v>41.8699266720431</v>
      </c>
      <c r="P11" s="13"/>
      <c r="Q11" s="105"/>
    </row>
    <row r="12" spans="2:17" s="7" customFormat="1" ht="12.75" customHeight="1" x14ac:dyDescent="0.2">
      <c r="B12" s="109">
        <f t="shared" si="0"/>
        <v>2017</v>
      </c>
      <c r="C12" s="13">
        <v>42.363284596774164</v>
      </c>
      <c r="D12" s="13">
        <v>39.206709580357142</v>
      </c>
      <c r="E12" s="13">
        <v>36.303274397849236</v>
      </c>
      <c r="F12" s="13">
        <v>29.088466338889052</v>
      </c>
      <c r="G12" s="102">
        <v>26.009937279569886</v>
      </c>
      <c r="H12" s="13">
        <v>24.132466555555453</v>
      </c>
      <c r="I12" s="13">
        <v>33.357998526881858</v>
      </c>
      <c r="J12" s="13">
        <v>42.096175580645401</v>
      </c>
      <c r="K12" s="13">
        <v>41.540902894444763</v>
      </c>
      <c r="L12" s="72">
        <v>38.366781655913918</v>
      </c>
      <c r="M12" s="13">
        <v>40.196328024999964</v>
      </c>
      <c r="N12" s="72">
        <v>44.029450604838708</v>
      </c>
      <c r="P12" s="13"/>
      <c r="Q12" s="105"/>
    </row>
    <row r="13" spans="2:17" s="7" customFormat="1" ht="12.75" customHeight="1" x14ac:dyDescent="0.2">
      <c r="B13" s="109">
        <f>B12+1</f>
        <v>2018</v>
      </c>
      <c r="C13" s="13">
        <v>45.21092477957027</v>
      </c>
      <c r="D13" s="13">
        <v>41.903522276785893</v>
      </c>
      <c r="E13" s="13">
        <v>38.909095712365605</v>
      </c>
      <c r="F13" s="13">
        <v>31.781850822222729</v>
      </c>
      <c r="G13" s="102">
        <v>28.694827717742132</v>
      </c>
      <c r="H13" s="13">
        <v>26.814984691666645</v>
      </c>
      <c r="I13" s="13">
        <v>36.235895419355323</v>
      </c>
      <c r="J13" s="13">
        <v>44.804712333333505</v>
      </c>
      <c r="K13" s="13">
        <v>44.019454686111047</v>
      </c>
      <c r="L13" s="72">
        <v>41.17548672311829</v>
      </c>
      <c r="M13" s="13">
        <v>42.914451366666704</v>
      </c>
      <c r="N13" s="72">
        <v>46.709756674731089</v>
      </c>
      <c r="P13" s="13"/>
      <c r="Q13" s="105"/>
    </row>
    <row r="14" spans="2:17" s="7" customFormat="1" ht="12.75" customHeight="1" x14ac:dyDescent="0.2">
      <c r="B14" s="109">
        <f t="shared" ref="B14:B19" si="1">B13+1</f>
        <v>2019</v>
      </c>
      <c r="C14" s="13">
        <v>47.812692561827959</v>
      </c>
      <c r="D14" s="13">
        <v>44.493735616071191</v>
      </c>
      <c r="E14" s="13">
        <v>41.354647653226252</v>
      </c>
      <c r="F14" s="13">
        <v>34.676482797222008</v>
      </c>
      <c r="G14" s="102">
        <v>31.250326954301006</v>
      </c>
      <c r="H14" s="13">
        <v>29.005966838888618</v>
      </c>
      <c r="I14" s="13">
        <v>39.215014873655733</v>
      </c>
      <c r="J14" s="13">
        <v>47.388243376343681</v>
      </c>
      <c r="K14" s="13">
        <v>46.57648297222228</v>
      </c>
      <c r="L14" s="72">
        <v>43.814254521505248</v>
      </c>
      <c r="M14" s="13">
        <v>45.4826326444445</v>
      </c>
      <c r="N14" s="72">
        <v>49.251958645161203</v>
      </c>
      <c r="P14" s="13"/>
      <c r="Q14" s="105"/>
    </row>
    <row r="15" spans="2:17" s="7" customFormat="1" ht="12.75" customHeight="1" x14ac:dyDescent="0.2">
      <c r="B15" s="109">
        <f t="shared" si="1"/>
        <v>2020</v>
      </c>
      <c r="C15" s="13">
        <v>50.201571166666568</v>
      </c>
      <c r="D15" s="13">
        <v>46.904732097701391</v>
      </c>
      <c r="E15" s="13">
        <v>43.737056389784904</v>
      </c>
      <c r="F15" s="13">
        <v>37.040148902777787</v>
      </c>
      <c r="G15" s="102">
        <v>33.255706948924768</v>
      </c>
      <c r="H15" s="13">
        <v>31.775992316666578</v>
      </c>
      <c r="I15" s="13">
        <v>41.620980086021568</v>
      </c>
      <c r="J15" s="13">
        <v>49.44499404032284</v>
      </c>
      <c r="K15" s="13">
        <v>49.219974188889069</v>
      </c>
      <c r="L15" s="72">
        <v>46.253620564515991</v>
      </c>
      <c r="M15" s="13">
        <v>49.751376138888922</v>
      </c>
      <c r="N15" s="72">
        <v>51.860477712365686</v>
      </c>
      <c r="P15" s="13"/>
      <c r="Q15" s="105"/>
    </row>
    <row r="16" spans="2:17" s="7" customFormat="1" ht="12.75" customHeight="1" x14ac:dyDescent="0.2">
      <c r="B16" s="109">
        <f t="shared" si="1"/>
        <v>2021</v>
      </c>
      <c r="C16" s="13">
        <v>51.885672733870642</v>
      </c>
      <c r="D16" s="13">
        <v>49.012218392856994</v>
      </c>
      <c r="E16" s="13">
        <v>43.341848263440916</v>
      </c>
      <c r="F16" s="13">
        <v>39.035996741666565</v>
      </c>
      <c r="G16" s="102">
        <v>34.331206580645414</v>
      </c>
      <c r="H16" s="13">
        <v>36.506887586111205</v>
      </c>
      <c r="I16" s="13">
        <v>46.363262846774113</v>
      </c>
      <c r="J16" s="13">
        <v>52.059035172042869</v>
      </c>
      <c r="K16" s="13">
        <v>50.093186566667008</v>
      </c>
      <c r="L16" s="72">
        <v>48.121180688172217</v>
      </c>
      <c r="M16" s="13">
        <v>54.615041124999728</v>
      </c>
      <c r="N16" s="72">
        <v>54.341462922042574</v>
      </c>
      <c r="P16" s="13"/>
      <c r="Q16" s="105"/>
    </row>
    <row r="17" spans="2:17" s="7" customFormat="1" ht="12.75" customHeight="1" x14ac:dyDescent="0.2">
      <c r="B17" s="109">
        <f t="shared" si="1"/>
        <v>2022</v>
      </c>
      <c r="C17" s="13">
        <v>53.723943629032505</v>
      </c>
      <c r="D17" s="13">
        <v>51.189495014881139</v>
      </c>
      <c r="E17" s="13">
        <v>42.833537276344153</v>
      </c>
      <c r="F17" s="13">
        <v>41.116498944444579</v>
      </c>
      <c r="G17" s="102">
        <v>36.187096908602022</v>
      </c>
      <c r="H17" s="13">
        <v>41.344774499999978</v>
      </c>
      <c r="I17" s="13">
        <v>50.814051435483442</v>
      </c>
      <c r="J17" s="13">
        <v>55.205170379032488</v>
      </c>
      <c r="K17" s="13">
        <v>51.044142133333203</v>
      </c>
      <c r="L17" s="72">
        <v>50.168237704301191</v>
      </c>
      <c r="M17" s="13">
        <v>56.32621785000029</v>
      </c>
      <c r="N17" s="72">
        <v>57.697218623655615</v>
      </c>
      <c r="P17" s="13"/>
      <c r="Q17" s="105"/>
    </row>
    <row r="18" spans="2:17" s="7" customFormat="1" ht="12.75" customHeight="1" x14ac:dyDescent="0.2">
      <c r="B18" s="109">
        <f t="shared" si="1"/>
        <v>2023</v>
      </c>
      <c r="C18" s="13">
        <v>54.990411110215128</v>
      </c>
      <c r="D18" s="13">
        <v>52.248751922619221</v>
      </c>
      <c r="E18" s="13">
        <v>43.40177345161316</v>
      </c>
      <c r="F18" s="13">
        <v>43.66228458055523</v>
      </c>
      <c r="G18" s="102">
        <v>38.861861943548284</v>
      </c>
      <c r="H18" s="13">
        <v>42.9429550027779</v>
      </c>
      <c r="I18" s="13">
        <v>53.798096911290322</v>
      </c>
      <c r="J18" s="13">
        <v>57.899762567204213</v>
      </c>
      <c r="K18" s="13">
        <v>53.007165286111125</v>
      </c>
      <c r="L18" s="72">
        <v>53.602558938171917</v>
      </c>
      <c r="M18" s="13">
        <v>60.146178291667049</v>
      </c>
      <c r="N18" s="72">
        <v>60.985621473118265</v>
      </c>
      <c r="P18" s="13"/>
      <c r="Q18" s="105"/>
    </row>
    <row r="19" spans="2:17" s="7" customFormat="1" ht="12.75" customHeight="1" x14ac:dyDescent="0.2">
      <c r="B19" s="158">
        <f t="shared" si="1"/>
        <v>2024</v>
      </c>
      <c r="C19" s="74">
        <v>60.660614481182989</v>
      </c>
      <c r="D19" s="74">
        <v>57.379669169539518</v>
      </c>
      <c r="E19" s="74">
        <v>46.180540784946089</v>
      </c>
      <c r="F19" s="74">
        <v>45.583672925528347</v>
      </c>
      <c r="G19" s="159">
        <v>39.253913626343973</v>
      </c>
      <c r="H19" s="74">
        <v>41.752185975000259</v>
      </c>
      <c r="I19" s="74">
        <v>54.957370704301105</v>
      </c>
      <c r="J19" s="74">
        <v>61.352730462365656</v>
      </c>
      <c r="K19" s="74">
        <v>55.207775080555017</v>
      </c>
      <c r="L19" s="75">
        <v>55.143208161290453</v>
      </c>
      <c r="M19" s="74">
        <v>61.530229644444255</v>
      </c>
      <c r="N19" s="75">
        <v>63.523415362903428</v>
      </c>
      <c r="P19" s="13"/>
      <c r="Q19" s="105"/>
    </row>
    <row r="20" spans="2:17" s="10" customFormat="1" ht="12.75" customHeight="1" x14ac:dyDescent="0.2">
      <c r="B20" s="107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41"/>
    </row>
    <row r="21" spans="2:17" s="7" customFormat="1" ht="12.75" customHeight="1" x14ac:dyDescent="0.2">
      <c r="B21" s="24" t="s">
        <v>45</v>
      </c>
      <c r="D21" s="61"/>
      <c r="E21" s="61"/>
      <c r="L21" s="60"/>
      <c r="P21" s="10"/>
    </row>
    <row r="22" spans="2:17" s="7" customFormat="1" ht="12.75" customHeight="1" x14ac:dyDescent="0.2">
      <c r="B22" s="59" t="s">
        <v>3</v>
      </c>
      <c r="D22" s="62" t="s">
        <v>39</v>
      </c>
      <c r="E22" s="9"/>
      <c r="F22" s="63"/>
      <c r="G22" s="10"/>
      <c r="H22" s="62" t="s">
        <v>40</v>
      </c>
      <c r="I22" s="9"/>
      <c r="J22" s="63"/>
      <c r="K22" s="10"/>
      <c r="L22" s="62" t="s">
        <v>46</v>
      </c>
      <c r="M22" s="9"/>
      <c r="N22" s="63"/>
      <c r="P22" s="10"/>
    </row>
    <row r="23" spans="2:17" s="3" customFormat="1" ht="12.75" customHeight="1" x14ac:dyDescent="0.2">
      <c r="B23" s="11"/>
      <c r="C23" s="10"/>
      <c r="D23" s="76"/>
      <c r="E23" s="77"/>
      <c r="F23" s="77"/>
      <c r="G23" s="31"/>
      <c r="H23" s="76"/>
      <c r="I23" s="77"/>
      <c r="J23" s="77"/>
      <c r="K23" s="31"/>
      <c r="L23" s="76"/>
      <c r="M23" s="77"/>
      <c r="N23" s="77"/>
      <c r="O23" s="38"/>
    </row>
    <row r="24" spans="2:17" s="3" customFormat="1" ht="12.75" customHeight="1" x14ac:dyDescent="0.2">
      <c r="B24" s="33"/>
      <c r="D24" s="99"/>
      <c r="E24" s="99"/>
      <c r="F24" s="99"/>
      <c r="H24" s="5"/>
      <c r="I24" s="5"/>
      <c r="J24" s="5"/>
      <c r="L24" s="99"/>
      <c r="M24" s="99"/>
      <c r="N24" s="99"/>
    </row>
    <row r="25" spans="2:17" s="3" customFormat="1" ht="12.75" customHeight="1" x14ac:dyDescent="0.2">
      <c r="B25" s="33">
        <f>B10</f>
        <v>2015</v>
      </c>
      <c r="D25" s="99"/>
      <c r="E25" s="99">
        <f>ROUND((SUMPRODUCT(C10:F10,$C$40:$F$40)+SUMPRODUCT(M10:N10,$M$40:$N$40))/(365-$H$43),2)</f>
        <v>34.64</v>
      </c>
      <c r="F25" s="99"/>
      <c r="H25" s="5"/>
      <c r="I25" s="5">
        <f t="shared" ref="I25:I34" si="2">ROUND(SUMPRODUCT(G10:L10,$G$40:$L$40)/$H$43,2)</f>
        <v>30.35</v>
      </c>
      <c r="J25" s="5"/>
      <c r="L25" s="99"/>
      <c r="M25" s="99">
        <f>ROUND(SUMPRODUCT(C10:N10,$C$40:$N$40)/365,2)</f>
        <v>32.479999999999997</v>
      </c>
      <c r="N25" s="99"/>
    </row>
    <row r="26" spans="2:17" s="3" customFormat="1" ht="12.75" customHeight="1" x14ac:dyDescent="0.2">
      <c r="B26" s="33">
        <f t="shared" ref="B26:B34" si="3">B25+1</f>
        <v>2016</v>
      </c>
      <c r="D26" s="99"/>
      <c r="E26" s="99">
        <f>ROUND((SUMPRODUCT(C11:F11,$C$41:$F$41)+SUMPRODUCT(M11:N11,$M$41:$N$41))/(366-$H$43),2)</f>
        <v>36.39</v>
      </c>
      <c r="F26" s="99"/>
      <c r="H26" s="5"/>
      <c r="I26" s="5">
        <f t="shared" si="2"/>
        <v>32.08</v>
      </c>
      <c r="J26" s="5"/>
      <c r="L26" s="99"/>
      <c r="M26" s="99">
        <f>ROUND(SUMPRODUCT(C11:N11,$C$40:$N$40)/366,2)</f>
        <v>34.119999999999997</v>
      </c>
      <c r="N26" s="99"/>
    </row>
    <row r="27" spans="2:17" s="3" customFormat="1" ht="12.75" customHeight="1" x14ac:dyDescent="0.2">
      <c r="B27" s="33">
        <f t="shared" si="3"/>
        <v>2017</v>
      </c>
      <c r="D27" s="99"/>
      <c r="E27" s="99">
        <f>ROUND((SUMPRODUCT(C12:F12,$C$40:$F$40)+SUMPRODUCT(M12:N12,$M$40:$N$40))/(365-$H$43),2)</f>
        <v>38.56</v>
      </c>
      <c r="F27" s="99"/>
      <c r="H27" s="5"/>
      <c r="I27" s="5">
        <f t="shared" si="2"/>
        <v>34.270000000000003</v>
      </c>
      <c r="J27" s="5"/>
      <c r="L27" s="99"/>
      <c r="M27" s="99">
        <f>ROUND(SUMPRODUCT(C12:N12,$C$40:$N$40)/365,2)</f>
        <v>36.4</v>
      </c>
      <c r="N27" s="99"/>
    </row>
    <row r="28" spans="2:17" s="3" customFormat="1" ht="12.75" customHeight="1" x14ac:dyDescent="0.2">
      <c r="B28" s="33">
        <f t="shared" si="3"/>
        <v>2018</v>
      </c>
      <c r="D28" s="99"/>
      <c r="E28" s="99">
        <f>ROUND((SUMPRODUCT(C13:F13,$C$40:$F$40)+SUMPRODUCT(M13:N13,$M$40:$N$40))/(365-$H$43),2)</f>
        <v>41.27</v>
      </c>
      <c r="F28" s="99"/>
      <c r="H28" s="5"/>
      <c r="I28" s="5">
        <f t="shared" si="2"/>
        <v>36.97</v>
      </c>
      <c r="J28" s="5"/>
      <c r="L28" s="99"/>
      <c r="M28" s="99">
        <f>ROUND(SUMPRODUCT(C13:N13,$C$40:$N$40)/365,2)</f>
        <v>39.1</v>
      </c>
      <c r="N28" s="99"/>
    </row>
    <row r="29" spans="2:17" s="3" customFormat="1" ht="12.75" customHeight="1" x14ac:dyDescent="0.2">
      <c r="B29" s="33">
        <f t="shared" si="3"/>
        <v>2019</v>
      </c>
      <c r="D29" s="99"/>
      <c r="E29" s="99">
        <f>ROUND((SUMPRODUCT(C14:F14,$C$40:$F$40)+SUMPRODUCT(M14:N14,$M$40:$N$40))/(365-$H$43),2)</f>
        <v>43.88</v>
      </c>
      <c r="F29" s="99"/>
      <c r="H29" s="5"/>
      <c r="I29" s="5">
        <f t="shared" si="2"/>
        <v>39.56</v>
      </c>
      <c r="J29" s="5"/>
      <c r="L29" s="99"/>
      <c r="M29" s="99">
        <f>ROUND(SUMPRODUCT(C14:N14,$C$40:$N$40)/365,2)</f>
        <v>41.7</v>
      </c>
      <c r="N29" s="99"/>
    </row>
    <row r="30" spans="2:17" s="3" customFormat="1" ht="12.75" customHeight="1" x14ac:dyDescent="0.2">
      <c r="B30" s="33">
        <f t="shared" si="3"/>
        <v>2020</v>
      </c>
      <c r="D30" s="99"/>
      <c r="E30" s="99">
        <f>ROUND((SUMPRODUCT(C15:F15,$C$41:$F$41)+SUMPRODUCT(M15:N15,$M$41:$N$41))/(366-$H$43),2)</f>
        <v>46.61</v>
      </c>
      <c r="F30" s="99"/>
      <c r="H30" s="5"/>
      <c r="I30" s="5">
        <f t="shared" si="2"/>
        <v>41.94</v>
      </c>
      <c r="J30" s="5"/>
      <c r="L30" s="99"/>
      <c r="M30" s="99">
        <f>ROUND(SUMPRODUCT(C15:N15,$C$40:$N$40)/366,2)</f>
        <v>44.14</v>
      </c>
      <c r="N30" s="99"/>
    </row>
    <row r="31" spans="2:17" s="3" customFormat="1" ht="12.75" customHeight="1" x14ac:dyDescent="0.2">
      <c r="B31" s="33">
        <f t="shared" si="3"/>
        <v>2021</v>
      </c>
      <c r="D31" s="99"/>
      <c r="E31" s="99">
        <f t="shared" ref="E31:E33" si="4">ROUND((SUMPRODUCT(C16:F16,$C$40:$F$40)+SUMPRODUCT(M16:N16,$M$40:$N$40))/(365-$H$43),2)</f>
        <v>48.72</v>
      </c>
      <c r="F31" s="99"/>
      <c r="H31" s="5"/>
      <c r="I31" s="5">
        <f t="shared" ref="I31:I33" si="5">ROUND(SUMPRODUCT(G16:L16,$G$40:$L$40)/$H$43,2)</f>
        <v>44.59</v>
      </c>
      <c r="J31" s="5"/>
      <c r="L31" s="99"/>
      <c r="M31" s="99">
        <f t="shared" ref="M31:M33" si="6">ROUND(SUMPRODUCT(C16:N16,$C$40:$N$40)/365,2)</f>
        <v>46.64</v>
      </c>
      <c r="N31" s="99"/>
    </row>
    <row r="32" spans="2:17" s="3" customFormat="1" ht="12.75" customHeight="1" x14ac:dyDescent="0.2">
      <c r="B32" s="33">
        <f t="shared" si="3"/>
        <v>2022</v>
      </c>
      <c r="D32" s="99"/>
      <c r="E32" s="99">
        <f t="shared" si="4"/>
        <v>50.49</v>
      </c>
      <c r="F32" s="99"/>
      <c r="H32" s="5"/>
      <c r="I32" s="5">
        <f t="shared" si="5"/>
        <v>47.47</v>
      </c>
      <c r="J32" s="5"/>
      <c r="L32" s="99"/>
      <c r="M32" s="99">
        <f t="shared" si="6"/>
        <v>48.97</v>
      </c>
      <c r="N32" s="99"/>
    </row>
    <row r="33" spans="2:30" s="3" customFormat="1" ht="12.75" customHeight="1" x14ac:dyDescent="0.2">
      <c r="B33" s="33">
        <f t="shared" si="3"/>
        <v>2023</v>
      </c>
      <c r="D33" s="99"/>
      <c r="E33" s="99">
        <f t="shared" si="4"/>
        <v>52.59</v>
      </c>
      <c r="F33" s="99"/>
      <c r="H33" s="5"/>
      <c r="I33" s="5">
        <f t="shared" si="5"/>
        <v>50.04</v>
      </c>
      <c r="J33" s="5"/>
      <c r="L33" s="99"/>
      <c r="M33" s="99">
        <f t="shared" si="6"/>
        <v>51.3</v>
      </c>
      <c r="N33" s="99"/>
    </row>
    <row r="34" spans="2:30" s="3" customFormat="1" ht="12.75" customHeight="1" x14ac:dyDescent="0.2">
      <c r="B34" s="33">
        <f t="shared" si="3"/>
        <v>2024</v>
      </c>
      <c r="D34" s="99"/>
      <c r="E34" s="99">
        <f>ROUND((SUMPRODUCT(C19:F19,$C$41:$F$41)+SUMPRODUCT(M19:N19,$M$41:$N$41))/(366-$H$43),2)</f>
        <v>55.82</v>
      </c>
      <c r="F34" s="99"/>
      <c r="H34" s="5"/>
      <c r="I34" s="5">
        <f t="shared" si="2"/>
        <v>51.31</v>
      </c>
      <c r="J34" s="5"/>
      <c r="L34" s="99"/>
      <c r="M34" s="99">
        <f>ROUND(SUMPRODUCT(C19:N19,$C$40:$N$40)/366,2)</f>
        <v>53.39</v>
      </c>
      <c r="N34" s="99"/>
    </row>
    <row r="35" spans="2:30" s="3" customFormat="1" ht="12.75" customHeight="1" x14ac:dyDescent="0.2">
      <c r="B35" s="33"/>
      <c r="D35" s="99"/>
      <c r="E35" s="99"/>
      <c r="F35" s="99"/>
      <c r="H35" s="5"/>
      <c r="I35" s="5"/>
      <c r="J35" s="5"/>
      <c r="L35" s="99"/>
      <c r="M35" s="99"/>
      <c r="N35" s="99"/>
    </row>
    <row r="36" spans="2:30" s="3" customFormat="1" ht="12.75" customHeight="1" x14ac:dyDescent="0.2">
      <c r="B36" s="2" t="s">
        <v>48</v>
      </c>
      <c r="C36" s="100" t="str">
        <f>"GRID Production Cost Computer Model Study - Dated  2014, December 2"</f>
        <v>GRID Production Cost Computer Model Study - Dated  2014, December 2</v>
      </c>
      <c r="E36" s="99"/>
      <c r="F36" s="5"/>
      <c r="G36" s="5"/>
      <c r="H36" s="5"/>
      <c r="K36" s="5"/>
      <c r="L36" s="5"/>
      <c r="P36" s="149"/>
    </row>
    <row r="37" spans="2:30" ht="12.75" customHeight="1" x14ac:dyDescent="0.2">
      <c r="D37" s="3"/>
      <c r="E37" s="99"/>
      <c r="F37" s="5"/>
      <c r="G37" s="5"/>
      <c r="H37" s="5"/>
      <c r="I37" s="3"/>
    </row>
    <row r="38" spans="2:30" ht="12.75" hidden="1" customHeight="1" x14ac:dyDescent="0.2">
      <c r="D38" s="3"/>
      <c r="E38" s="3"/>
      <c r="F38" s="3"/>
      <c r="G38" s="3"/>
      <c r="H38" s="3"/>
      <c r="P38" s="10"/>
    </row>
    <row r="39" spans="2:30" ht="12.75" hidden="1" customHeight="1" x14ac:dyDescent="0.2">
      <c r="D39" s="3"/>
      <c r="E39" s="3"/>
      <c r="F39" s="3"/>
      <c r="G39" s="3"/>
      <c r="H39" s="3"/>
      <c r="P39" s="10"/>
      <c r="V39" s="3"/>
      <c r="W39" s="3"/>
      <c r="X39" s="3"/>
      <c r="Y39" s="3"/>
      <c r="Z39" s="3"/>
      <c r="AA39" s="3"/>
      <c r="AB39" s="3"/>
      <c r="AC39" s="3"/>
      <c r="AD39" s="3"/>
    </row>
    <row r="40" spans="2:30" hidden="1" x14ac:dyDescent="0.2">
      <c r="B40" s="2" t="s">
        <v>52</v>
      </c>
      <c r="C40" s="2">
        <v>31</v>
      </c>
      <c r="D40" s="2">
        <v>28</v>
      </c>
      <c r="E40" s="2">
        <v>31</v>
      </c>
      <c r="F40" s="2">
        <v>30</v>
      </c>
      <c r="G40" s="44">
        <v>31</v>
      </c>
      <c r="H40" s="2">
        <v>30</v>
      </c>
      <c r="I40" s="2">
        <v>31</v>
      </c>
      <c r="J40" s="2">
        <v>31</v>
      </c>
      <c r="K40" s="2">
        <v>30</v>
      </c>
      <c r="L40" s="2">
        <v>31</v>
      </c>
      <c r="M40" s="44">
        <v>30</v>
      </c>
      <c r="N40" s="2">
        <v>31</v>
      </c>
      <c r="V40" s="3"/>
      <c r="W40" s="3"/>
      <c r="X40" s="3"/>
      <c r="Y40" s="3"/>
      <c r="Z40" s="3"/>
      <c r="AA40" s="3"/>
      <c r="AB40" s="3"/>
      <c r="AC40" s="3"/>
      <c r="AD40" s="3"/>
    </row>
    <row r="41" spans="2:30" hidden="1" x14ac:dyDescent="0.2">
      <c r="B41" s="2" t="s">
        <v>53</v>
      </c>
      <c r="C41" s="2">
        <v>31</v>
      </c>
      <c r="D41" s="2">
        <v>29</v>
      </c>
      <c r="E41" s="2">
        <v>31</v>
      </c>
      <c r="F41" s="2">
        <v>30</v>
      </c>
      <c r="G41" s="44">
        <v>31</v>
      </c>
      <c r="H41" s="2">
        <v>30</v>
      </c>
      <c r="I41" s="2">
        <v>31</v>
      </c>
      <c r="J41" s="2">
        <v>31</v>
      </c>
      <c r="K41" s="2">
        <v>30</v>
      </c>
      <c r="L41" s="2">
        <v>31</v>
      </c>
      <c r="M41" s="44">
        <v>30</v>
      </c>
      <c r="N41" s="2">
        <v>31</v>
      </c>
      <c r="V41" s="3"/>
      <c r="W41" s="3"/>
      <c r="X41" s="3"/>
      <c r="Y41" s="3"/>
      <c r="Z41" s="3"/>
      <c r="AA41" s="3"/>
      <c r="AB41" s="3"/>
      <c r="AC41" s="3"/>
      <c r="AD41" s="3"/>
    </row>
    <row r="42" spans="2:30" hidden="1" x14ac:dyDescent="0.2">
      <c r="V42" s="3"/>
      <c r="W42" s="3"/>
      <c r="X42" s="3"/>
      <c r="Y42" s="3"/>
      <c r="Z42" s="3"/>
      <c r="AA42" s="3"/>
      <c r="AB42" s="3"/>
      <c r="AC42" s="3"/>
      <c r="AD42" s="3"/>
    </row>
    <row r="43" spans="2:30" hidden="1" x14ac:dyDescent="0.2">
      <c r="H43" s="2">
        <f>SUM(G40:L40)</f>
        <v>184</v>
      </c>
      <c r="AC43" s="3"/>
    </row>
  </sheetData>
  <phoneticPr fontId="7" type="noConversion"/>
  <printOptions horizontalCentered="1"/>
  <pageMargins left="0.25" right="0.25" top="0.75" bottom="0.75" header="0.3" footer="0.3"/>
  <pageSetup scale="93" orientation="landscape" r:id="rId1"/>
  <ignoredErrors>
    <ignoredError sqref="E26 E30" formula="1"/>
    <ignoredError sqref="I25:I34 M25 M27:M29" formulaRange="1"/>
    <ignoredError sqref="M26 M30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N42"/>
  <sheetViews>
    <sheetView tabSelected="1" zoomScale="80" zoomScaleNormal="80" workbookViewId="0">
      <selection activeCell="C75" sqref="C75"/>
    </sheetView>
  </sheetViews>
  <sheetFormatPr defaultColWidth="9.33203125" defaultRowHeight="12.75" x14ac:dyDescent="0.2"/>
  <cols>
    <col min="1" max="1" width="1.6640625" style="7" customWidth="1"/>
    <col min="2" max="2" width="10.5" style="7" customWidth="1"/>
    <col min="3" max="7" width="16" style="7" customWidth="1"/>
    <col min="8" max="8" width="1.6640625" style="10" customWidth="1"/>
    <col min="9" max="9" width="10.5" style="7" customWidth="1"/>
    <col min="10" max="13" width="16" style="7" customWidth="1"/>
    <col min="14" max="14" width="23.83203125" style="7" customWidth="1"/>
    <col min="15" max="15" width="1.6640625" style="7" customWidth="1"/>
    <col min="16" max="16384" width="9.33203125" style="7"/>
  </cols>
  <sheetData>
    <row r="1" spans="2:14" s="17" customFormat="1" ht="15.75" x14ac:dyDescent="0.25">
      <c r="B1" s="1" t="s">
        <v>23</v>
      </c>
      <c r="C1" s="19"/>
      <c r="D1" s="1"/>
      <c r="E1" s="1"/>
      <c r="F1" s="1"/>
      <c r="G1" s="1"/>
      <c r="H1" s="21"/>
      <c r="I1" s="1" t="s">
        <v>24</v>
      </c>
      <c r="J1" s="19"/>
      <c r="K1" s="1"/>
      <c r="L1" s="1"/>
      <c r="M1" s="1"/>
      <c r="N1" s="19"/>
    </row>
    <row r="2" spans="2:14" s="20" customFormat="1" ht="15" x14ac:dyDescent="0.25">
      <c r="B2" s="8" t="s">
        <v>11</v>
      </c>
      <c r="C2" s="8"/>
      <c r="D2" s="8"/>
      <c r="E2" s="8"/>
      <c r="F2" s="8"/>
      <c r="G2" s="8"/>
      <c r="H2" s="21"/>
      <c r="I2" s="126" t="s">
        <v>88</v>
      </c>
      <c r="J2" s="127"/>
      <c r="K2" s="127"/>
      <c r="L2" s="127"/>
      <c r="M2" s="127"/>
      <c r="N2" s="127"/>
    </row>
    <row r="3" spans="2:14" s="20" customFormat="1" ht="15" x14ac:dyDescent="0.25">
      <c r="B3" s="8"/>
      <c r="C3" s="8"/>
      <c r="D3" s="8"/>
      <c r="E3" s="8"/>
      <c r="F3" s="8"/>
      <c r="G3" s="8"/>
      <c r="H3" s="21"/>
      <c r="I3" s="126"/>
      <c r="J3" s="127"/>
      <c r="K3" s="127"/>
      <c r="L3" s="127"/>
      <c r="M3" s="127"/>
      <c r="N3" s="127"/>
    </row>
    <row r="4" spans="2:14" s="2" customFormat="1" x14ac:dyDescent="0.2">
      <c r="H4" s="31"/>
      <c r="I4" s="138"/>
      <c r="J4" s="139"/>
      <c r="K4" s="232" t="s">
        <v>64</v>
      </c>
      <c r="L4" s="233"/>
      <c r="M4" s="233"/>
      <c r="N4" s="234"/>
    </row>
    <row r="5" spans="2:14" s="2" customFormat="1" x14ac:dyDescent="0.2">
      <c r="B5" s="34"/>
      <c r="C5" s="4" t="s">
        <v>18</v>
      </c>
      <c r="D5" s="43" t="s">
        <v>8</v>
      </c>
      <c r="E5" s="41" t="s">
        <v>9</v>
      </c>
      <c r="F5" s="41"/>
      <c r="G5" s="41"/>
      <c r="H5" s="31"/>
      <c r="I5" s="34"/>
      <c r="J5" s="52" t="s">
        <v>18</v>
      </c>
      <c r="K5" s="4" t="s">
        <v>20</v>
      </c>
      <c r="L5" s="43" t="s">
        <v>8</v>
      </c>
      <c r="M5" s="4" t="s">
        <v>1</v>
      </c>
      <c r="N5" s="4" t="s">
        <v>2</v>
      </c>
    </row>
    <row r="6" spans="2:14" s="2" customFormat="1" x14ac:dyDescent="0.2">
      <c r="B6" s="15" t="s">
        <v>3</v>
      </c>
      <c r="C6" s="15" t="s">
        <v>19</v>
      </c>
      <c r="D6" s="53" t="s">
        <v>7</v>
      </c>
      <c r="E6" s="48" t="s">
        <v>10</v>
      </c>
      <c r="F6" s="32"/>
      <c r="G6" s="49"/>
      <c r="H6" s="31"/>
      <c r="I6" s="15" t="s">
        <v>3</v>
      </c>
      <c r="J6" s="42" t="s">
        <v>19</v>
      </c>
      <c r="K6" s="15" t="s">
        <v>21</v>
      </c>
      <c r="L6" s="53" t="s">
        <v>7</v>
      </c>
      <c r="M6" s="15" t="str">
        <f>TEXT((0.57*8760),"0,000")&amp;" Hours"</f>
        <v>4,993 Hours</v>
      </c>
      <c r="N6" s="15" t="str">
        <f>TEXT((0.43*8760),"0,000")&amp;" Hours"</f>
        <v>3,767 Hours</v>
      </c>
    </row>
    <row r="7" spans="2:14" s="2" customFormat="1" x14ac:dyDescent="0.2">
      <c r="B7" s="35"/>
      <c r="C7" s="15" t="s">
        <v>5</v>
      </c>
      <c r="D7" s="53" t="s">
        <v>6</v>
      </c>
      <c r="E7" s="54">
        <v>0.75</v>
      </c>
      <c r="F7" s="54">
        <v>0.85</v>
      </c>
      <c r="G7" s="54">
        <v>0.95</v>
      </c>
      <c r="H7" s="38"/>
      <c r="I7" s="35"/>
      <c r="J7" s="42" t="s">
        <v>5</v>
      </c>
      <c r="K7" s="15" t="s">
        <v>0</v>
      </c>
      <c r="L7" s="53" t="s">
        <v>6</v>
      </c>
      <c r="M7" s="103" t="s">
        <v>77</v>
      </c>
      <c r="N7" s="103" t="s">
        <v>77</v>
      </c>
    </row>
    <row r="8" spans="2:14" s="2" customFormat="1" x14ac:dyDescent="0.2">
      <c r="B8" s="36"/>
      <c r="C8" s="55" t="s">
        <v>4</v>
      </c>
      <c r="D8" s="30" t="s">
        <v>50</v>
      </c>
      <c r="E8" s="82" t="s">
        <v>50</v>
      </c>
      <c r="F8" s="82" t="s">
        <v>50</v>
      </c>
      <c r="G8" s="82" t="s">
        <v>50</v>
      </c>
      <c r="H8" s="38"/>
      <c r="I8" s="36"/>
      <c r="J8" s="56" t="s">
        <v>4</v>
      </c>
      <c r="K8" s="82" t="s">
        <v>50</v>
      </c>
      <c r="L8" s="30" t="s">
        <v>50</v>
      </c>
      <c r="M8" s="82" t="s">
        <v>50</v>
      </c>
      <c r="N8" s="82" t="s">
        <v>50</v>
      </c>
    </row>
    <row r="9" spans="2:14" s="2" customFormat="1" x14ac:dyDescent="0.2">
      <c r="C9" s="38" t="s">
        <v>13</v>
      </c>
      <c r="D9" s="51" t="s">
        <v>14</v>
      </c>
      <c r="E9" s="38" t="s">
        <v>15</v>
      </c>
      <c r="F9" s="38" t="s">
        <v>16</v>
      </c>
      <c r="G9" s="38" t="s">
        <v>17</v>
      </c>
      <c r="H9" s="3"/>
      <c r="J9" s="38" t="s">
        <v>13</v>
      </c>
      <c r="K9" s="51" t="s">
        <v>14</v>
      </c>
      <c r="L9" s="38" t="s">
        <v>15</v>
      </c>
      <c r="M9" s="38" t="s">
        <v>16</v>
      </c>
      <c r="N9" s="38" t="s">
        <v>17</v>
      </c>
    </row>
    <row r="10" spans="2:14" s="2" customFormat="1" x14ac:dyDescent="0.2">
      <c r="C10" s="22"/>
      <c r="D10" s="38"/>
      <c r="E10" s="23" t="str">
        <f>" "&amp;$D$9&amp;"+"&amp;$C$9&amp;"/(8.76 x "&amp;$E$7&amp;")"</f>
        <v xml:space="preserve"> (b)+(a)/(8.76 x 0.75)</v>
      </c>
      <c r="F10" s="23" t="str">
        <f>" "&amp;$D$9&amp;"+("&amp;$C$9&amp;"/(8.76 x "&amp;$F$7&amp;")"</f>
        <v xml:space="preserve"> (b)+((a)/(8.76 x 0.85)</v>
      </c>
      <c r="G10" s="23" t="str">
        <f>" "&amp;$D$9&amp;"+("&amp;$C$9&amp;"/(8.76 x "&amp;$G$7&amp;")"</f>
        <v xml:space="preserve"> (b)+((a)/(8.76 x 0.95)</v>
      </c>
      <c r="H10" s="3"/>
      <c r="J10" s="22"/>
      <c r="K10" s="14"/>
      <c r="L10" s="38"/>
      <c r="M10" s="14"/>
      <c r="N10" s="137"/>
    </row>
    <row r="11" spans="2:14" s="2" customFormat="1" x14ac:dyDescent="0.2">
      <c r="H11" s="3"/>
    </row>
    <row r="12" spans="2:14" s="10" customFormat="1" x14ac:dyDescent="0.2">
      <c r="B12" s="24"/>
      <c r="C12" s="12"/>
      <c r="D12" s="13"/>
      <c r="E12" s="13"/>
      <c r="F12" s="13"/>
      <c r="G12" s="13"/>
      <c r="H12" s="12"/>
      <c r="I12" s="24"/>
      <c r="J12" s="12"/>
      <c r="K12" s="14"/>
      <c r="L12" s="13"/>
      <c r="M12" s="13"/>
      <c r="N12" s="13"/>
    </row>
    <row r="13" spans="2:14" s="10" customFormat="1" x14ac:dyDescent="0.2">
      <c r="B13" s="67"/>
      <c r="C13" s="69"/>
      <c r="D13" s="70"/>
      <c r="E13" s="70"/>
      <c r="F13" s="70"/>
      <c r="G13" s="71"/>
      <c r="H13" s="12"/>
      <c r="I13" s="67"/>
      <c r="J13" s="69"/>
      <c r="K13" s="70"/>
      <c r="L13" s="70"/>
      <c r="M13" s="70"/>
      <c r="N13" s="71"/>
    </row>
    <row r="14" spans="2:14" s="10" customFormat="1" x14ac:dyDescent="0.2">
      <c r="B14" s="68">
        <v>2015</v>
      </c>
      <c r="C14" s="12">
        <v>0</v>
      </c>
      <c r="D14" s="13">
        <f>'Table 2'!M25</f>
        <v>32.479999999999997</v>
      </c>
      <c r="E14" s="13">
        <f t="shared" ref="E14:E23" si="0">ROUND($D14+$C14/(8.76*E$7),2)</f>
        <v>32.479999999999997</v>
      </c>
      <c r="F14" s="13">
        <f t="shared" ref="F14:G23" si="1">ROUND($D14+$C14/(8.76*F$7),2)</f>
        <v>32.479999999999997</v>
      </c>
      <c r="G14" s="72">
        <f t="shared" si="1"/>
        <v>32.479999999999997</v>
      </c>
      <c r="H14" s="12"/>
      <c r="I14" s="68">
        <f>B14</f>
        <v>2015</v>
      </c>
      <c r="J14" s="12">
        <f>C14</f>
        <v>0</v>
      </c>
      <c r="K14" s="13">
        <v>0</v>
      </c>
      <c r="L14" s="13">
        <f>D14</f>
        <v>32.479999999999997</v>
      </c>
      <c r="M14" s="13">
        <f>K14+L14</f>
        <v>32.479999999999997</v>
      </c>
      <c r="N14" s="72">
        <f>L14</f>
        <v>32.479999999999997</v>
      </c>
    </row>
    <row r="15" spans="2:14" s="3" customFormat="1" x14ac:dyDescent="0.2">
      <c r="B15" s="93">
        <f>B14+1</f>
        <v>2016</v>
      </c>
      <c r="C15" s="12">
        <v>0</v>
      </c>
      <c r="D15" s="13">
        <f>'Table 2'!M26</f>
        <v>34.119999999999997</v>
      </c>
      <c r="E15" s="39">
        <f t="shared" si="0"/>
        <v>34.119999999999997</v>
      </c>
      <c r="F15" s="39">
        <f t="shared" si="1"/>
        <v>34.119999999999997</v>
      </c>
      <c r="G15" s="79">
        <f t="shared" si="1"/>
        <v>34.119999999999997</v>
      </c>
      <c r="H15" s="5"/>
      <c r="I15" s="68">
        <f t="shared" ref="I15:I23" si="2">B15</f>
        <v>2016</v>
      </c>
      <c r="J15" s="12">
        <f t="shared" ref="J15:J23" si="3">C15</f>
        <v>0</v>
      </c>
      <c r="K15" s="13">
        <v>0</v>
      </c>
      <c r="L15" s="13">
        <f t="shared" ref="L15:L22" si="4">D15</f>
        <v>34.119999999999997</v>
      </c>
      <c r="M15" s="13">
        <f t="shared" ref="M15:M19" si="5">K15+L15</f>
        <v>34.119999999999997</v>
      </c>
      <c r="N15" s="72">
        <f t="shared" ref="N15:N19" si="6">L15</f>
        <v>34.119999999999997</v>
      </c>
    </row>
    <row r="16" spans="2:14" s="2" customFormat="1" x14ac:dyDescent="0.2">
      <c r="B16" s="93">
        <f t="shared" ref="B16:B23" si="7">B15+1</f>
        <v>2017</v>
      </c>
      <c r="C16" s="12">
        <v>0</v>
      </c>
      <c r="D16" s="13">
        <f>'Table 2'!M27</f>
        <v>36.4</v>
      </c>
      <c r="E16" s="39">
        <f t="shared" si="0"/>
        <v>36.4</v>
      </c>
      <c r="F16" s="39">
        <f t="shared" si="1"/>
        <v>36.4</v>
      </c>
      <c r="G16" s="79">
        <f t="shared" si="1"/>
        <v>36.4</v>
      </c>
      <c r="H16" s="5"/>
      <c r="I16" s="68">
        <f t="shared" si="2"/>
        <v>2017</v>
      </c>
      <c r="J16" s="12">
        <f t="shared" si="3"/>
        <v>0</v>
      </c>
      <c r="K16" s="13">
        <v>0</v>
      </c>
      <c r="L16" s="13">
        <f t="shared" si="4"/>
        <v>36.4</v>
      </c>
      <c r="M16" s="13">
        <f t="shared" si="5"/>
        <v>36.4</v>
      </c>
      <c r="N16" s="72">
        <f t="shared" si="6"/>
        <v>36.4</v>
      </c>
    </row>
    <row r="17" spans="2:14" s="2" customFormat="1" x14ac:dyDescent="0.2">
      <c r="B17" s="93">
        <f t="shared" si="7"/>
        <v>2018</v>
      </c>
      <c r="C17" s="12">
        <v>0</v>
      </c>
      <c r="D17" s="13">
        <f>'Table 2'!M28</f>
        <v>39.1</v>
      </c>
      <c r="E17" s="13">
        <f t="shared" si="0"/>
        <v>39.1</v>
      </c>
      <c r="F17" s="13">
        <f t="shared" si="1"/>
        <v>39.1</v>
      </c>
      <c r="G17" s="72">
        <f t="shared" si="1"/>
        <v>39.1</v>
      </c>
      <c r="H17" s="5"/>
      <c r="I17" s="68">
        <f t="shared" si="2"/>
        <v>2018</v>
      </c>
      <c r="J17" s="12">
        <f t="shared" si="3"/>
        <v>0</v>
      </c>
      <c r="K17" s="13">
        <v>0</v>
      </c>
      <c r="L17" s="13">
        <f t="shared" si="4"/>
        <v>39.1</v>
      </c>
      <c r="M17" s="13">
        <f t="shared" si="5"/>
        <v>39.1</v>
      </c>
      <c r="N17" s="72">
        <f t="shared" si="6"/>
        <v>39.1</v>
      </c>
    </row>
    <row r="18" spans="2:14" s="2" customFormat="1" x14ac:dyDescent="0.2">
      <c r="B18" s="93">
        <f t="shared" si="7"/>
        <v>2019</v>
      </c>
      <c r="C18" s="12">
        <v>0</v>
      </c>
      <c r="D18" s="13">
        <f>'Table 2'!M29</f>
        <v>41.7</v>
      </c>
      <c r="E18" s="13">
        <f t="shared" si="0"/>
        <v>41.7</v>
      </c>
      <c r="F18" s="13">
        <f t="shared" si="1"/>
        <v>41.7</v>
      </c>
      <c r="G18" s="72">
        <f t="shared" si="1"/>
        <v>41.7</v>
      </c>
      <c r="H18" s="5"/>
      <c r="I18" s="68">
        <f t="shared" si="2"/>
        <v>2019</v>
      </c>
      <c r="J18" s="12">
        <f t="shared" si="3"/>
        <v>0</v>
      </c>
      <c r="K18" s="13">
        <v>0</v>
      </c>
      <c r="L18" s="13">
        <f t="shared" si="4"/>
        <v>41.7</v>
      </c>
      <c r="M18" s="13">
        <f t="shared" si="5"/>
        <v>41.7</v>
      </c>
      <c r="N18" s="72">
        <f t="shared" si="6"/>
        <v>41.7</v>
      </c>
    </row>
    <row r="19" spans="2:14" s="2" customFormat="1" x14ac:dyDescent="0.2">
      <c r="B19" s="93">
        <f t="shared" si="7"/>
        <v>2020</v>
      </c>
      <c r="C19" s="12">
        <v>0</v>
      </c>
      <c r="D19" s="13">
        <f>'Table 2'!M30</f>
        <v>44.14</v>
      </c>
      <c r="E19" s="39">
        <f t="shared" si="0"/>
        <v>44.14</v>
      </c>
      <c r="F19" s="39">
        <f t="shared" si="1"/>
        <v>44.14</v>
      </c>
      <c r="G19" s="79">
        <f t="shared" si="1"/>
        <v>44.14</v>
      </c>
      <c r="H19" s="5"/>
      <c r="I19" s="68">
        <f t="shared" si="2"/>
        <v>2020</v>
      </c>
      <c r="J19" s="12">
        <f t="shared" si="3"/>
        <v>0</v>
      </c>
      <c r="K19" s="13">
        <v>0</v>
      </c>
      <c r="L19" s="13">
        <f t="shared" si="4"/>
        <v>44.14</v>
      </c>
      <c r="M19" s="13">
        <f t="shared" si="5"/>
        <v>44.14</v>
      </c>
      <c r="N19" s="72">
        <f t="shared" si="6"/>
        <v>44.14</v>
      </c>
    </row>
    <row r="20" spans="2:14" s="2" customFormat="1" x14ac:dyDescent="0.2">
      <c r="B20" s="93">
        <f t="shared" si="7"/>
        <v>2021</v>
      </c>
      <c r="C20" s="12">
        <v>0</v>
      </c>
      <c r="D20" s="13">
        <f>'Table 2'!M31</f>
        <v>46.64</v>
      </c>
      <c r="E20" s="39">
        <f t="shared" si="0"/>
        <v>46.64</v>
      </c>
      <c r="F20" s="39">
        <f t="shared" si="1"/>
        <v>46.64</v>
      </c>
      <c r="G20" s="79">
        <f t="shared" si="1"/>
        <v>46.64</v>
      </c>
      <c r="H20" s="5"/>
      <c r="I20" s="68">
        <f t="shared" si="2"/>
        <v>2021</v>
      </c>
      <c r="J20" s="12">
        <f t="shared" si="3"/>
        <v>0</v>
      </c>
      <c r="K20" s="13">
        <v>0</v>
      </c>
      <c r="L20" s="13">
        <f t="shared" si="4"/>
        <v>46.64</v>
      </c>
      <c r="M20" s="13">
        <f t="shared" ref="M20:M23" si="8">K20+L20</f>
        <v>46.64</v>
      </c>
      <c r="N20" s="72">
        <f t="shared" ref="N20:N23" si="9">L20</f>
        <v>46.64</v>
      </c>
    </row>
    <row r="21" spans="2:14" s="2" customFormat="1" x14ac:dyDescent="0.2">
      <c r="B21" s="93">
        <f t="shared" si="7"/>
        <v>2022</v>
      </c>
      <c r="C21" s="12">
        <v>0</v>
      </c>
      <c r="D21" s="13">
        <f>'Table 2'!M32</f>
        <v>48.97</v>
      </c>
      <c r="E21" s="39">
        <f t="shared" si="0"/>
        <v>48.97</v>
      </c>
      <c r="F21" s="39">
        <f t="shared" si="1"/>
        <v>48.97</v>
      </c>
      <c r="G21" s="79">
        <f t="shared" si="1"/>
        <v>48.97</v>
      </c>
      <c r="H21" s="5"/>
      <c r="I21" s="68">
        <f t="shared" si="2"/>
        <v>2022</v>
      </c>
      <c r="J21" s="12">
        <f t="shared" si="3"/>
        <v>0</v>
      </c>
      <c r="K21" s="13">
        <v>0</v>
      </c>
      <c r="L21" s="13">
        <f t="shared" si="4"/>
        <v>48.97</v>
      </c>
      <c r="M21" s="13">
        <f t="shared" si="8"/>
        <v>48.97</v>
      </c>
      <c r="N21" s="72">
        <f t="shared" si="9"/>
        <v>48.97</v>
      </c>
    </row>
    <row r="22" spans="2:14" s="2" customFormat="1" x14ac:dyDescent="0.2">
      <c r="B22" s="93">
        <f t="shared" si="7"/>
        <v>2023</v>
      </c>
      <c r="C22" s="12">
        <v>0</v>
      </c>
      <c r="D22" s="13">
        <f>'Table 2'!M33</f>
        <v>51.3</v>
      </c>
      <c r="E22" s="39">
        <f t="shared" si="0"/>
        <v>51.3</v>
      </c>
      <c r="F22" s="39">
        <f t="shared" si="1"/>
        <v>51.3</v>
      </c>
      <c r="G22" s="79">
        <f t="shared" si="1"/>
        <v>51.3</v>
      </c>
      <c r="H22" s="5"/>
      <c r="I22" s="68">
        <f t="shared" si="2"/>
        <v>2023</v>
      </c>
      <c r="J22" s="12">
        <f t="shared" si="3"/>
        <v>0</v>
      </c>
      <c r="K22" s="13">
        <v>0</v>
      </c>
      <c r="L22" s="13">
        <f t="shared" si="4"/>
        <v>51.3</v>
      </c>
      <c r="M22" s="13">
        <f t="shared" si="8"/>
        <v>51.3</v>
      </c>
      <c r="N22" s="72">
        <f t="shared" si="9"/>
        <v>51.3</v>
      </c>
    </row>
    <row r="23" spans="2:14" s="2" customFormat="1" x14ac:dyDescent="0.2">
      <c r="B23" s="93">
        <f t="shared" si="7"/>
        <v>2024</v>
      </c>
      <c r="C23" s="12">
        <v>0</v>
      </c>
      <c r="D23" s="13">
        <f>'Table 2'!M34</f>
        <v>53.39</v>
      </c>
      <c r="E23" s="39">
        <f t="shared" si="0"/>
        <v>53.39</v>
      </c>
      <c r="F23" s="39">
        <f t="shared" si="1"/>
        <v>53.39</v>
      </c>
      <c r="G23" s="79">
        <f t="shared" si="1"/>
        <v>53.39</v>
      </c>
      <c r="H23" s="5"/>
      <c r="I23" s="68">
        <f t="shared" si="2"/>
        <v>2024</v>
      </c>
      <c r="J23" s="12">
        <f t="shared" si="3"/>
        <v>0</v>
      </c>
      <c r="K23" s="13">
        <v>0</v>
      </c>
      <c r="L23" s="13">
        <f>D23</f>
        <v>53.39</v>
      </c>
      <c r="M23" s="13">
        <f t="shared" si="8"/>
        <v>53.39</v>
      </c>
      <c r="N23" s="72">
        <f t="shared" si="9"/>
        <v>53.39</v>
      </c>
    </row>
    <row r="24" spans="2:14" s="2" customFormat="1" x14ac:dyDescent="0.2">
      <c r="B24" s="93"/>
      <c r="C24" s="5"/>
      <c r="D24" s="39"/>
      <c r="E24" s="39"/>
      <c r="F24" s="39"/>
      <c r="G24" s="79"/>
      <c r="H24" s="5"/>
      <c r="I24" s="93"/>
      <c r="J24" s="5"/>
      <c r="K24" s="39"/>
      <c r="L24" s="39"/>
      <c r="M24" s="39"/>
      <c r="N24" s="79"/>
    </row>
    <row r="25" spans="2:14" s="2" customFormat="1" x14ac:dyDescent="0.2">
      <c r="B25" s="94"/>
      <c r="C25" s="73"/>
      <c r="D25" s="74"/>
      <c r="E25" s="74"/>
      <c r="F25" s="74"/>
      <c r="G25" s="75"/>
      <c r="H25" s="5"/>
      <c r="I25" s="94"/>
      <c r="J25" s="95"/>
      <c r="K25" s="96"/>
      <c r="L25" s="96"/>
      <c r="M25" s="96"/>
      <c r="N25" s="97"/>
    </row>
    <row r="26" spans="2:14" s="2" customFormat="1" x14ac:dyDescent="0.2">
      <c r="B26" s="58"/>
      <c r="C26" s="5"/>
      <c r="D26" s="39"/>
      <c r="E26" s="39"/>
      <c r="F26" s="39"/>
      <c r="G26" s="39"/>
      <c r="H26" s="5"/>
      <c r="I26" s="58"/>
      <c r="J26" s="5"/>
      <c r="K26" s="39"/>
      <c r="L26" s="39"/>
      <c r="M26" s="39"/>
      <c r="N26" s="39"/>
    </row>
    <row r="27" spans="2:14" x14ac:dyDescent="0.2">
      <c r="B27" s="78"/>
      <c r="C27" s="12"/>
      <c r="D27" s="13"/>
      <c r="E27" s="13"/>
      <c r="F27" s="13"/>
      <c r="G27" s="13"/>
      <c r="H27" s="12"/>
      <c r="I27" s="78"/>
      <c r="J27" s="12"/>
      <c r="L27" s="13"/>
      <c r="M27" s="13"/>
      <c r="N27" s="13"/>
    </row>
    <row r="28" spans="2:14" x14ac:dyDescent="0.2">
      <c r="L28" s="13"/>
    </row>
    <row r="29" spans="2:14" x14ac:dyDescent="0.2">
      <c r="B29" s="7" t="s">
        <v>12</v>
      </c>
      <c r="I29" s="7" t="s">
        <v>12</v>
      </c>
      <c r="L29" s="13"/>
    </row>
    <row r="30" spans="2:14" x14ac:dyDescent="0.2">
      <c r="B30" s="64" t="s">
        <v>13</v>
      </c>
      <c r="C30" s="7" t="s">
        <v>163</v>
      </c>
      <c r="E30" s="10"/>
      <c r="I30" s="65" t="str">
        <f>J9</f>
        <v>(a)</v>
      </c>
      <c r="J30" s="10" t="s">
        <v>90</v>
      </c>
      <c r="L30" s="13"/>
    </row>
    <row r="31" spans="2:14" x14ac:dyDescent="0.2">
      <c r="B31" s="64"/>
      <c r="C31" s="7" t="s">
        <v>164</v>
      </c>
      <c r="I31" s="64" t="str">
        <f>L9</f>
        <v>(c)</v>
      </c>
      <c r="J31" s="7" t="s">
        <v>91</v>
      </c>
    </row>
    <row r="32" spans="2:14" x14ac:dyDescent="0.2">
      <c r="B32" s="64" t="s">
        <v>14</v>
      </c>
      <c r="C32" s="7" t="s">
        <v>89</v>
      </c>
      <c r="I32" s="64" t="s">
        <v>76</v>
      </c>
    </row>
    <row r="33" spans="2:11" x14ac:dyDescent="0.2">
      <c r="B33" s="114"/>
      <c r="C33" s="115"/>
      <c r="I33" s="225" t="s">
        <v>73</v>
      </c>
      <c r="J33" s="7" t="s">
        <v>74</v>
      </c>
    </row>
    <row r="34" spans="2:11" x14ac:dyDescent="0.2">
      <c r="B34" s="114"/>
      <c r="C34" s="115"/>
      <c r="I34" s="64"/>
      <c r="J34" s="108" t="s">
        <v>75</v>
      </c>
    </row>
    <row r="35" spans="2:11" x14ac:dyDescent="0.2">
      <c r="B35" s="114"/>
      <c r="C35" s="115"/>
      <c r="I35" s="64" t="s">
        <v>77</v>
      </c>
      <c r="J35" s="7" t="s">
        <v>167</v>
      </c>
    </row>
    <row r="36" spans="2:11" x14ac:dyDescent="0.2">
      <c r="B36" s="114"/>
      <c r="C36" s="115"/>
      <c r="I36" s="64"/>
      <c r="J36" s="7" t="s">
        <v>168</v>
      </c>
    </row>
    <row r="37" spans="2:11" x14ac:dyDescent="0.2">
      <c r="B37" s="114"/>
      <c r="C37" s="115"/>
      <c r="I37" s="225"/>
    </row>
    <row r="38" spans="2:11" x14ac:dyDescent="0.2">
      <c r="B38" s="114"/>
      <c r="C38" s="115"/>
    </row>
    <row r="39" spans="2:11" x14ac:dyDescent="0.2">
      <c r="B39" s="114"/>
      <c r="C39" s="115"/>
    </row>
    <row r="40" spans="2:11" x14ac:dyDescent="0.2">
      <c r="B40" s="64"/>
      <c r="C40" s="66"/>
    </row>
    <row r="41" spans="2:11" x14ac:dyDescent="0.2">
      <c r="B41" s="64"/>
      <c r="C41" s="66"/>
      <c r="K41" s="125"/>
    </row>
    <row r="42" spans="2:11" x14ac:dyDescent="0.2">
      <c r="J42" s="108"/>
    </row>
  </sheetData>
  <mergeCells count="1">
    <mergeCell ref="K4:N4"/>
  </mergeCells>
  <phoneticPr fontId="7" type="noConversion"/>
  <printOptions horizontalCentered="1"/>
  <pageMargins left="0.25" right="0.25" top="0.75" bottom="0.75" header="0.3" footer="0.3"/>
  <pageSetup orientation="landscape" r:id="rId1"/>
  <colBreaks count="1" manualBreakCount="1">
    <brk id="7" max="55" man="1"/>
  </colBreaks>
  <ignoredErrors>
    <ignoredError sqref="I33 I3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M34"/>
  <sheetViews>
    <sheetView tabSelected="1" zoomScale="115" zoomScaleNormal="115" workbookViewId="0">
      <selection activeCell="C75" sqref="C75"/>
    </sheetView>
  </sheetViews>
  <sheetFormatPr defaultColWidth="9.33203125" defaultRowHeight="12.75" x14ac:dyDescent="0.2"/>
  <cols>
    <col min="1" max="1" width="1.6640625" style="2" customWidth="1"/>
    <col min="2" max="2" width="8.6640625" style="2" customWidth="1"/>
    <col min="3" max="5" width="21.83203125" style="2" customWidth="1"/>
    <col min="6" max="6" width="14.83203125" style="6" hidden="1" customWidth="1"/>
    <col min="7" max="7" width="18.1640625" style="2" hidden="1" customWidth="1"/>
    <col min="8" max="8" width="0" style="2" hidden="1" customWidth="1"/>
    <col min="9" max="16384" width="9.33203125" style="2"/>
  </cols>
  <sheetData>
    <row r="1" spans="2:10" s="17" customFormat="1" ht="15.75" x14ac:dyDescent="0.25">
      <c r="B1" s="1" t="s">
        <v>25</v>
      </c>
      <c r="C1" s="19"/>
      <c r="D1" s="19"/>
      <c r="E1" s="19"/>
      <c r="F1" s="227"/>
    </row>
    <row r="2" spans="2:10" s="20" customFormat="1" ht="15" x14ac:dyDescent="0.25">
      <c r="B2" s="230" t="s">
        <v>67</v>
      </c>
      <c r="C2" s="8"/>
      <c r="D2" s="8"/>
      <c r="E2" s="8"/>
      <c r="F2" s="228"/>
    </row>
    <row r="3" spans="2:10" s="20" customFormat="1" ht="15" x14ac:dyDescent="0.25">
      <c r="B3" s="8"/>
      <c r="C3" s="8"/>
      <c r="D3" s="8"/>
      <c r="E3" s="8"/>
      <c r="F3" s="228"/>
    </row>
    <row r="4" spans="2:10" ht="25.5" x14ac:dyDescent="0.2">
      <c r="B4" s="34"/>
      <c r="C4" s="113" t="s">
        <v>84</v>
      </c>
      <c r="D4" s="140"/>
      <c r="E4" s="140"/>
      <c r="F4" s="229"/>
    </row>
    <row r="5" spans="2:10" x14ac:dyDescent="0.2">
      <c r="B5" s="42" t="s">
        <v>3</v>
      </c>
      <c r="C5" s="43" t="s">
        <v>85</v>
      </c>
      <c r="D5" s="16" t="s">
        <v>41</v>
      </c>
      <c r="E5" s="15" t="s">
        <v>22</v>
      </c>
    </row>
    <row r="6" spans="2:10" x14ac:dyDescent="0.2">
      <c r="B6" s="44"/>
      <c r="C6" s="45" t="s">
        <v>42</v>
      </c>
      <c r="D6" s="46" t="s">
        <v>42</v>
      </c>
      <c r="E6" s="15"/>
    </row>
    <row r="7" spans="2:10" x14ac:dyDescent="0.2">
      <c r="B7" s="47"/>
      <c r="C7" s="48" t="s">
        <v>50</v>
      </c>
      <c r="D7" s="50" t="s">
        <v>50</v>
      </c>
      <c r="E7" s="37" t="s">
        <v>50</v>
      </c>
    </row>
    <row r="8" spans="2:10" x14ac:dyDescent="0.2">
      <c r="C8" s="51" t="s">
        <v>13</v>
      </c>
      <c r="D8" s="38" t="s">
        <v>14</v>
      </c>
      <c r="E8" s="38" t="s">
        <v>15</v>
      </c>
    </row>
    <row r="9" spans="2:10" x14ac:dyDescent="0.2">
      <c r="C9" s="38"/>
      <c r="D9" s="38"/>
      <c r="E9" s="14" t="str">
        <f>C8&amp;" - "&amp;D8</f>
        <v>(a) - (b)</v>
      </c>
    </row>
    <row r="10" spans="2:10" x14ac:dyDescent="0.2">
      <c r="C10" s="38"/>
      <c r="D10" s="38"/>
      <c r="E10" s="14"/>
    </row>
    <row r="11" spans="2:10" x14ac:dyDescent="0.2">
      <c r="B11" s="57"/>
      <c r="C11" s="39"/>
      <c r="D11" s="39"/>
      <c r="E11" s="5"/>
      <c r="H11" s="142"/>
      <c r="I11" s="142"/>
    </row>
    <row r="12" spans="2:10" s="3" customFormat="1" x14ac:dyDescent="0.2">
      <c r="B12" s="57">
        <f>'Tables 3 to 4'!B14</f>
        <v>2015</v>
      </c>
      <c r="C12" s="39">
        <f>INDEX('Tables 3 to 4'!$F:$F,MATCH('Tables 5'!$B12,'Tables 3 to 4'!$B:$B,0))</f>
        <v>32.479999999999997</v>
      </c>
      <c r="D12" s="39">
        <v>35.926177813591195</v>
      </c>
      <c r="E12" s="236">
        <f t="shared" ref="E12:E20" si="0">C12-D12</f>
        <v>-3.4461778135911985</v>
      </c>
      <c r="F12" s="31"/>
      <c r="J12" s="143"/>
    </row>
    <row r="13" spans="2:10" x14ac:dyDescent="0.2">
      <c r="B13" s="57">
        <f t="shared" ref="B13:B21" si="1">B12+1</f>
        <v>2016</v>
      </c>
      <c r="C13" s="39">
        <f>INDEX('Tables 3 to 4'!$F:$F,MATCH('Tables 5'!$B13,'Tables 3 to 4'!$B:$B,0))</f>
        <v>34.119999999999997</v>
      </c>
      <c r="D13" s="39">
        <v>37.744335213537468</v>
      </c>
      <c r="E13" s="236">
        <f t="shared" si="0"/>
        <v>-3.6243352135374707</v>
      </c>
      <c r="J13" s="142"/>
    </row>
    <row r="14" spans="2:10" x14ac:dyDescent="0.2">
      <c r="B14" s="57">
        <f t="shared" si="1"/>
        <v>2017</v>
      </c>
      <c r="C14" s="39">
        <f>INDEX('Tables 3 to 4'!$F:$F,MATCH('Tables 5'!$B14,'Tables 3 to 4'!$B:$B,0))</f>
        <v>36.4</v>
      </c>
      <c r="D14" s="39">
        <v>39.743499865699704</v>
      </c>
      <c r="E14" s="236">
        <f t="shared" si="0"/>
        <v>-3.3434998656997053</v>
      </c>
      <c r="J14" s="142"/>
    </row>
    <row r="15" spans="2:10" x14ac:dyDescent="0.2">
      <c r="B15" s="57">
        <f t="shared" si="1"/>
        <v>2018</v>
      </c>
      <c r="C15" s="39">
        <f>INDEX('Tables 3 to 4'!$F:$F,MATCH('Tables 5'!$B15,'Tables 3 to 4'!$B:$B,0))</f>
        <v>39.1</v>
      </c>
      <c r="D15" s="39">
        <v>41.653671770077892</v>
      </c>
      <c r="E15" s="236">
        <f t="shared" si="0"/>
        <v>-2.5536717700778908</v>
      </c>
      <c r="J15" s="142"/>
    </row>
    <row r="16" spans="2:10" x14ac:dyDescent="0.2">
      <c r="B16" s="57">
        <f t="shared" si="1"/>
        <v>2019</v>
      </c>
      <c r="C16" s="39">
        <f>INDEX('Tables 3 to 4'!$F:$F,MATCH('Tables 5'!$B16,'Tables 3 to 4'!$B:$B,0))</f>
        <v>41.7</v>
      </c>
      <c r="D16" s="39">
        <v>44.505858178887991</v>
      </c>
      <c r="E16" s="236">
        <f t="shared" si="0"/>
        <v>-2.8058581788879877</v>
      </c>
      <c r="J16" s="142"/>
    </row>
    <row r="17" spans="2:13" x14ac:dyDescent="0.2">
      <c r="B17" s="57">
        <f t="shared" si="1"/>
        <v>2020</v>
      </c>
      <c r="C17" s="39">
        <f>INDEX('Tables 3 to 4'!$F:$F,MATCH('Tables 5'!$B17,'Tables 3 to 4'!$B:$B,0))</f>
        <v>44.14</v>
      </c>
      <c r="D17" s="39">
        <v>47.643080848777871</v>
      </c>
      <c r="E17" s="236">
        <f t="shared" si="0"/>
        <v>-3.50308084877787</v>
      </c>
      <c r="J17" s="142"/>
    </row>
    <row r="18" spans="2:13" x14ac:dyDescent="0.2">
      <c r="B18" s="57">
        <f t="shared" si="1"/>
        <v>2021</v>
      </c>
      <c r="C18" s="39">
        <f>INDEX('Tables 3 to 4'!$F:$F,MATCH('Tables 5'!$B18,'Tables 3 to 4'!$B:$B,0))</f>
        <v>46.64</v>
      </c>
      <c r="D18" s="39">
        <v>50.481310770883695</v>
      </c>
      <c r="E18" s="236">
        <f t="shared" si="0"/>
        <v>-3.8413107708836947</v>
      </c>
      <c r="J18" s="142"/>
    </row>
    <row r="19" spans="2:13" x14ac:dyDescent="0.2">
      <c r="B19" s="57">
        <f t="shared" si="1"/>
        <v>2022</v>
      </c>
      <c r="C19" s="39">
        <f>INDEX('Tables 3 to 4'!$F:$F,MATCH('Tables 5'!$B19,'Tables 3 to 4'!$B:$B,0))</f>
        <v>48.97</v>
      </c>
      <c r="D19" s="39">
        <v>57.62591995702391</v>
      </c>
      <c r="E19" s="236">
        <f t="shared" si="0"/>
        <v>-8.6559199570239116</v>
      </c>
      <c r="J19" s="142"/>
    </row>
    <row r="20" spans="2:13" x14ac:dyDescent="0.2">
      <c r="B20" s="57">
        <f t="shared" si="1"/>
        <v>2023</v>
      </c>
      <c r="C20" s="39">
        <f>INDEX('Tables 3 to 4'!$F:$F,MATCH('Tables 5'!$B20,'Tables 3 to 4'!$B:$B,0))</f>
        <v>51.3</v>
      </c>
      <c r="D20" s="39">
        <v>62.062207896857373</v>
      </c>
      <c r="E20" s="236">
        <f t="shared" si="0"/>
        <v>-10.762207896857376</v>
      </c>
      <c r="J20" s="142"/>
    </row>
    <row r="21" spans="2:13" x14ac:dyDescent="0.2">
      <c r="B21" s="57">
        <f t="shared" si="1"/>
        <v>2024</v>
      </c>
      <c r="C21" s="39">
        <f>INDEX('Tables 3 to 4'!$F:$F,MATCH('Tables 5'!$B21,'Tables 3 to 4'!$B:$B,0))</f>
        <v>53.39</v>
      </c>
      <c r="D21" s="39"/>
      <c r="E21" s="5"/>
      <c r="J21" s="142"/>
    </row>
    <row r="22" spans="2:13" s="83" customFormat="1" x14ac:dyDescent="0.2">
      <c r="B22" s="57"/>
      <c r="C22" s="39"/>
      <c r="D22" s="39"/>
      <c r="E22" s="39"/>
      <c r="F22" s="84"/>
    </row>
    <row r="23" spans="2:13" s="83" customFormat="1" hidden="1" x14ac:dyDescent="0.2">
      <c r="B23" s="57"/>
      <c r="C23" s="39"/>
      <c r="D23" s="39"/>
      <c r="E23" s="39"/>
      <c r="F23" s="84"/>
    </row>
    <row r="24" spans="2:13" s="83" customFormat="1" ht="0.75" customHeight="1" x14ac:dyDescent="0.2">
      <c r="B24" s="57"/>
      <c r="C24" s="39"/>
      <c r="D24" s="39"/>
      <c r="E24" s="39"/>
      <c r="F24" s="84"/>
    </row>
    <row r="25" spans="2:13" x14ac:dyDescent="0.2">
      <c r="C25" s="6"/>
    </row>
    <row r="26" spans="2:13" s="83" customFormat="1" x14ac:dyDescent="0.2">
      <c r="B26" s="85" t="str">
        <f>"9 Year ("&amp;B12&amp;" to "&amp;B20&amp;") Levelized Prices (Nominal) @ "&amp;TEXT($H$27,"?.000%")&amp;" Discount Rate (1)"</f>
        <v>9 Year (2015 to 2023) Levelized Prices (Nominal) @ 6.882% Discount Rate (1)</v>
      </c>
      <c r="C26" s="84"/>
      <c r="F26" s="86"/>
      <c r="H26" s="108" t="s">
        <v>58</v>
      </c>
    </row>
    <row r="27" spans="2:13" s="83" customFormat="1" x14ac:dyDescent="0.2">
      <c r="B27" s="87" t="s">
        <v>26</v>
      </c>
      <c r="C27" s="39">
        <f>-PMT($H$27,COUNT(C12:C20),NPV($H$27,C12:C20))</f>
        <v>40.582854168632025</v>
      </c>
      <c r="D27" s="39">
        <f>-PMT($H$27,COUNT(D12:D20),NPV($H$27,D12:D20))</f>
        <v>44.990108937544058</v>
      </c>
      <c r="E27" s="236">
        <f>-PMT($H$27,COUNT(E12:E20),NPV($H$27,E12:E20))</f>
        <v>-4.4072547689120318</v>
      </c>
      <c r="F27" s="88"/>
      <c r="H27" s="111">
        <v>6.8820000000000006E-2</v>
      </c>
    </row>
    <row r="28" spans="2:13" s="83" customFormat="1" x14ac:dyDescent="0.2">
      <c r="C28" s="89"/>
      <c r="D28" s="89"/>
      <c r="E28" s="89"/>
      <c r="F28" s="89"/>
      <c r="G28" s="89"/>
    </row>
    <row r="29" spans="2:13" s="83" customFormat="1" x14ac:dyDescent="0.2">
      <c r="B29" s="83" t="s">
        <v>12</v>
      </c>
      <c r="F29" s="84"/>
    </row>
    <row r="30" spans="2:13" s="83" customFormat="1" x14ac:dyDescent="0.2">
      <c r="B30" s="87" t="str">
        <f>C8</f>
        <v>(a)</v>
      </c>
      <c r="C30" s="83" t="str">
        <f>"  "&amp;'Tables 3 to 4'!$B$1&amp;"  Column "&amp;'Tables 3 to 4'!$F$9</f>
        <v xml:space="preserve">  Table 3  Column (d)</v>
      </c>
      <c r="F30" s="84"/>
    </row>
    <row r="31" spans="2:13" s="83" customFormat="1" x14ac:dyDescent="0.2">
      <c r="B31" s="87" t="str">
        <f>D8</f>
        <v>(b)</v>
      </c>
      <c r="C31" s="7" t="s">
        <v>83</v>
      </c>
      <c r="F31" s="84"/>
    </row>
    <row r="32" spans="2:13" s="83" customFormat="1" x14ac:dyDescent="0.2">
      <c r="B32" s="90"/>
      <c r="C32" s="91"/>
      <c r="D32" s="89"/>
      <c r="E32" s="89"/>
      <c r="F32" s="89"/>
      <c r="G32" s="89"/>
      <c r="H32" s="89"/>
      <c r="I32" s="89"/>
      <c r="J32" s="92"/>
      <c r="K32" s="92"/>
      <c r="L32" s="92"/>
      <c r="M32" s="92"/>
    </row>
    <row r="33" spans="2:6" s="83" customFormat="1" x14ac:dyDescent="0.2">
      <c r="B33" s="87" t="s">
        <v>49</v>
      </c>
      <c r="C33" s="108" t="s">
        <v>158</v>
      </c>
      <c r="F33" s="84"/>
    </row>
    <row r="34" spans="2:6" x14ac:dyDescent="0.2">
      <c r="B34" s="83"/>
      <c r="C34" s="108"/>
    </row>
  </sheetData>
  <phoneticPr fontId="7" type="noConversion"/>
  <printOptions horizontalCentered="1"/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45"/>
  <sheetViews>
    <sheetView tabSelected="1" topLeftCell="A10" zoomScaleNormal="100" workbookViewId="0">
      <selection activeCell="C75" sqref="C75"/>
    </sheetView>
  </sheetViews>
  <sheetFormatPr defaultRowHeight="12.75" x14ac:dyDescent="0.2"/>
  <cols>
    <col min="1" max="1" width="2" customWidth="1"/>
    <col min="2" max="2" width="14.1640625" customWidth="1"/>
    <col min="3" max="6" width="19.6640625" customWidth="1"/>
    <col min="7" max="7" width="1.33203125" customWidth="1"/>
    <col min="8" max="8" width="13.83203125" bestFit="1" customWidth="1"/>
  </cols>
  <sheetData>
    <row r="1" spans="1:8" ht="15.75" x14ac:dyDescent="0.25">
      <c r="A1" s="110"/>
      <c r="B1" s="235" t="s">
        <v>170</v>
      </c>
      <c r="C1" s="235"/>
      <c r="D1" s="235"/>
      <c r="E1" s="235"/>
      <c r="F1" s="235"/>
      <c r="G1" s="235"/>
      <c r="H1" s="235"/>
    </row>
    <row r="2" spans="1:8" ht="15.75" x14ac:dyDescent="0.25">
      <c r="A2" s="110"/>
      <c r="B2" s="235" t="s">
        <v>59</v>
      </c>
      <c r="C2" s="235"/>
      <c r="D2" s="235"/>
      <c r="E2" s="235"/>
      <c r="F2" s="235"/>
      <c r="G2" s="235"/>
      <c r="H2" s="235"/>
    </row>
    <row r="3" spans="1:8" ht="15.75" x14ac:dyDescent="0.25">
      <c r="A3" s="110"/>
      <c r="B3" s="235" t="s">
        <v>55</v>
      </c>
      <c r="C3" s="235"/>
      <c r="D3" s="235"/>
      <c r="E3" s="235"/>
      <c r="F3" s="235"/>
      <c r="G3" s="235"/>
      <c r="H3" s="235"/>
    </row>
    <row r="4" spans="1:8" ht="15.75" x14ac:dyDescent="0.25">
      <c r="A4" s="110"/>
      <c r="B4" s="80"/>
      <c r="C4" s="112"/>
    </row>
    <row r="5" spans="1:8" ht="25.5" x14ac:dyDescent="0.2">
      <c r="A5" s="110"/>
      <c r="B5" s="81" t="s">
        <v>3</v>
      </c>
      <c r="C5" s="128" t="s">
        <v>60</v>
      </c>
      <c r="D5" s="128" t="s">
        <v>61</v>
      </c>
      <c r="E5" s="128" t="s">
        <v>62</v>
      </c>
      <c r="F5" s="128" t="s">
        <v>65</v>
      </c>
      <c r="G5" s="144"/>
      <c r="H5" s="128" t="s">
        <v>69</v>
      </c>
    </row>
    <row r="6" spans="1:8" x14ac:dyDescent="0.2">
      <c r="A6" s="110"/>
      <c r="B6" s="129"/>
      <c r="C6" s="130" t="s">
        <v>55</v>
      </c>
      <c r="D6" s="130" t="s">
        <v>55</v>
      </c>
      <c r="E6" s="130" t="s">
        <v>55</v>
      </c>
      <c r="F6" s="130" t="s">
        <v>55</v>
      </c>
      <c r="H6" s="146"/>
    </row>
    <row r="7" spans="1:8" x14ac:dyDescent="0.2">
      <c r="A7" s="110"/>
      <c r="B7" s="110"/>
      <c r="C7" s="131" t="s">
        <v>13</v>
      </c>
      <c r="D7" s="131" t="s">
        <v>14</v>
      </c>
      <c r="E7" s="131" t="s">
        <v>63</v>
      </c>
      <c r="F7" s="131" t="s">
        <v>66</v>
      </c>
      <c r="H7" s="131" t="s">
        <v>70</v>
      </c>
    </row>
    <row r="8" spans="1:8" x14ac:dyDescent="0.2">
      <c r="A8" s="110"/>
      <c r="B8" s="110"/>
      <c r="C8" s="131"/>
    </row>
    <row r="9" spans="1:8" x14ac:dyDescent="0.2">
      <c r="A9" s="110"/>
      <c r="B9" s="132">
        <v>2015</v>
      </c>
      <c r="C9" s="157">
        <v>0.71</v>
      </c>
      <c r="D9" s="157">
        <v>2.35</v>
      </c>
      <c r="E9" s="157">
        <f t="shared" ref="E9:E32" si="0">ROUND(C9+D9,2)</f>
        <v>3.06</v>
      </c>
      <c r="F9" s="157">
        <f t="shared" ref="F9:F32" si="1">ROUND(E9*0.25,2)</f>
        <v>0.77</v>
      </c>
      <c r="H9" s="145">
        <v>1.7999999999999999E-2</v>
      </c>
    </row>
    <row r="10" spans="1:8" x14ac:dyDescent="0.2">
      <c r="A10" s="110"/>
      <c r="B10" s="132">
        <f t="shared" ref="B10:B32" si="2">B9+1</f>
        <v>2016</v>
      </c>
      <c r="C10" s="133">
        <f>C9*(1+H10)</f>
        <v>0.7206499999999999</v>
      </c>
      <c r="D10" s="133">
        <f>D9*(1+H10)</f>
        <v>2.3852499999999996</v>
      </c>
      <c r="E10" s="133">
        <f t="shared" si="0"/>
        <v>3.11</v>
      </c>
      <c r="F10" s="133">
        <f t="shared" si="1"/>
        <v>0.78</v>
      </c>
      <c r="H10" s="145">
        <v>1.4999999999999999E-2</v>
      </c>
    </row>
    <row r="11" spans="1:8" x14ac:dyDescent="0.2">
      <c r="A11" s="110"/>
      <c r="B11" s="132">
        <f t="shared" si="2"/>
        <v>2017</v>
      </c>
      <c r="C11" s="133">
        <f t="shared" ref="C11:C32" si="3">C10*(1+H11)</f>
        <v>0.73362169999999993</v>
      </c>
      <c r="D11" s="133">
        <f t="shared" ref="D11:D32" si="4">D10*(1+H11)</f>
        <v>2.4281844999999995</v>
      </c>
      <c r="E11" s="133">
        <f t="shared" si="0"/>
        <v>3.16</v>
      </c>
      <c r="F11" s="133">
        <f t="shared" si="1"/>
        <v>0.79</v>
      </c>
      <c r="H11" s="145">
        <v>1.7999999999999999E-2</v>
      </c>
    </row>
    <row r="12" spans="1:8" x14ac:dyDescent="0.2">
      <c r="A12" s="110"/>
      <c r="B12" s="132">
        <f t="shared" si="2"/>
        <v>2018</v>
      </c>
      <c r="C12" s="133">
        <f t="shared" si="3"/>
        <v>0.74756051229999987</v>
      </c>
      <c r="D12" s="133">
        <f t="shared" si="4"/>
        <v>2.4743200054999992</v>
      </c>
      <c r="E12" s="133">
        <f t="shared" si="0"/>
        <v>3.22</v>
      </c>
      <c r="F12" s="133">
        <f t="shared" si="1"/>
        <v>0.81</v>
      </c>
      <c r="H12" s="145">
        <v>1.9E-2</v>
      </c>
    </row>
    <row r="13" spans="1:8" x14ac:dyDescent="0.2">
      <c r="A13" s="110"/>
      <c r="B13" s="132">
        <f t="shared" si="2"/>
        <v>2019</v>
      </c>
      <c r="C13" s="133">
        <f t="shared" si="3"/>
        <v>0.76101660152139983</v>
      </c>
      <c r="D13" s="133">
        <f t="shared" si="4"/>
        <v>2.5188577655989994</v>
      </c>
      <c r="E13" s="133">
        <f t="shared" si="0"/>
        <v>3.28</v>
      </c>
      <c r="F13" s="133">
        <f t="shared" si="1"/>
        <v>0.82</v>
      </c>
      <c r="H13" s="145">
        <v>1.7999999999999999E-2</v>
      </c>
    </row>
    <row r="14" spans="1:8" x14ac:dyDescent="0.2">
      <c r="A14" s="110"/>
      <c r="B14" s="132">
        <f t="shared" si="2"/>
        <v>2020</v>
      </c>
      <c r="C14" s="133">
        <f t="shared" si="3"/>
        <v>0.77547591695030638</v>
      </c>
      <c r="D14" s="133">
        <f t="shared" si="4"/>
        <v>2.56671606314538</v>
      </c>
      <c r="E14" s="133">
        <f t="shared" si="0"/>
        <v>3.34</v>
      </c>
      <c r="F14" s="133">
        <f t="shared" si="1"/>
        <v>0.84</v>
      </c>
      <c r="H14" s="145">
        <v>1.9E-2</v>
      </c>
    </row>
    <row r="15" spans="1:8" x14ac:dyDescent="0.2">
      <c r="A15" s="110"/>
      <c r="B15" s="132">
        <f t="shared" si="2"/>
        <v>2021</v>
      </c>
      <c r="C15" s="133">
        <f t="shared" si="3"/>
        <v>0.79098543528931253</v>
      </c>
      <c r="D15" s="133">
        <f t="shared" si="4"/>
        <v>2.6180503844082876</v>
      </c>
      <c r="E15" s="133">
        <f t="shared" si="0"/>
        <v>3.41</v>
      </c>
      <c r="F15" s="133">
        <f t="shared" si="1"/>
        <v>0.85</v>
      </c>
      <c r="H15" s="145">
        <v>0.02</v>
      </c>
    </row>
    <row r="16" spans="1:8" x14ac:dyDescent="0.2">
      <c r="A16" s="110"/>
      <c r="B16" s="132">
        <f t="shared" si="2"/>
        <v>2022</v>
      </c>
      <c r="C16" s="133">
        <f t="shared" si="3"/>
        <v>0.80680514399509884</v>
      </c>
      <c r="D16" s="133">
        <f t="shared" si="4"/>
        <v>2.6704113920964536</v>
      </c>
      <c r="E16" s="133">
        <f t="shared" si="0"/>
        <v>3.48</v>
      </c>
      <c r="F16" s="133">
        <f t="shared" si="1"/>
        <v>0.87</v>
      </c>
      <c r="H16" s="145">
        <v>0.02</v>
      </c>
    </row>
    <row r="17" spans="1:8" x14ac:dyDescent="0.2">
      <c r="A17" s="110"/>
      <c r="B17" s="132">
        <f t="shared" si="2"/>
        <v>2023</v>
      </c>
      <c r="C17" s="133">
        <f t="shared" si="3"/>
        <v>0.82294124687500081</v>
      </c>
      <c r="D17" s="133">
        <f t="shared" si="4"/>
        <v>2.7238196199383826</v>
      </c>
      <c r="E17" s="133">
        <f t="shared" si="0"/>
        <v>3.55</v>
      </c>
      <c r="F17" s="133">
        <f t="shared" si="1"/>
        <v>0.89</v>
      </c>
      <c r="H17" s="145">
        <v>0.02</v>
      </c>
    </row>
    <row r="18" spans="1:8" x14ac:dyDescent="0.2">
      <c r="A18" s="110"/>
      <c r="B18" s="132">
        <f t="shared" si="2"/>
        <v>2024</v>
      </c>
      <c r="C18" s="133">
        <f t="shared" si="3"/>
        <v>0.84022301305937575</v>
      </c>
      <c r="D18" s="133">
        <f t="shared" si="4"/>
        <v>2.7810198319570882</v>
      </c>
      <c r="E18" s="133">
        <f t="shared" si="0"/>
        <v>3.62</v>
      </c>
      <c r="F18" s="133">
        <f t="shared" si="1"/>
        <v>0.91</v>
      </c>
      <c r="H18" s="145">
        <v>2.1000000000000001E-2</v>
      </c>
    </row>
    <row r="19" spans="1:8" x14ac:dyDescent="0.2">
      <c r="A19" s="110"/>
      <c r="B19" s="132">
        <f t="shared" si="2"/>
        <v>2025</v>
      </c>
      <c r="C19" s="133">
        <f t="shared" si="3"/>
        <v>0.85702747332056328</v>
      </c>
      <c r="D19" s="133">
        <f t="shared" si="4"/>
        <v>2.83664022859623</v>
      </c>
      <c r="E19" s="133">
        <f t="shared" si="0"/>
        <v>3.69</v>
      </c>
      <c r="F19" s="133">
        <f t="shared" si="1"/>
        <v>0.92</v>
      </c>
      <c r="H19" s="145">
        <v>0.02</v>
      </c>
    </row>
    <row r="20" spans="1:8" x14ac:dyDescent="0.2">
      <c r="A20" s="110"/>
      <c r="B20" s="132">
        <f t="shared" si="2"/>
        <v>2026</v>
      </c>
      <c r="C20" s="133">
        <f t="shared" si="3"/>
        <v>0.87416802278697459</v>
      </c>
      <c r="D20" s="133">
        <f t="shared" si="4"/>
        <v>2.8933730331681549</v>
      </c>
      <c r="E20" s="133">
        <f t="shared" si="0"/>
        <v>3.77</v>
      </c>
      <c r="F20" s="133">
        <f t="shared" si="1"/>
        <v>0.94</v>
      </c>
      <c r="H20" s="145">
        <v>0.02</v>
      </c>
    </row>
    <row r="21" spans="1:8" x14ac:dyDescent="0.2">
      <c r="A21" s="110"/>
      <c r="B21" s="132">
        <f t="shared" si="2"/>
        <v>2027</v>
      </c>
      <c r="C21" s="133">
        <f t="shared" si="3"/>
        <v>0.89165138324271409</v>
      </c>
      <c r="D21" s="133">
        <f t="shared" si="4"/>
        <v>2.9512404938315182</v>
      </c>
      <c r="E21" s="133">
        <f t="shared" si="0"/>
        <v>3.84</v>
      </c>
      <c r="F21" s="133">
        <f t="shared" si="1"/>
        <v>0.96</v>
      </c>
      <c r="H21" s="145">
        <v>0.02</v>
      </c>
    </row>
    <row r="22" spans="1:8" x14ac:dyDescent="0.2">
      <c r="A22" s="110"/>
      <c r="B22" s="132">
        <f t="shared" si="2"/>
        <v>2028</v>
      </c>
      <c r="C22" s="133">
        <f t="shared" si="3"/>
        <v>0.90859275952432561</v>
      </c>
      <c r="D22" s="133">
        <f t="shared" si="4"/>
        <v>3.0073140632143169</v>
      </c>
      <c r="E22" s="133">
        <f t="shared" si="0"/>
        <v>3.92</v>
      </c>
      <c r="F22" s="133">
        <f t="shared" si="1"/>
        <v>0.98</v>
      </c>
      <c r="H22" s="145">
        <v>1.9E-2</v>
      </c>
    </row>
    <row r="23" spans="1:8" x14ac:dyDescent="0.2">
      <c r="A23" s="110"/>
      <c r="B23" s="132">
        <f t="shared" si="2"/>
        <v>2029</v>
      </c>
      <c r="C23" s="133">
        <f t="shared" si="3"/>
        <v>0.92585602195528771</v>
      </c>
      <c r="D23" s="133">
        <f t="shared" si="4"/>
        <v>3.0644530304153887</v>
      </c>
      <c r="E23" s="133">
        <f t="shared" si="0"/>
        <v>3.99</v>
      </c>
      <c r="F23" s="133">
        <f t="shared" si="1"/>
        <v>1</v>
      </c>
      <c r="H23" s="145">
        <v>1.9E-2</v>
      </c>
    </row>
    <row r="24" spans="1:8" x14ac:dyDescent="0.2">
      <c r="A24" s="110"/>
      <c r="B24" s="132">
        <f t="shared" si="2"/>
        <v>2030</v>
      </c>
      <c r="C24" s="133">
        <f t="shared" si="3"/>
        <v>0.94344728637243813</v>
      </c>
      <c r="D24" s="133">
        <f t="shared" si="4"/>
        <v>3.1226776379932808</v>
      </c>
      <c r="E24" s="133">
        <f t="shared" si="0"/>
        <v>4.07</v>
      </c>
      <c r="F24" s="133">
        <f t="shared" si="1"/>
        <v>1.02</v>
      </c>
      <c r="H24" s="145">
        <v>1.9E-2</v>
      </c>
    </row>
    <row r="25" spans="1:8" x14ac:dyDescent="0.2">
      <c r="A25" s="110"/>
      <c r="B25" s="132">
        <f t="shared" si="2"/>
        <v>2031</v>
      </c>
      <c r="C25" s="133">
        <f t="shared" si="3"/>
        <v>0.9613727848135144</v>
      </c>
      <c r="D25" s="133">
        <f t="shared" si="4"/>
        <v>3.1820085131151528</v>
      </c>
      <c r="E25" s="133">
        <f t="shared" si="0"/>
        <v>4.1399999999999997</v>
      </c>
      <c r="F25" s="133">
        <f t="shared" si="1"/>
        <v>1.04</v>
      </c>
      <c r="H25" s="145">
        <v>1.9E-2</v>
      </c>
    </row>
    <row r="26" spans="1:8" x14ac:dyDescent="0.2">
      <c r="A26" s="110"/>
      <c r="B26" s="132">
        <f t="shared" si="2"/>
        <v>2032</v>
      </c>
      <c r="C26" s="133">
        <f t="shared" si="3"/>
        <v>0.97963886772497111</v>
      </c>
      <c r="D26" s="133">
        <f t="shared" si="4"/>
        <v>3.2424666748643403</v>
      </c>
      <c r="E26" s="133">
        <f t="shared" si="0"/>
        <v>4.22</v>
      </c>
      <c r="F26" s="133">
        <f t="shared" si="1"/>
        <v>1.06</v>
      </c>
      <c r="H26" s="145">
        <v>1.9E-2</v>
      </c>
    </row>
    <row r="27" spans="1:8" x14ac:dyDescent="0.2">
      <c r="A27" s="110"/>
      <c r="B27" s="132">
        <f t="shared" si="2"/>
        <v>2033</v>
      </c>
      <c r="C27" s="133">
        <f t="shared" si="3"/>
        <v>0.9992316450794706</v>
      </c>
      <c r="D27" s="133">
        <f t="shared" si="4"/>
        <v>3.3073160083616271</v>
      </c>
      <c r="E27" s="133">
        <f t="shared" si="0"/>
        <v>4.3099999999999996</v>
      </c>
      <c r="F27" s="133">
        <f t="shared" si="1"/>
        <v>1.08</v>
      </c>
      <c r="H27" s="145">
        <v>0.02</v>
      </c>
    </row>
    <row r="28" spans="1:8" x14ac:dyDescent="0.2">
      <c r="A28" s="110"/>
      <c r="B28" s="132">
        <f t="shared" si="2"/>
        <v>2034</v>
      </c>
      <c r="C28" s="133">
        <f t="shared" si="3"/>
        <v>1.0182170463359805</v>
      </c>
      <c r="D28" s="133">
        <f t="shared" si="4"/>
        <v>3.3701550125204975</v>
      </c>
      <c r="E28" s="133">
        <f t="shared" si="0"/>
        <v>4.3899999999999997</v>
      </c>
      <c r="F28" s="133">
        <f t="shared" si="1"/>
        <v>1.1000000000000001</v>
      </c>
      <c r="H28" s="145">
        <v>1.9E-2</v>
      </c>
    </row>
    <row r="29" spans="1:8" x14ac:dyDescent="0.2">
      <c r="A29" s="110"/>
      <c r="B29" s="132">
        <f t="shared" si="2"/>
        <v>2035</v>
      </c>
      <c r="C29" s="133">
        <f t="shared" si="3"/>
        <v>1.0385813872627001</v>
      </c>
      <c r="D29" s="133">
        <f t="shared" si="4"/>
        <v>3.4375581127709074</v>
      </c>
      <c r="E29" s="133">
        <f t="shared" si="0"/>
        <v>4.4800000000000004</v>
      </c>
      <c r="F29" s="133">
        <f t="shared" si="1"/>
        <v>1.1200000000000001</v>
      </c>
      <c r="H29" s="145">
        <v>0.02</v>
      </c>
    </row>
    <row r="30" spans="1:8" x14ac:dyDescent="0.2">
      <c r="A30" s="110"/>
      <c r="B30" s="132">
        <f t="shared" si="2"/>
        <v>2036</v>
      </c>
      <c r="C30" s="133">
        <f t="shared" si="3"/>
        <v>1.0593530150079542</v>
      </c>
      <c r="D30" s="133">
        <f t="shared" si="4"/>
        <v>3.5063092750263256</v>
      </c>
      <c r="E30" s="133">
        <f t="shared" si="0"/>
        <v>4.57</v>
      </c>
      <c r="F30" s="133">
        <f t="shared" si="1"/>
        <v>1.1399999999999999</v>
      </c>
      <c r="H30" s="145">
        <v>0.02</v>
      </c>
    </row>
    <row r="31" spans="1:8" x14ac:dyDescent="0.2">
      <c r="A31" s="110"/>
      <c r="B31" s="132">
        <f t="shared" si="2"/>
        <v>2037</v>
      </c>
      <c r="C31" s="133">
        <f t="shared" si="3"/>
        <v>1.0805400753081134</v>
      </c>
      <c r="D31" s="133">
        <f t="shared" si="4"/>
        <v>3.5764354605268522</v>
      </c>
      <c r="E31" s="133">
        <f t="shared" si="0"/>
        <v>4.66</v>
      </c>
      <c r="F31" s="133">
        <f t="shared" si="1"/>
        <v>1.17</v>
      </c>
      <c r="H31" s="145">
        <v>0.02</v>
      </c>
    </row>
    <row r="32" spans="1:8" x14ac:dyDescent="0.2">
      <c r="A32" s="110"/>
      <c r="B32" s="132">
        <f t="shared" si="2"/>
        <v>2038</v>
      </c>
      <c r="C32" s="133">
        <f t="shared" si="3"/>
        <v>1.1021508768142756</v>
      </c>
      <c r="D32" s="133">
        <f t="shared" si="4"/>
        <v>3.6479641697373895</v>
      </c>
      <c r="E32" s="133">
        <f t="shared" si="0"/>
        <v>4.75</v>
      </c>
      <c r="F32" s="133">
        <f t="shared" si="1"/>
        <v>1.19</v>
      </c>
      <c r="H32" s="145">
        <v>0.02</v>
      </c>
    </row>
    <row r="34" spans="2:6" x14ac:dyDescent="0.2">
      <c r="B34" s="134" t="s">
        <v>48</v>
      </c>
      <c r="C34" s="134"/>
      <c r="D34" s="134"/>
      <c r="E34" s="134"/>
      <c r="F34" s="134"/>
    </row>
    <row r="35" spans="2:6" x14ac:dyDescent="0.2">
      <c r="B35" s="134" t="s">
        <v>171</v>
      </c>
      <c r="C35" s="134"/>
      <c r="D35" s="134"/>
      <c r="E35" s="134"/>
      <c r="F35" s="134"/>
    </row>
    <row r="36" spans="2:6" x14ac:dyDescent="0.2">
      <c r="B36" s="134" t="s">
        <v>68</v>
      </c>
      <c r="C36" s="134"/>
      <c r="D36" s="135"/>
      <c r="E36" s="135"/>
      <c r="F36" s="135"/>
    </row>
    <row r="37" spans="2:6" x14ac:dyDescent="0.2">
      <c r="B37" s="134"/>
      <c r="C37" s="134"/>
      <c r="D37" s="135"/>
      <c r="E37" s="135"/>
      <c r="F37" s="135"/>
    </row>
    <row r="38" spans="2:6" x14ac:dyDescent="0.2">
      <c r="B38" s="134"/>
      <c r="C38" s="134"/>
      <c r="D38" s="134"/>
      <c r="E38" s="134"/>
      <c r="F38" s="134"/>
    </row>
    <row r="39" spans="2:6" x14ac:dyDescent="0.2">
      <c r="B39" s="134"/>
      <c r="C39" s="134"/>
      <c r="D39" s="134"/>
      <c r="E39" s="134"/>
      <c r="F39" s="134"/>
    </row>
    <row r="40" spans="2:6" x14ac:dyDescent="0.2">
      <c r="B40" s="134"/>
      <c r="C40" s="134"/>
      <c r="D40" s="134"/>
      <c r="E40" s="134"/>
      <c r="F40" s="134"/>
    </row>
    <row r="41" spans="2:6" x14ac:dyDescent="0.2">
      <c r="B41" s="134"/>
      <c r="C41" s="134"/>
      <c r="D41" s="134"/>
      <c r="E41" s="134"/>
      <c r="F41" s="134"/>
    </row>
    <row r="42" spans="2:6" x14ac:dyDescent="0.2">
      <c r="B42" s="134"/>
      <c r="C42" s="134"/>
      <c r="D42" s="134"/>
      <c r="E42" s="134"/>
      <c r="F42" s="134"/>
    </row>
    <row r="43" spans="2:6" x14ac:dyDescent="0.2">
      <c r="B43" s="134"/>
      <c r="C43" s="134"/>
      <c r="D43" s="134"/>
      <c r="E43" s="134"/>
      <c r="F43" s="134"/>
    </row>
    <row r="44" spans="2:6" x14ac:dyDescent="0.2">
      <c r="B44" s="136"/>
      <c r="C44" s="134"/>
      <c r="D44" s="134"/>
      <c r="E44" s="134"/>
      <c r="F44" s="134"/>
    </row>
    <row r="45" spans="2:6" x14ac:dyDescent="0.2">
      <c r="B45" s="136"/>
      <c r="C45" s="134"/>
      <c r="D45" s="134"/>
      <c r="E45" s="134"/>
      <c r="F45" s="134"/>
    </row>
  </sheetData>
  <mergeCells count="3">
    <mergeCell ref="B1:H1"/>
    <mergeCell ref="B2:H2"/>
    <mergeCell ref="B3:H3"/>
  </mergeCells>
  <hyperlinks>
    <hyperlink ref="C37" display="www.pacificorp.com/content/dam/pacificorp/doc/Energy_Sources/Integrated_Resource_Plan/Wind_Integration/PacifiCorp_2010WindIntegrationStudy_090110.pdf"/>
  </hyperlinks>
  <printOptions horizontalCentered="1"/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"/>
  <sheetViews>
    <sheetView workbookViewId="0">
      <selection activeCell="E37" sqref="E37"/>
    </sheetView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L34"/>
  <sheetViews>
    <sheetView showGridLines="0" zoomScale="80" zoomScaleNormal="80" workbookViewId="0">
      <selection activeCell="K15" sqref="K15"/>
    </sheetView>
  </sheetViews>
  <sheetFormatPr defaultColWidth="9.33203125" defaultRowHeight="15" x14ac:dyDescent="0.2"/>
  <cols>
    <col min="1" max="1" width="9.33203125" style="116"/>
    <col min="2" max="2" width="34.1640625" style="116" customWidth="1"/>
    <col min="3" max="4" width="18.6640625" style="116" customWidth="1"/>
    <col min="5" max="5" width="7" style="116" customWidth="1"/>
    <col min="6" max="6" width="3.33203125" style="116" customWidth="1"/>
    <col min="7" max="7" width="15.33203125" style="116" hidden="1" customWidth="1"/>
    <col min="8" max="10" width="9.33203125" style="116"/>
    <col min="11" max="12" width="11" style="116" customWidth="1"/>
    <col min="13" max="13" width="9.33203125" style="116"/>
    <col min="14" max="14" width="12.1640625" style="116" customWidth="1"/>
    <col min="15" max="16384" width="9.33203125" style="116"/>
  </cols>
  <sheetData>
    <row r="1" spans="2:12" ht="15.75" x14ac:dyDescent="0.25">
      <c r="B1" s="150"/>
      <c r="C1" s="150"/>
      <c r="D1" s="150"/>
      <c r="G1" s="150"/>
    </row>
    <row r="2" spans="2:12" ht="15.75" x14ac:dyDescent="0.25">
      <c r="B2" s="150" t="s">
        <v>78</v>
      </c>
      <c r="C2" s="150"/>
      <c r="D2" s="150"/>
      <c r="G2" s="150"/>
    </row>
    <row r="3" spans="2:12" ht="15.75" x14ac:dyDescent="0.25">
      <c r="B3" s="224" t="s">
        <v>51</v>
      </c>
      <c r="C3" s="150"/>
      <c r="D3" s="150"/>
      <c r="G3" s="150"/>
    </row>
    <row r="4" spans="2:12" x14ac:dyDescent="0.2">
      <c r="C4" s="151" t="s">
        <v>43</v>
      </c>
      <c r="G4" s="151"/>
    </row>
    <row r="5" spans="2:12" ht="15.75" x14ac:dyDescent="0.25">
      <c r="B5" s="156"/>
      <c r="D5" s="118"/>
    </row>
    <row r="6" spans="2:12" x14ac:dyDescent="0.2">
      <c r="B6" s="118"/>
      <c r="C6" s="118"/>
      <c r="D6" s="118"/>
      <c r="G6" s="118" t="s">
        <v>19</v>
      </c>
    </row>
    <row r="7" spans="2:12" x14ac:dyDescent="0.2">
      <c r="B7" s="119" t="s">
        <v>79</v>
      </c>
      <c r="C7" s="119" t="s">
        <v>19</v>
      </c>
      <c r="D7" s="119" t="s">
        <v>56</v>
      </c>
      <c r="G7" s="152" t="s">
        <v>19</v>
      </c>
      <c r="I7" s="117"/>
      <c r="J7" s="117"/>
      <c r="K7" s="117"/>
      <c r="L7" s="117"/>
    </row>
    <row r="8" spans="2:12" ht="17.25" customHeight="1" x14ac:dyDescent="0.2">
      <c r="B8" s="152" t="s">
        <v>80</v>
      </c>
      <c r="C8" s="152" t="s">
        <v>44</v>
      </c>
      <c r="D8" s="152" t="s">
        <v>81</v>
      </c>
      <c r="G8" s="152" t="s">
        <v>44</v>
      </c>
      <c r="I8" s="118"/>
      <c r="J8" s="118"/>
      <c r="K8" s="118"/>
      <c r="L8" s="118"/>
    </row>
    <row r="9" spans="2:12" x14ac:dyDescent="0.2">
      <c r="B9" s="120" t="s">
        <v>57</v>
      </c>
      <c r="C9" s="120" t="s">
        <v>82</v>
      </c>
      <c r="D9" s="120" t="s">
        <v>86</v>
      </c>
      <c r="G9" s="120" t="s">
        <v>47</v>
      </c>
      <c r="I9" s="118"/>
      <c r="J9" s="118"/>
      <c r="K9" s="118"/>
      <c r="L9" s="118"/>
    </row>
    <row r="10" spans="2:12" x14ac:dyDescent="0.2">
      <c r="B10" s="155"/>
      <c r="C10" s="153"/>
      <c r="D10" s="154"/>
      <c r="G10" s="153"/>
    </row>
    <row r="11" spans="2:12" x14ac:dyDescent="0.2">
      <c r="B11" s="147">
        <v>2015</v>
      </c>
      <c r="C11" s="153">
        <f t="shared" ref="C11:C20" si="0">ROUND(G11/12,2)</f>
        <v>0</v>
      </c>
      <c r="D11" s="153">
        <f>ROUND(INDEX('Tables 3 to 4'!$L:$L,MATCH($B11,'Tables 3 to 4'!$I:$I,0),1),2)</f>
        <v>32.479999999999997</v>
      </c>
      <c r="G11" s="153">
        <f>VLOOKUP(B11,'Tables 3 to 4'!$B$14:$C$27,2,FALSE)</f>
        <v>0</v>
      </c>
      <c r="I11" s="121"/>
      <c r="J11" s="121"/>
      <c r="K11" s="121"/>
      <c r="L11" s="121"/>
    </row>
    <row r="12" spans="2:12" x14ac:dyDescent="0.2">
      <c r="B12" s="155">
        <f t="shared" ref="B12:B20" si="1">B11+1</f>
        <v>2016</v>
      </c>
      <c r="C12" s="153">
        <f t="shared" si="0"/>
        <v>0</v>
      </c>
      <c r="D12" s="153">
        <f>ROUND(INDEX('Tables 3 to 4'!$L:$L,MATCH($B12,'Tables 3 to 4'!$I:$I,0),1),2)</f>
        <v>34.119999999999997</v>
      </c>
      <c r="G12" s="153">
        <f>VLOOKUP(B12,'Tables 3 to 4'!$B$14:$C$27,2,FALSE)</f>
        <v>0</v>
      </c>
      <c r="I12" s="121"/>
      <c r="J12" s="121"/>
      <c r="K12" s="121"/>
      <c r="L12" s="121"/>
    </row>
    <row r="13" spans="2:12" x14ac:dyDescent="0.2">
      <c r="B13" s="155">
        <f t="shared" si="1"/>
        <v>2017</v>
      </c>
      <c r="C13" s="153">
        <f t="shared" si="0"/>
        <v>0</v>
      </c>
      <c r="D13" s="153">
        <f>ROUND(INDEX('Tables 3 to 4'!$L:$L,MATCH($B13,'Tables 3 to 4'!$I:$I,0),1),2)</f>
        <v>36.4</v>
      </c>
      <c r="G13" s="153">
        <f>VLOOKUP(B13,'Tables 3 to 4'!$B$14:$C$27,2,FALSE)</f>
        <v>0</v>
      </c>
      <c r="I13" s="121"/>
      <c r="J13" s="121"/>
      <c r="K13" s="121"/>
      <c r="L13" s="121"/>
    </row>
    <row r="14" spans="2:12" x14ac:dyDescent="0.2">
      <c r="B14" s="155">
        <f t="shared" si="1"/>
        <v>2018</v>
      </c>
      <c r="C14" s="153">
        <f t="shared" si="0"/>
        <v>0</v>
      </c>
      <c r="D14" s="153">
        <f>ROUND(INDEX('Tables 3 to 4'!$L:$L,MATCH($B14,'Tables 3 to 4'!$I:$I,0),1),2)</f>
        <v>39.1</v>
      </c>
      <c r="G14" s="153">
        <f>VLOOKUP(B14,'Tables 3 to 4'!$B$14:$C$27,2,FALSE)</f>
        <v>0</v>
      </c>
      <c r="I14" s="121"/>
      <c r="J14" s="121"/>
      <c r="K14" s="121"/>
      <c r="L14" s="121"/>
    </row>
    <row r="15" spans="2:12" x14ac:dyDescent="0.2">
      <c r="B15" s="155">
        <f t="shared" si="1"/>
        <v>2019</v>
      </c>
      <c r="C15" s="153">
        <f t="shared" si="0"/>
        <v>0</v>
      </c>
      <c r="D15" s="153">
        <f>ROUND(INDEX('Tables 3 to 4'!$L:$L,MATCH($B15,'Tables 3 to 4'!$I:$I,0),1),2)</f>
        <v>41.7</v>
      </c>
      <c r="G15" s="153">
        <f>VLOOKUP(B15,'Tables 3 to 4'!$B$14:$C$27,2,FALSE)</f>
        <v>0</v>
      </c>
      <c r="I15" s="121"/>
      <c r="J15" s="121"/>
      <c r="K15" s="121"/>
      <c r="L15" s="121"/>
    </row>
    <row r="16" spans="2:12" x14ac:dyDescent="0.2">
      <c r="B16" s="155">
        <f t="shared" si="1"/>
        <v>2020</v>
      </c>
      <c r="C16" s="153">
        <f t="shared" si="0"/>
        <v>0</v>
      </c>
      <c r="D16" s="153">
        <f>ROUND(INDEX('Tables 3 to 4'!$L:$L,MATCH($B16,'Tables 3 to 4'!$I:$I,0),1),2)</f>
        <v>44.14</v>
      </c>
      <c r="G16" s="153">
        <f>VLOOKUP(B16,'Tables 3 to 4'!$B$14:$C$27,2,FALSE)</f>
        <v>0</v>
      </c>
      <c r="I16" s="121"/>
      <c r="J16" s="121"/>
      <c r="K16" s="121"/>
      <c r="L16" s="121"/>
    </row>
    <row r="17" spans="2:12" x14ac:dyDescent="0.2">
      <c r="B17" s="155">
        <f t="shared" si="1"/>
        <v>2021</v>
      </c>
      <c r="C17" s="153">
        <f t="shared" si="0"/>
        <v>0</v>
      </c>
      <c r="D17" s="153">
        <f>ROUND(INDEX('Tables 3 to 4'!$L:$L,MATCH($B17,'Tables 3 to 4'!$I:$I,0),1),2)</f>
        <v>46.64</v>
      </c>
      <c r="G17" s="153">
        <f>VLOOKUP(B17,'Tables 3 to 4'!$B$14:$C$27,2,FALSE)</f>
        <v>0</v>
      </c>
      <c r="I17" s="121"/>
      <c r="J17" s="121"/>
      <c r="K17" s="121"/>
      <c r="L17" s="121"/>
    </row>
    <row r="18" spans="2:12" x14ac:dyDescent="0.2">
      <c r="B18" s="155">
        <f t="shared" si="1"/>
        <v>2022</v>
      </c>
      <c r="C18" s="153">
        <f t="shared" si="0"/>
        <v>0</v>
      </c>
      <c r="D18" s="153">
        <f>ROUND(INDEX('Tables 3 to 4'!$L:$L,MATCH($B18,'Tables 3 to 4'!$I:$I,0),1),2)</f>
        <v>48.97</v>
      </c>
      <c r="G18" s="153">
        <f>VLOOKUP(B18,'Tables 3 to 4'!$B$14:$C$27,2,FALSE)</f>
        <v>0</v>
      </c>
      <c r="I18" s="121"/>
      <c r="J18" s="121"/>
      <c r="K18" s="121"/>
      <c r="L18" s="121"/>
    </row>
    <row r="19" spans="2:12" x14ac:dyDescent="0.2">
      <c r="B19" s="155">
        <f t="shared" si="1"/>
        <v>2023</v>
      </c>
      <c r="C19" s="153">
        <f t="shared" si="0"/>
        <v>0</v>
      </c>
      <c r="D19" s="153">
        <f>ROUND(INDEX('Tables 3 to 4'!$L:$L,MATCH($B19,'Tables 3 to 4'!$I:$I,0),1),2)</f>
        <v>51.3</v>
      </c>
      <c r="G19" s="153">
        <f>VLOOKUP(B19,'Tables 3 to 4'!$B$14:$C$27,2,FALSE)</f>
        <v>0</v>
      </c>
      <c r="I19" s="121"/>
      <c r="J19" s="121"/>
      <c r="K19" s="121"/>
      <c r="L19" s="121"/>
    </row>
    <row r="20" spans="2:12" x14ac:dyDescent="0.2">
      <c r="B20" s="155">
        <f t="shared" si="1"/>
        <v>2024</v>
      </c>
      <c r="C20" s="153">
        <f t="shared" si="0"/>
        <v>0</v>
      </c>
      <c r="D20" s="153">
        <f>ROUND(INDEX('Tables 3 to 4'!$L:$L,MATCH($B20,'Tables 3 to 4'!$I:$I,0),1),2)</f>
        <v>53.39</v>
      </c>
      <c r="G20" s="153">
        <f>VLOOKUP(B20,'Tables 3 to 4'!$B$14:$C$27,2,FALSE)</f>
        <v>0</v>
      </c>
      <c r="I20" s="121"/>
      <c r="J20" s="121"/>
      <c r="K20" s="121"/>
      <c r="L20" s="121"/>
    </row>
    <row r="21" spans="2:12" x14ac:dyDescent="0.2">
      <c r="B21" s="155"/>
      <c r="C21" s="153"/>
      <c r="D21" s="154"/>
      <c r="G21" s="153"/>
    </row>
    <row r="22" spans="2:12" x14ac:dyDescent="0.2">
      <c r="B22" s="155"/>
      <c r="C22" s="153"/>
      <c r="D22" s="154"/>
      <c r="G22" s="153"/>
    </row>
    <row r="23" spans="2:12" x14ac:dyDescent="0.2">
      <c r="B23" s="160" t="s">
        <v>87</v>
      </c>
      <c r="C23" s="153"/>
      <c r="D23" s="154"/>
      <c r="G23" s="153"/>
    </row>
    <row r="24" spans="2:12" x14ac:dyDescent="0.2">
      <c r="B24" s="226" t="s">
        <v>172</v>
      </c>
      <c r="C24" s="123"/>
      <c r="D24" s="153"/>
    </row>
    <row r="25" spans="2:12" x14ac:dyDescent="0.2">
      <c r="B25" s="226" t="s">
        <v>165</v>
      </c>
      <c r="C25" s="123"/>
      <c r="D25" s="153"/>
    </row>
    <row r="26" spans="2:12" x14ac:dyDescent="0.2">
      <c r="B26" s="226" t="s">
        <v>166</v>
      </c>
      <c r="I26" s="121"/>
      <c r="J26" s="121"/>
      <c r="K26" s="121"/>
      <c r="L26" s="121"/>
    </row>
    <row r="27" spans="2:12" x14ac:dyDescent="0.2">
      <c r="B27" s="226" t="s">
        <v>169</v>
      </c>
    </row>
    <row r="33" spans="3:3" x14ac:dyDescent="0.2">
      <c r="C33" s="122" t="str">
        <f>'Tables 5'!H26</f>
        <v>Discount Rate - 2013 IRP Update Page 39</v>
      </c>
    </row>
    <row r="34" spans="3:3" x14ac:dyDescent="0.2">
      <c r="C34" s="124">
        <f>'Tables 5'!H27</f>
        <v>6.8820000000000006E-2</v>
      </c>
    </row>
  </sheetData>
  <phoneticPr fontId="7" type="noConversion"/>
  <printOptions horizontalCentered="1"/>
  <pageMargins left="0.3" right="0.3" top="0.72" bottom="0.4" header="0.4" footer="0.2"/>
  <pageSetup scale="96" orientation="landscape" copies="3" r:id="rId1"/>
  <headerFooter alignWithMargins="0">
    <oddFooter>&amp;L&amp;8Net Power Cost  -  &amp;F   ( &amp;A ) &amp;C &amp;R &amp;8&amp;D 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0A92E28D1EC4D42B4C180CD69469D63" ma:contentTypeVersion="175" ma:contentTypeDescription="" ma:contentTypeScope="" ma:versionID="6238f879754da7de37a34ef938e76ef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2014-12-29T08:00:00+00:00</OpenedDate>
    <Date1 xmlns="dc463f71-b30c-4ab2-9473-d307f9d35888">2014-12-29T08:00:00+00:00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144160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3531356-A8AC-427B-856D-40834C3C5A73}"/>
</file>

<file path=customXml/itemProps2.xml><?xml version="1.0" encoding="utf-8"?>
<ds:datastoreItem xmlns:ds="http://schemas.openxmlformats.org/officeDocument/2006/customXml" ds:itemID="{EF61392A-5A46-4054-A778-A4765FA8D364}"/>
</file>

<file path=customXml/itemProps3.xml><?xml version="1.0" encoding="utf-8"?>
<ds:datastoreItem xmlns:ds="http://schemas.openxmlformats.org/officeDocument/2006/customXml" ds:itemID="{83EB053F-191F-460C-A07F-5CD03963C09B}"/>
</file>

<file path=customXml/itemProps4.xml><?xml version="1.0" encoding="utf-8"?>
<ds:datastoreItem xmlns:ds="http://schemas.openxmlformats.org/officeDocument/2006/customXml" ds:itemID="{0D068BFD-8946-41B7-A5CA-CDC5136A3C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Table 1</vt:lpstr>
      <vt:lpstr>Table 2</vt:lpstr>
      <vt:lpstr>Tables 3 to 4</vt:lpstr>
      <vt:lpstr>Tables 5</vt:lpstr>
      <vt:lpstr>Table 6</vt:lpstr>
      <vt:lpstr>&gt;&gt;&gt;  Do Not Print</vt:lpstr>
      <vt:lpstr>Tariff Page</vt:lpstr>
      <vt:lpstr>'Table 1'!Print_Area</vt:lpstr>
      <vt:lpstr>'Table 2'!Print_Area</vt:lpstr>
      <vt:lpstr>'Table 6'!Print_Area</vt:lpstr>
      <vt:lpstr>'Tables 3 to 4'!Print_Area</vt:lpstr>
      <vt:lpstr>'Tables 5'!Print_Area</vt:lpstr>
      <vt:lpstr>'Tariff Page'!Print_Area</vt:lpstr>
      <vt:lpstr>'Table 2'!Print_Titles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PacifiCorp</dc:creator>
  <cp:lastModifiedBy>EisslerA</cp:lastModifiedBy>
  <cp:lastPrinted>2014-12-29T16:12:21Z</cp:lastPrinted>
  <dcterms:created xsi:type="dcterms:W3CDTF">2001-03-19T15:45:46Z</dcterms:created>
  <dcterms:modified xsi:type="dcterms:W3CDTF">2014-12-29T16:12:30Z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0x0101006E56B4D1795A2E4DB2F0B01679ED314A00F0A92E28D1EC4D42B4C180CD69469D63</vt:lpwstr>
  </property>
  <property fmtid="{D5CDD505-2E9C-101B-9397-08002B2CF9AE}" pid="3" name="_docset_NoMedatataSyncRequired">
    <vt:lpwstr>False</vt:lpwstr>
  </property>
</Properties>
</file>