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" yWindow="-12" windowWidth="12384" windowHeight="9312" activeTab="5"/>
  </bookViews>
  <sheets>
    <sheet name="Table 1" sheetId="28" r:id="rId1"/>
    <sheet name="Table 2" sheetId="17" r:id="rId2"/>
    <sheet name="Tables 3 to 4" sheetId="5" r:id="rId3"/>
    <sheet name="Tables 5" sheetId="13" r:id="rId4"/>
    <sheet name="Table 6" sheetId="3" r:id="rId5"/>
    <sheet name="For Tariff Page do not send" sheetId="27" r:id="rId6"/>
  </sheets>
  <externalReferences>
    <externalReference r:id="rId7"/>
    <externalReference r:id="rId8"/>
    <externalReference r:id="rId9"/>
    <externalReference r:id="rId10"/>
  </externalReferences>
  <definedNames>
    <definedName name="_1_0Price_Ta">#REF!</definedName>
    <definedName name="_2Price_Ta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Order1" hidden="1">255</definedName>
    <definedName name="_Order2" hidden="1">0</definedName>
    <definedName name="Burn">[1]NPC!$E$506:$Q$524</definedName>
    <definedName name="DispatchSum">"GRID Thermal Generation!R2C1:R4C2"</definedName>
    <definedName name="Factor">[1]NPC!$E$571:$Q$591</definedName>
    <definedName name="Levelize_CCCT" localSheetId="5">'[2]Table 8'!#REF!</definedName>
    <definedName name="Levelize_CCCT" localSheetId="0">#REF!</definedName>
    <definedName name="Levelize_CCCT">'Table 6'!#REF!</definedName>
    <definedName name="Levelize_SCCT" localSheetId="5">'[2]Table 8'!#REF!</definedName>
    <definedName name="Levelize_SCCT" localSheetId="0">#REF!</definedName>
    <definedName name="Levelize_SCCT">'Table 6'!#REF!</definedName>
    <definedName name="Market">[3]GasSource!#REF!</definedName>
    <definedName name="MidC_Flat">[4]Market_Price!#REF!</definedName>
    <definedName name="Months">[1]NPC!$F$3:$Q$3</definedName>
    <definedName name="NameBurn">[1]NPC!$C$506:$C$524</definedName>
    <definedName name="NameFactor">[1]NPC!$C$571:$C$591</definedName>
    <definedName name="_xlnm.Print_Area" localSheetId="5">'For Tariff Page do not send'!$B$1:$E$22</definedName>
    <definedName name="_xlnm.Print_Area" localSheetId="0">'Table 1'!$B$1:$L$52</definedName>
    <definedName name="_xlnm.Print_Area" localSheetId="1">'Table 2'!$A$1:$O$24</definedName>
    <definedName name="_xlnm.Print_Area" localSheetId="4">'Table 6'!$A$1:$I$37</definedName>
    <definedName name="_xlnm.Print_Area" localSheetId="2">'Tables 3 to 4'!$A$1:$O$27</definedName>
    <definedName name="_xlnm.Print_Area" localSheetId="3">'Tables 5'!$A$1:$F$26</definedName>
    <definedName name="RevenueSum">"GRID Thermal Revenue!R2C1:R4C2"</definedName>
    <definedName name="ValuationDate">#REF!</definedName>
  </definedNames>
  <calcPr calcId="125725"/>
</workbook>
</file>

<file path=xl/calcChain.xml><?xml version="1.0" encoding="utf-8"?>
<calcChain xmlns="http://schemas.openxmlformats.org/spreadsheetml/2006/main">
  <c r="C26" i="3"/>
  <c r="L18" i="17"/>
  <c r="D13" i="5"/>
  <c r="E13" s="1"/>
  <c r="C33" i="3"/>
  <c r="C34" s="1"/>
  <c r="C35" s="1"/>
  <c r="C36" s="1"/>
  <c r="C37" s="1"/>
  <c r="B3"/>
  <c r="H10" i="28"/>
  <c r="I10"/>
  <c r="I20" s="1"/>
  <c r="J10"/>
  <c r="K10"/>
  <c r="K20" s="1"/>
  <c r="L10"/>
  <c r="H17"/>
  <c r="H19" s="1"/>
  <c r="I17"/>
  <c r="J17"/>
  <c r="J19" s="1"/>
  <c r="K17"/>
  <c r="L17"/>
  <c r="L19" s="1"/>
  <c r="I19"/>
  <c r="K19"/>
  <c r="H20"/>
  <c r="J20"/>
  <c r="L20"/>
  <c r="B25"/>
  <c r="C26"/>
  <c r="D26"/>
  <c r="E26"/>
  <c r="F26"/>
  <c r="G26"/>
  <c r="H26"/>
  <c r="I26"/>
  <c r="J26"/>
  <c r="K26"/>
  <c r="L26"/>
  <c r="B29"/>
  <c r="C33"/>
  <c r="D33"/>
  <c r="E33"/>
  <c r="F33"/>
  <c r="G33"/>
  <c r="H33"/>
  <c r="I33"/>
  <c r="J33"/>
  <c r="K33"/>
  <c r="L33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41"/>
  <c r="C42"/>
  <c r="D42"/>
  <c r="E42"/>
  <c r="F42"/>
  <c r="G42"/>
  <c r="H42"/>
  <c r="I42"/>
  <c r="J42"/>
  <c r="K42"/>
  <c r="L42"/>
  <c r="B45"/>
  <c r="C49"/>
  <c r="D49"/>
  <c r="E49"/>
  <c r="F49"/>
  <c r="G49"/>
  <c r="H49"/>
  <c r="I49"/>
  <c r="J49"/>
  <c r="K49"/>
  <c r="L49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D56"/>
  <c r="E56" s="1"/>
  <c r="F56" s="1"/>
  <c r="G56" s="1"/>
  <c r="H56" s="1"/>
  <c r="I56" s="1"/>
  <c r="J56" s="1"/>
  <c r="K56" s="1"/>
  <c r="L56" s="1"/>
  <c r="C25" i="3"/>
  <c r="D20"/>
  <c r="C20"/>
  <c r="D19"/>
  <c r="C19"/>
  <c r="D18"/>
  <c r="C18"/>
  <c r="C9"/>
  <c r="D9" s="1"/>
  <c r="F9"/>
  <c r="F10" s="1"/>
  <c r="E9"/>
  <c r="E10"/>
  <c r="E11" s="1"/>
  <c r="E12" s="1"/>
  <c r="E13" s="1"/>
  <c r="E14" s="1"/>
  <c r="E15" s="1"/>
  <c r="B10"/>
  <c r="B11" s="1"/>
  <c r="B12" s="1"/>
  <c r="B13" s="1"/>
  <c r="B14" s="1"/>
  <c r="B15" s="1"/>
  <c r="G9"/>
  <c r="L21" i="17"/>
  <c r="D16" i="5" s="1"/>
  <c r="L20" i="17"/>
  <c r="L19"/>
  <c r="D14" i="5" s="1"/>
  <c r="L17" i="17"/>
  <c r="H21"/>
  <c r="H20"/>
  <c r="H19"/>
  <c r="H17"/>
  <c r="D21"/>
  <c r="D20"/>
  <c r="D19"/>
  <c r="D17"/>
  <c r="G19" i="13"/>
  <c r="B18" s="1"/>
  <c r="C23"/>
  <c r="J22" i="5"/>
  <c r="D15"/>
  <c r="L15" s="1"/>
  <c r="N15" s="1"/>
  <c r="L13"/>
  <c r="N13" s="1"/>
  <c r="D12"/>
  <c r="L12" s="1"/>
  <c r="N12" s="1"/>
  <c r="J20"/>
  <c r="I21"/>
  <c r="C20"/>
  <c r="C21"/>
  <c r="B21"/>
  <c r="B20"/>
  <c r="D12" i="27"/>
  <c r="D10"/>
  <c r="D9"/>
  <c r="B12" i="5"/>
  <c r="B13" s="1"/>
  <c r="B10" i="17"/>
  <c r="B11"/>
  <c r="B12" s="1"/>
  <c r="J13" i="5"/>
  <c r="K9"/>
  <c r="J21"/>
  <c r="B12" i="13"/>
  <c r="B13" s="1"/>
  <c r="B24"/>
  <c r="B23"/>
  <c r="D19"/>
  <c r="E9"/>
  <c r="B17" i="17"/>
  <c r="H18"/>
  <c r="D18"/>
  <c r="N9" i="5"/>
  <c r="M9"/>
  <c r="B18" i="17"/>
  <c r="M5" i="5"/>
  <c r="N5"/>
  <c r="E9"/>
  <c r="F9"/>
  <c r="G9"/>
  <c r="I12"/>
  <c r="M13"/>
  <c r="I20"/>
  <c r="I22"/>
  <c r="C17" i="28"/>
  <c r="C10"/>
  <c r="C19" s="1"/>
  <c r="C20" s="1"/>
  <c r="D10"/>
  <c r="D17"/>
  <c r="D19" s="1"/>
  <c r="D20" s="1"/>
  <c r="E10"/>
  <c r="E17"/>
  <c r="E19" s="1"/>
  <c r="E20" s="1"/>
  <c r="F10"/>
  <c r="F17"/>
  <c r="F19" s="1"/>
  <c r="F20" s="1"/>
  <c r="G10"/>
  <c r="G17"/>
  <c r="G19" s="1"/>
  <c r="G20" s="1"/>
  <c r="B14" i="13" l="1"/>
  <c r="B10" i="27"/>
  <c r="I13" i="5"/>
  <c r="B14"/>
  <c r="L14"/>
  <c r="N14" s="1"/>
  <c r="D11" i="27"/>
  <c r="D18" s="1"/>
  <c r="L16" i="5"/>
  <c r="N16" s="1"/>
  <c r="D13" i="27"/>
  <c r="H9" i="3"/>
  <c r="D10"/>
  <c r="F13" i="5"/>
  <c r="C13" i="13" s="1"/>
  <c r="E13" s="1"/>
  <c r="G13" i="5"/>
  <c r="B20" i="17"/>
  <c r="B13"/>
  <c r="B21" s="1"/>
  <c r="F11" i="3"/>
  <c r="G10"/>
  <c r="B19" i="17"/>
  <c r="B9" i="27"/>
  <c r="F12" i="3" l="1"/>
  <c r="G11"/>
  <c r="B15" i="13"/>
  <c r="B11" i="27"/>
  <c r="D11" i="3"/>
  <c r="H10"/>
  <c r="B15" i="5"/>
  <c r="I14"/>
  <c r="B16" l="1"/>
  <c r="I16" s="1"/>
  <c r="I15"/>
  <c r="H11" i="3"/>
  <c r="C12" i="5" s="1"/>
  <c r="D12" i="3"/>
  <c r="B19" i="13"/>
  <c r="B16"/>
  <c r="B12" i="27"/>
  <c r="F13" i="3"/>
  <c r="G12"/>
  <c r="G12" i="5" l="1"/>
  <c r="E12"/>
  <c r="C9" i="27"/>
  <c r="J12" i="5"/>
  <c r="K12" s="1"/>
  <c r="M12" s="1"/>
  <c r="F12"/>
  <c r="C12" i="13" s="1"/>
  <c r="F14" i="3"/>
  <c r="G13"/>
  <c r="B13" i="27"/>
  <c r="B15" s="1"/>
  <c r="B20" i="13"/>
  <c r="D13" i="3"/>
  <c r="H12"/>
  <c r="H13" l="1"/>
  <c r="C14" i="5" s="1"/>
  <c r="D14" i="3"/>
  <c r="E12" i="13"/>
  <c r="F15" i="3"/>
  <c r="G15" s="1"/>
  <c r="G14"/>
  <c r="C11" i="27" l="1"/>
  <c r="J14" i="5"/>
  <c r="K14" s="1"/>
  <c r="M14" s="1"/>
  <c r="G14"/>
  <c r="F14"/>
  <c r="C14" i="13" s="1"/>
  <c r="E14" i="5"/>
  <c r="D15" i="3"/>
  <c r="H15" s="1"/>
  <c r="C16" i="5" s="1"/>
  <c r="H14" i="3"/>
  <c r="C15" i="5" s="1"/>
  <c r="C13" i="27" l="1"/>
  <c r="J16" i="5"/>
  <c r="K16" s="1"/>
  <c r="M16" s="1"/>
  <c r="F16"/>
  <c r="C16" i="13" s="1"/>
  <c r="G16" i="5"/>
  <c r="E16"/>
  <c r="F15"/>
  <c r="C15" i="13" s="1"/>
  <c r="E15" s="1"/>
  <c r="J15" i="5"/>
  <c r="K15" s="1"/>
  <c r="M15" s="1"/>
  <c r="G15"/>
  <c r="C12" i="27"/>
  <c r="E15" i="5"/>
  <c r="C16" i="27"/>
  <c r="C17" s="1"/>
  <c r="E14" i="13"/>
  <c r="C20" l="1"/>
</calcChain>
</file>

<file path=xl/sharedStrings.xml><?xml version="1.0" encoding="utf-8"?>
<sst xmlns="http://schemas.openxmlformats.org/spreadsheetml/2006/main" count="195" uniqueCount="118">
  <si>
    <t>On-Peak Hours</t>
  </si>
  <si>
    <t>On-Peak</t>
  </si>
  <si>
    <t>Off-Peak</t>
  </si>
  <si>
    <t>Year</t>
  </si>
  <si>
    <t>($/kW-yr)</t>
  </si>
  <si>
    <t>Costs</t>
  </si>
  <si>
    <t>Energy Cost</t>
  </si>
  <si>
    <t>Avoided</t>
  </si>
  <si>
    <t>Total</t>
  </si>
  <si>
    <t>Total Avoided Costs</t>
  </si>
  <si>
    <t>At Stated Capacity Factor</t>
  </si>
  <si>
    <t>Columns</t>
  </si>
  <si>
    <t>(a)</t>
  </si>
  <si>
    <t>(b)</t>
  </si>
  <si>
    <t>(c)</t>
  </si>
  <si>
    <t>(d)</t>
  </si>
  <si>
    <t>(e)</t>
  </si>
  <si>
    <t>Avoided Firm</t>
  </si>
  <si>
    <t>Capacity</t>
  </si>
  <si>
    <t xml:space="preserve">Capacity Cost </t>
  </si>
  <si>
    <t>Allocated to</t>
  </si>
  <si>
    <t>Total Avoided Costs at 85% CF</t>
  </si>
  <si>
    <t>Difference</t>
  </si>
  <si>
    <t>On- &amp; Off- Peak Energy Prices</t>
  </si>
  <si>
    <t>(f)</t>
  </si>
  <si>
    <t>Table 2</t>
  </si>
  <si>
    <t>Table 3</t>
  </si>
  <si>
    <t>Table 4</t>
  </si>
  <si>
    <t>Table 5</t>
  </si>
  <si>
    <t>Table 6</t>
  </si>
  <si>
    <t>$/kW</t>
  </si>
  <si>
    <t>$/kW-yr</t>
  </si>
  <si>
    <t>Estimated Capital Cost</t>
  </si>
  <si>
    <t>Fixed Capital Cost at Real Levelized Rate</t>
  </si>
  <si>
    <t>Fixed O&amp;M</t>
  </si>
  <si>
    <t>Variable O&amp;M</t>
  </si>
  <si>
    <t>Total O&amp;M at Expected CF</t>
  </si>
  <si>
    <t>Total Resource Fixed Costs</t>
  </si>
  <si>
    <t>Total Requirements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</si>
  <si>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</si>
  <si>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</si>
  <si>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</si>
  <si>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</si>
  <si>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</si>
  <si>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</si>
  <si>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</si>
  <si>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</si>
  <si>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</si>
  <si>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</si>
  <si>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</si>
  <si>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</si>
  <si>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Winter Season</t>
  </si>
  <si>
    <t>Summer Season</t>
  </si>
  <si>
    <t>Source</t>
  </si>
  <si>
    <t>Source: (a)(c)(d)</t>
  </si>
  <si>
    <t>Net Load</t>
  </si>
  <si>
    <t>Thermal Generation</t>
  </si>
  <si>
    <t>Other Generation</t>
  </si>
  <si>
    <t>Reserves</t>
  </si>
  <si>
    <t>Surplus / (Deficit)</t>
  </si>
  <si>
    <t>aMW</t>
  </si>
  <si>
    <t>Avoided Resource</t>
  </si>
  <si>
    <t>Avoided Costs</t>
  </si>
  <si>
    <t>Proposed</t>
  </si>
  <si>
    <t>Comparison between Proposed and Current Avoided Costs</t>
  </si>
  <si>
    <t>Annual Seasonal Average</t>
  </si>
  <si>
    <t>Annual Average</t>
  </si>
  <si>
    <t>Loads and Resources</t>
  </si>
  <si>
    <t>Long Term Sales</t>
  </si>
  <si>
    <t>Long Term Purchases</t>
  </si>
  <si>
    <t>Percent Surplus / (Deficit)</t>
  </si>
  <si>
    <t>Avoided Cost Prices</t>
  </si>
  <si>
    <t>Total Resources after Reserves</t>
  </si>
  <si>
    <t>Table 1</t>
  </si>
  <si>
    <t>Non-Firm Energy</t>
  </si>
  <si>
    <t>Discount Rate</t>
  </si>
  <si>
    <t>Deliveries</t>
  </si>
  <si>
    <t>During</t>
  </si>
  <si>
    <t>Calendar Year</t>
  </si>
  <si>
    <t>GRID Production Cost Study</t>
  </si>
  <si>
    <t>$/MWh</t>
  </si>
  <si>
    <t>Total Cost of Displaceable Resources</t>
  </si>
  <si>
    <t xml:space="preserve">  Payment Factor</t>
  </si>
  <si>
    <t>Avoided Costs ($/MWh)</t>
  </si>
  <si>
    <t>($/MWh)</t>
  </si>
  <si>
    <t>Washington Approved</t>
  </si>
  <si>
    <t xml:space="preserve">Energy </t>
  </si>
  <si>
    <t>Payment</t>
  </si>
  <si>
    <t>$/kW - Month</t>
  </si>
  <si>
    <t>$/MWH</t>
  </si>
  <si>
    <t>$/kW - Year</t>
  </si>
  <si>
    <t>Total Avoided Cost</t>
  </si>
  <si>
    <t>Peak (January)</t>
  </si>
  <si>
    <t>Plant Costs 2008 IRP (Table 6.3 and 6.5)</t>
  </si>
  <si>
    <t>SCCT Frame (2 Frame "F") - West Side Options (1500')</t>
  </si>
  <si>
    <t xml:space="preserve">  Capacity Factor</t>
  </si>
  <si>
    <t>2010 through 2019</t>
  </si>
  <si>
    <t>Short Term Firm Sales</t>
  </si>
  <si>
    <t>Short Term Firm Purchase</t>
  </si>
  <si>
    <t>Peak (July)</t>
  </si>
  <si>
    <t>month offset</t>
  </si>
  <si>
    <t xml:space="preserve">  Plant capacity</t>
  </si>
  <si>
    <t xml:space="preserve">  Plant capacity cost</t>
  </si>
  <si>
    <t xml:space="preserve">  Fixed O&amp;M plus on-going capital cost </t>
  </si>
  <si>
    <t xml:space="preserve">  Fixed Pipeline Costs Included Above</t>
  </si>
  <si>
    <t>MW</t>
  </si>
  <si>
    <t>To be cut and pasted directly into the tariff</t>
  </si>
  <si>
    <t>(1)</t>
  </si>
  <si>
    <t>Note: (1)</t>
  </si>
  <si>
    <t xml:space="preserve">   capacity surplus during the winter peak 2011.</t>
  </si>
  <si>
    <t xml:space="preserve">  No capacity payment is made in 2011 because the Company is </t>
  </si>
  <si>
    <t xml:space="preserve">  Variable O&amp;M and Other Costs </t>
  </si>
  <si>
    <t>Company Official Inflation Forecast  - Dated September 2009</t>
  </si>
  <si>
    <t>Note (1):</t>
  </si>
  <si>
    <t xml:space="preserve">  Avoided Costs Approved by the Commission February 13, 2009</t>
  </si>
  <si>
    <t xml:space="preserve">  Discount Rate - Company Official Discount Rate - Dated September 2009</t>
  </si>
  <si>
    <t>1   Discount Rate - Company Official Discount Rate - Dated Sep 2009</t>
  </si>
  <si>
    <t>Footnote:</t>
  </si>
</sst>
</file>

<file path=xl/styles.xml><?xml version="1.0" encoding="utf-8"?>
<styleSheet xmlns="http://schemas.openxmlformats.org/spreadsheetml/2006/main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0.0%"/>
    <numFmt numFmtId="168" formatCode="mmm"/>
    <numFmt numFmtId="169" formatCode="_(* #,##0.00_);_(* \(#,##0.00\);_(* &quot;-&quot;_);_(@_)"/>
    <numFmt numFmtId="170" formatCode="_(&quot;$&quot;* #,##0_);_(&quot;$&quot;* \(#,##0\);_(&quot;$&quot;* &quot;-&quot;??_);_(@_)"/>
    <numFmt numFmtId="171" formatCode="0.0"/>
    <numFmt numFmtId="172" formatCode="_(* #,##0_);[Red]_(* \(#,##0\);_(* &quot;-&quot;_);_(@_)"/>
    <numFmt numFmtId="173" formatCode="&quot;$&quot;###0;[Red]\(&quot;$&quot;###0\)"/>
  </numFmts>
  <fonts count="22">
    <font>
      <sz val="10"/>
      <name val="Times New Roman"/>
      <family val="1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i/>
      <sz val="8"/>
      <color indexed="18"/>
      <name val="Helv"/>
    </font>
    <font>
      <sz val="8"/>
      <name val="Arial"/>
    </font>
    <font>
      <b/>
      <sz val="8"/>
      <name val="Times New Roman"/>
      <family val="1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172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17" fillId="0" borderId="0" applyFont="0" applyFill="0" applyBorder="0" applyProtection="0">
      <alignment horizontal="right"/>
    </xf>
    <xf numFmtId="0" fontId="14" fillId="0" borderId="0" applyNumberFormat="0" applyFill="0" applyBorder="0" applyAlignment="0">
      <protection locked="0"/>
    </xf>
    <xf numFmtId="171" fontId="18" fillId="0" borderId="0" applyNumberFormat="0" applyFill="0" applyBorder="0" applyAlignment="0" applyProtection="0"/>
    <xf numFmtId="0" fontId="19" fillId="0" borderId="1" applyNumberFormat="0" applyBorder="0" applyAlignment="0"/>
    <xf numFmtId="41" fontId="3" fillId="0" borderId="0"/>
    <xf numFmtId="172" fontId="3" fillId="0" borderId="0"/>
    <xf numFmtId="172" fontId="3" fillId="0" borderId="0"/>
    <xf numFmtId="0" fontId="3" fillId="0" borderId="0"/>
    <xf numFmtId="172" fontId="3" fillId="0" borderId="0"/>
    <xf numFmtId="172" fontId="1" fillId="0" borderId="0"/>
    <xf numFmtId="12" fontId="20" fillId="2" borderId="2">
      <alignment horizontal="left"/>
    </xf>
    <xf numFmtId="9" fontId="1" fillId="0" borderId="0" applyFont="0" applyFill="0" applyBorder="0" applyAlignment="0" applyProtection="0"/>
    <xf numFmtId="37" fontId="19" fillId="3" borderId="0" applyNumberFormat="0" applyBorder="0" applyAlignment="0" applyProtection="0"/>
    <xf numFmtId="37" fontId="15" fillId="0" borderId="0"/>
    <xf numFmtId="3" fontId="21" fillId="4" borderId="3" applyProtection="0"/>
  </cellStyleXfs>
  <cellXfs count="187">
    <xf numFmtId="172" fontId="0" fillId="0" borderId="0" xfId="0"/>
    <xf numFmtId="172" fontId="4" fillId="0" borderId="0" xfId="0" applyFont="1" applyFill="1" applyAlignment="1">
      <alignment horizontal="centerContinuous"/>
    </xf>
    <xf numFmtId="172" fontId="12" fillId="0" borderId="0" xfId="0" applyFont="1" applyFill="1" applyAlignment="1">
      <alignment horizontal="centerContinuous"/>
    </xf>
    <xf numFmtId="172" fontId="12" fillId="0" borderId="0" xfId="0" applyFont="1" applyFill="1"/>
    <xf numFmtId="172" fontId="12" fillId="0" borderId="0" xfId="0" applyFont="1" applyFill="1" applyBorder="1" applyAlignment="1">
      <alignment horizontal="centerContinuous"/>
    </xf>
    <xf numFmtId="172" fontId="12" fillId="0" borderId="0" xfId="0" applyFont="1" applyFill="1" applyBorder="1"/>
    <xf numFmtId="172" fontId="12" fillId="0" borderId="4" xfId="0" applyFont="1" applyFill="1" applyBorder="1" applyAlignment="1">
      <alignment horizontal="center"/>
    </xf>
    <xf numFmtId="172" fontId="12" fillId="0" borderId="5" xfId="0" applyFont="1" applyFill="1" applyBorder="1" applyAlignment="1">
      <alignment horizontal="center"/>
    </xf>
    <xf numFmtId="172" fontId="13" fillId="0" borderId="0" xfId="0" applyFont="1" applyFill="1" applyAlignment="1">
      <alignment horizontal="centerContinuous"/>
    </xf>
    <xf numFmtId="172" fontId="3" fillId="0" borderId="0" xfId="0" applyFont="1" applyFill="1"/>
    <xf numFmtId="172" fontId="5" fillId="0" borderId="0" xfId="0" applyFont="1" applyFill="1" applyAlignment="1">
      <alignment horizontal="centerContinuous"/>
    </xf>
    <xf numFmtId="172" fontId="3" fillId="0" borderId="6" xfId="0" applyFont="1" applyFill="1" applyBorder="1" applyAlignment="1">
      <alignment horizontal="centerContinuous"/>
    </xf>
    <xf numFmtId="172" fontId="3" fillId="0" borderId="7" xfId="0" applyFont="1" applyFill="1" applyBorder="1" applyAlignment="1">
      <alignment horizontal="centerContinuous"/>
    </xf>
    <xf numFmtId="172" fontId="3" fillId="0" borderId="8" xfId="0" applyFont="1" applyFill="1" applyBorder="1" applyAlignment="1">
      <alignment horizontal="centerContinuous"/>
    </xf>
    <xf numFmtId="172" fontId="3" fillId="0" borderId="0" xfId="0" applyFont="1" applyFill="1" applyBorder="1"/>
    <xf numFmtId="172" fontId="3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172" fontId="3" fillId="0" borderId="0" xfId="0" applyFont="1" applyFill="1" applyAlignment="1">
      <alignment horizontal="right"/>
    </xf>
    <xf numFmtId="8" fontId="3" fillId="0" borderId="0" xfId="0" applyNumberFormat="1" applyFont="1" applyFill="1"/>
    <xf numFmtId="8" fontId="3" fillId="0" borderId="9" xfId="0" applyNumberFormat="1" applyFont="1" applyFill="1" applyBorder="1" applyAlignment="1">
      <alignment horizontal="center"/>
    </xf>
    <xf numFmtId="166" fontId="3" fillId="0" borderId="9" xfId="0" applyNumberFormat="1" applyFont="1" applyFill="1" applyBorder="1" applyAlignment="1">
      <alignment horizontal="center"/>
    </xf>
    <xf numFmtId="8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3" fillId="0" borderId="10" xfId="0" applyNumberFormat="1" applyFont="1" applyFill="1" applyBorder="1" applyAlignment="1">
      <alignment horizontal="center"/>
    </xf>
    <xf numFmtId="8" fontId="7" fillId="0" borderId="0" xfId="0" applyNumberFormat="1" applyFont="1" applyFill="1" applyAlignment="1">
      <alignment horizontal="center"/>
    </xf>
    <xf numFmtId="172" fontId="12" fillId="0" borderId="11" xfId="0" applyFont="1" applyFill="1" applyBorder="1" applyAlignment="1">
      <alignment horizontal="center"/>
    </xf>
    <xf numFmtId="172" fontId="8" fillId="0" borderId="0" xfId="0" applyFont="1" applyFill="1"/>
    <xf numFmtId="172" fontId="3" fillId="0" borderId="0" xfId="0" quotePrefix="1" applyFont="1" applyFill="1" applyBorder="1" applyAlignment="1">
      <alignment horizontal="center"/>
    </xf>
    <xf numFmtId="172" fontId="8" fillId="0" borderId="0" xfId="0" applyFont="1" applyFill="1" applyAlignment="1">
      <alignment horizontal="centerContinuous"/>
    </xf>
    <xf numFmtId="172" fontId="9" fillId="0" borderId="0" xfId="0" applyFont="1" applyFill="1"/>
    <xf numFmtId="172" fontId="5" fillId="0" borderId="0" xfId="0" applyFont="1" applyFill="1" applyBorder="1" applyAlignment="1">
      <alignment horizontal="center"/>
    </xf>
    <xf numFmtId="172" fontId="7" fillId="0" borderId="0" xfId="0" quotePrefix="1" applyFont="1" applyFill="1" applyAlignment="1">
      <alignment horizontal="center"/>
    </xf>
    <xf numFmtId="8" fontId="7" fillId="0" borderId="0" xfId="0" applyNumberFormat="1" applyFont="1" applyFill="1" applyAlignment="1"/>
    <xf numFmtId="172" fontId="3" fillId="0" borderId="0" xfId="0" quotePrefix="1" applyFont="1" applyFill="1"/>
    <xf numFmtId="172" fontId="2" fillId="0" borderId="0" xfId="0" applyFont="1" applyFill="1" applyBorder="1" applyAlignment="1">
      <alignment horizontal="left"/>
    </xf>
    <xf numFmtId="166" fontId="3" fillId="0" borderId="9" xfId="0" quotePrefix="1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8" fontId="3" fillId="0" borderId="5" xfId="0" applyNumberFormat="1" applyFont="1" applyFill="1" applyBorder="1" applyAlignment="1">
      <alignment horizontal="center"/>
    </xf>
    <xf numFmtId="166" fontId="3" fillId="0" borderId="5" xfId="0" applyNumberFormat="1" applyFont="1" applyFill="1" applyBorder="1" applyAlignment="1">
      <alignment horizontal="center"/>
    </xf>
    <xf numFmtId="166" fontId="3" fillId="0" borderId="13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left"/>
    </xf>
    <xf numFmtId="166" fontId="3" fillId="0" borderId="0" xfId="0" applyNumberFormat="1" applyFont="1" applyFill="1"/>
    <xf numFmtId="172" fontId="9" fillId="0" borderId="0" xfId="0" applyFont="1" applyFill="1" applyAlignment="1">
      <alignment horizontal="centerContinuous"/>
    </xf>
    <xf numFmtId="172" fontId="4" fillId="0" borderId="0" xfId="0" applyFont="1" applyFill="1" applyBorder="1" applyAlignment="1">
      <alignment horizontal="centerContinuous"/>
    </xf>
    <xf numFmtId="172" fontId="5" fillId="0" borderId="0" xfId="0" applyFont="1" applyFill="1" applyBorder="1" applyAlignment="1">
      <alignment horizontal="centerContinuous"/>
    </xf>
    <xf numFmtId="8" fontId="7" fillId="0" borderId="0" xfId="0" applyNumberFormat="1" applyFont="1" applyFill="1" applyBorder="1" applyAlignment="1">
      <alignment horizontal="left"/>
    </xf>
    <xf numFmtId="172" fontId="3" fillId="0" borderId="0" xfId="0" applyFont="1" applyFill="1" applyBorder="1" applyAlignment="1">
      <alignment horizontal="left"/>
    </xf>
    <xf numFmtId="8" fontId="3" fillId="0" borderId="0" xfId="0" applyNumberFormat="1" applyFont="1" applyFill="1" applyBorder="1"/>
    <xf numFmtId="17" fontId="3" fillId="0" borderId="0" xfId="0" applyNumberFormat="1" applyFont="1" applyFill="1" applyBorder="1" applyAlignment="1">
      <alignment horizontal="center"/>
    </xf>
    <xf numFmtId="172" fontId="12" fillId="0" borderId="6" xfId="0" applyFont="1" applyFill="1" applyBorder="1" applyAlignment="1">
      <alignment horizontal="centerContinuous"/>
    </xf>
    <xf numFmtId="172" fontId="12" fillId="0" borderId="8" xfId="0" applyFont="1" applyFill="1" applyBorder="1" applyAlignment="1">
      <alignment horizontal="centerContinuous"/>
    </xf>
    <xf numFmtId="172" fontId="12" fillId="0" borderId="0" xfId="0" applyFont="1" applyFill="1" applyBorder="1" applyAlignment="1">
      <alignment horizontal="center"/>
    </xf>
    <xf numFmtId="172" fontId="12" fillId="0" borderId="5" xfId="0" applyFont="1" applyFill="1" applyBorder="1" applyAlignment="1">
      <alignment horizontal="centerContinuous"/>
    </xf>
    <xf numFmtId="172" fontId="12" fillId="0" borderId="4" xfId="0" applyFont="1" applyFill="1" applyBorder="1"/>
    <xf numFmtId="172" fontId="12" fillId="0" borderId="11" xfId="0" applyFont="1" applyFill="1" applyBorder="1"/>
    <xf numFmtId="172" fontId="12" fillId="0" borderId="14" xfId="0" applyFont="1" applyFill="1" applyBorder="1"/>
    <xf numFmtId="172" fontId="12" fillId="0" borderId="0" xfId="0" quotePrefix="1" applyFont="1" applyFill="1" applyBorder="1" applyAlignment="1">
      <alignment horizontal="center"/>
    </xf>
    <xf numFmtId="172" fontId="12" fillId="0" borderId="15" xfId="0" applyFont="1" applyFill="1" applyBorder="1" applyAlignment="1">
      <alignment horizontal="centerContinuous"/>
    </xf>
    <xf numFmtId="172" fontId="12" fillId="0" borderId="4" xfId="0" applyFont="1" applyFill="1" applyBorder="1" applyAlignment="1">
      <alignment horizontal="centerContinuous"/>
    </xf>
    <xf numFmtId="172" fontId="12" fillId="0" borderId="16" xfId="0" applyFont="1" applyFill="1" applyBorder="1" applyAlignment="1">
      <alignment horizontal="center"/>
    </xf>
    <xf numFmtId="172" fontId="12" fillId="0" borderId="17" xfId="0" applyFont="1" applyFill="1" applyBorder="1" applyAlignment="1">
      <alignment horizontal="centerContinuous"/>
    </xf>
    <xf numFmtId="172" fontId="12" fillId="0" borderId="12" xfId="0" applyFont="1" applyFill="1" applyBorder="1" applyAlignment="1">
      <alignment horizontal="centerContinuous"/>
    </xf>
    <xf numFmtId="172" fontId="12" fillId="0" borderId="18" xfId="0" applyFont="1" applyFill="1" applyBorder="1" applyAlignment="1">
      <alignment horizontal="centerContinuous"/>
    </xf>
    <xf numFmtId="172" fontId="12" fillId="0" borderId="13" xfId="0" applyFont="1" applyFill="1" applyBorder="1" applyAlignment="1">
      <alignment horizontal="centerContinuous"/>
    </xf>
    <xf numFmtId="172" fontId="12" fillId="0" borderId="0" xfId="0" quotePrefix="1" applyFont="1" applyFill="1" applyBorder="1" applyAlignment="1">
      <alignment horizontal="centerContinuous"/>
    </xf>
    <xf numFmtId="172" fontId="12" fillId="0" borderId="17" xfId="0" applyFont="1" applyFill="1" applyBorder="1" applyAlignment="1">
      <alignment horizontal="center"/>
    </xf>
    <xf numFmtId="172" fontId="12" fillId="0" borderId="10" xfId="0" applyFont="1" applyFill="1" applyBorder="1" applyAlignment="1">
      <alignment horizontal="centerContinuous"/>
    </xf>
    <xf numFmtId="9" fontId="12" fillId="0" borderId="11" xfId="14" applyFont="1" applyFill="1" applyBorder="1" applyAlignment="1">
      <alignment horizontal="center"/>
    </xf>
    <xf numFmtId="172" fontId="12" fillId="0" borderId="15" xfId="0" quotePrefix="1" applyFont="1" applyFill="1" applyBorder="1" applyAlignment="1">
      <alignment horizontal="centerContinuous"/>
    </xf>
    <xf numFmtId="172" fontId="12" fillId="0" borderId="15" xfId="0" quotePrefix="1" applyFont="1" applyFill="1" applyBorder="1" applyAlignment="1">
      <alignment horizontal="center"/>
    </xf>
    <xf numFmtId="172" fontId="12" fillId="0" borderId="6" xfId="0" quotePrefix="1" applyFont="1" applyFill="1" applyBorder="1" applyAlignment="1">
      <alignment horizontal="centerContinuous"/>
    </xf>
    <xf numFmtId="172" fontId="12" fillId="0" borderId="8" xfId="0" quotePrefix="1" applyFont="1" applyFill="1" applyBorder="1" applyAlignment="1">
      <alignment horizontal="centerContinuous"/>
    </xf>
    <xf numFmtId="172" fontId="12" fillId="0" borderId="18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172" fontId="12" fillId="0" borderId="4" xfId="0" quotePrefix="1" applyFont="1" applyFill="1" applyBorder="1" applyAlignment="1">
      <alignment horizontal="centerContinuous"/>
    </xf>
    <xf numFmtId="172" fontId="12" fillId="0" borderId="6" xfId="0" applyFont="1" applyFill="1" applyBorder="1" applyAlignment="1">
      <alignment horizontal="center"/>
    </xf>
    <xf numFmtId="172" fontId="12" fillId="0" borderId="7" xfId="0" applyFont="1" applyFill="1" applyBorder="1" applyAlignment="1">
      <alignment horizontal="center"/>
    </xf>
    <xf numFmtId="172" fontId="12" fillId="0" borderId="8" xfId="0" applyFont="1" applyFill="1" applyBorder="1" applyAlignment="1">
      <alignment horizontal="center"/>
    </xf>
    <xf numFmtId="172" fontId="12" fillId="0" borderId="9" xfId="0" applyFont="1" applyFill="1" applyBorder="1" applyAlignment="1">
      <alignment horizontal="centerContinuous"/>
    </xf>
    <xf numFmtId="43" fontId="3" fillId="0" borderId="0" xfId="0" applyNumberFormat="1" applyFont="1" applyFill="1" applyBorder="1" applyAlignment="1">
      <alignment horizontal="center"/>
    </xf>
    <xf numFmtId="43" fontId="3" fillId="0" borderId="16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10" fontId="3" fillId="0" borderId="0" xfId="10" applyNumberFormat="1" applyFont="1" applyFill="1" applyBorder="1" applyAlignment="1">
      <alignment horizontal="center"/>
    </xf>
    <xf numFmtId="43" fontId="3" fillId="0" borderId="0" xfId="1" applyFont="1" applyFill="1"/>
    <xf numFmtId="0" fontId="3" fillId="0" borderId="0" xfId="0" applyNumberFormat="1" applyFont="1" applyFill="1" applyBorder="1" applyAlignment="1">
      <alignment horizontal="center"/>
    </xf>
    <xf numFmtId="172" fontId="3" fillId="0" borderId="10" xfId="0" applyFont="1" applyFill="1" applyBorder="1" applyAlignment="1">
      <alignment horizontal="center"/>
    </xf>
    <xf numFmtId="17" fontId="3" fillId="0" borderId="10" xfId="0" applyNumberFormat="1" applyFont="1" applyFill="1" applyBorder="1" applyAlignment="1">
      <alignment horizontal="center"/>
    </xf>
    <xf numFmtId="172" fontId="3" fillId="0" borderId="13" xfId="0" applyFont="1" applyFill="1" applyBorder="1" applyAlignment="1">
      <alignment horizontal="center"/>
    </xf>
    <xf numFmtId="39" fontId="3" fillId="0" borderId="0" xfId="0" quotePrefix="1" applyNumberFormat="1" applyFont="1" applyFill="1" applyBorder="1" applyAlignment="1">
      <alignment horizontal="center"/>
    </xf>
    <xf numFmtId="172" fontId="3" fillId="0" borderId="0" xfId="0" applyFont="1" applyFill="1" applyAlignment="1">
      <alignment horizontal="left"/>
    </xf>
    <xf numFmtId="164" fontId="3" fillId="0" borderId="0" xfId="0" quotePrefix="1" applyNumberFormat="1" applyFont="1" applyFill="1"/>
    <xf numFmtId="170" fontId="3" fillId="0" borderId="0" xfId="2" applyNumberFormat="1" applyFont="1" applyFill="1"/>
    <xf numFmtId="10" fontId="3" fillId="0" borderId="0" xfId="14" applyNumberFormat="1" applyFont="1" applyFill="1"/>
    <xf numFmtId="172" fontId="3" fillId="0" borderId="0" xfId="0" applyFont="1" applyFill="1" applyBorder="1" applyAlignment="1">
      <alignment horizontal="center"/>
    </xf>
    <xf numFmtId="41" fontId="3" fillId="0" borderId="0" xfId="7" applyFont="1" applyFill="1"/>
    <xf numFmtId="41" fontId="3" fillId="0" borderId="0" xfId="7" applyFont="1" applyFill="1" applyAlignment="1">
      <alignment horizontal="center"/>
    </xf>
    <xf numFmtId="8" fontId="3" fillId="0" borderId="0" xfId="7" applyNumberFormat="1" applyFont="1" applyFill="1" applyBorder="1"/>
    <xf numFmtId="44" fontId="3" fillId="0" borderId="0" xfId="2" applyFont="1" applyFill="1"/>
    <xf numFmtId="41" fontId="3" fillId="0" borderId="0" xfId="7" applyFont="1" applyFill="1" applyAlignment="1">
      <alignment horizontal="left"/>
    </xf>
    <xf numFmtId="41" fontId="11" fillId="0" borderId="0" xfId="7" applyFont="1" applyFill="1"/>
    <xf numFmtId="164" fontId="11" fillId="0" borderId="0" xfId="7" applyNumberFormat="1" applyFont="1" applyFill="1"/>
    <xf numFmtId="10" fontId="3" fillId="0" borderId="0" xfId="7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/>
    <xf numFmtId="10" fontId="3" fillId="5" borderId="0" xfId="10" applyNumberFormat="1" applyFont="1" applyFill="1" applyBorder="1" applyAlignment="1">
      <alignment horizontal="center"/>
    </xf>
    <xf numFmtId="172" fontId="10" fillId="0" borderId="0" xfId="0" applyFont="1" applyFill="1"/>
    <xf numFmtId="172" fontId="3" fillId="0" borderId="0" xfId="0" quotePrefix="1" applyFont="1" applyFill="1" applyBorder="1" applyAlignment="1">
      <alignment horizontal="centerContinuous"/>
    </xf>
    <xf numFmtId="41" fontId="7" fillId="0" borderId="0" xfId="0" applyNumberFormat="1" applyFont="1" applyFill="1" applyAlignment="1">
      <alignment horizontal="center"/>
    </xf>
    <xf numFmtId="43" fontId="3" fillId="0" borderId="17" xfId="0" applyNumberFormat="1" applyFont="1" applyFill="1" applyBorder="1" applyAlignment="1">
      <alignment horizontal="center"/>
    </xf>
    <xf numFmtId="43" fontId="3" fillId="0" borderId="9" xfId="0" applyNumberFormat="1" applyFont="1" applyFill="1" applyBorder="1" applyAlignment="1">
      <alignment horizontal="center"/>
    </xf>
    <xf numFmtId="43" fontId="3" fillId="0" borderId="12" xfId="0" applyNumberFormat="1" applyFont="1" applyFill="1" applyBorder="1" applyAlignment="1">
      <alignment horizontal="center"/>
    </xf>
    <xf numFmtId="43" fontId="3" fillId="0" borderId="10" xfId="0" applyNumberFormat="1" applyFont="1" applyFill="1" applyBorder="1" applyAlignment="1">
      <alignment horizontal="center"/>
    </xf>
    <xf numFmtId="43" fontId="3" fillId="0" borderId="18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3" fillId="0" borderId="13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172" fontId="3" fillId="0" borderId="4" xfId="0" applyFont="1" applyFill="1" applyBorder="1"/>
    <xf numFmtId="172" fontId="3" fillId="0" borderId="4" xfId="0" applyFont="1" applyFill="1" applyBorder="1" applyAlignment="1">
      <alignment horizontal="centerContinuous"/>
    </xf>
    <xf numFmtId="172" fontId="3" fillId="0" borderId="15" xfId="0" applyFont="1" applyFill="1" applyBorder="1" applyAlignment="1">
      <alignment horizontal="centerContinuous"/>
    </xf>
    <xf numFmtId="172" fontId="3" fillId="0" borderId="16" xfId="0" applyFont="1" applyFill="1" applyBorder="1" applyAlignment="1">
      <alignment horizontal="center"/>
    </xf>
    <xf numFmtId="172" fontId="3" fillId="0" borderId="12" xfId="0" applyFont="1" applyFill="1" applyBorder="1" applyAlignment="1">
      <alignment horizontal="centerContinuous"/>
    </xf>
    <xf numFmtId="172" fontId="3" fillId="0" borderId="11" xfId="0" applyFont="1" applyFill="1" applyBorder="1" applyAlignment="1">
      <alignment horizontal="center"/>
    </xf>
    <xf numFmtId="172" fontId="3" fillId="0" borderId="16" xfId="0" applyFont="1" applyFill="1" applyBorder="1"/>
    <xf numFmtId="17" fontId="3" fillId="0" borderId="10" xfId="0" applyNumberFormat="1" applyFont="1" applyFill="1" applyBorder="1" applyAlignment="1">
      <alignment horizontal="centerContinuous"/>
    </xf>
    <xf numFmtId="172" fontId="3" fillId="0" borderId="18" xfId="0" applyFont="1" applyFill="1" applyBorder="1"/>
    <xf numFmtId="172" fontId="3" fillId="0" borderId="13" xfId="0" applyFont="1" applyFill="1" applyBorder="1" applyAlignment="1">
      <alignment horizontal="centerContinuous"/>
    </xf>
    <xf numFmtId="172" fontId="3" fillId="0" borderId="14" xfId="0" applyFont="1" applyFill="1" applyBorder="1" applyAlignment="1">
      <alignment horizontal="center"/>
    </xf>
    <xf numFmtId="172" fontId="3" fillId="0" borderId="19" xfId="0" applyFont="1" applyFill="1" applyBorder="1" applyAlignment="1">
      <alignment horizontal="center"/>
    </xf>
    <xf numFmtId="172" fontId="3" fillId="0" borderId="20" xfId="0" applyFont="1" applyFill="1" applyBorder="1" applyAlignment="1">
      <alignment horizontal="center"/>
    </xf>
    <xf numFmtId="172" fontId="3" fillId="0" borderId="21" xfId="0" applyFont="1" applyFill="1" applyBorder="1" applyAlignment="1">
      <alignment horizontal="center"/>
    </xf>
    <xf numFmtId="0" fontId="3" fillId="0" borderId="21" xfId="10" applyFont="1" applyFill="1" applyBorder="1" applyAlignment="1">
      <alignment horizontal="center"/>
    </xf>
    <xf numFmtId="172" fontId="3" fillId="0" borderId="0" xfId="0" applyFont="1" applyFill="1" applyBorder="1" applyAlignment="1"/>
    <xf numFmtId="172" fontId="3" fillId="0" borderId="0" xfId="0" applyFont="1" applyFill="1" applyAlignment="1"/>
    <xf numFmtId="1" fontId="3" fillId="0" borderId="0" xfId="0" applyNumberFormat="1" applyFont="1" applyFill="1" applyAlignment="1">
      <alignment horizontal="center"/>
    </xf>
    <xf numFmtId="172" fontId="3" fillId="0" borderId="10" xfId="9" applyFont="1" applyFill="1" applyBorder="1"/>
    <xf numFmtId="172" fontId="2" fillId="0" borderId="4" xfId="9" applyFont="1" applyFill="1" applyBorder="1" applyAlignment="1">
      <alignment horizontal="center"/>
    </xf>
    <xf numFmtId="172" fontId="2" fillId="0" borderId="4" xfId="9" applyFont="1" applyFill="1" applyBorder="1" applyAlignment="1">
      <alignment horizontal="center" wrapText="1"/>
    </xf>
    <xf numFmtId="172" fontId="3" fillId="0" borderId="0" xfId="9" applyFont="1" applyFill="1" applyBorder="1"/>
    <xf numFmtId="172" fontId="3" fillId="0" borderId="0" xfId="9" applyFont="1" applyFill="1"/>
    <xf numFmtId="172" fontId="13" fillId="0" borderId="14" xfId="9" applyFont="1" applyFill="1" applyBorder="1" applyAlignment="1">
      <alignment horizontal="centerContinuous"/>
    </xf>
    <xf numFmtId="172" fontId="16" fillId="0" borderId="14" xfId="9" quotePrefix="1" applyFont="1" applyFill="1" applyBorder="1" applyAlignment="1">
      <alignment horizontal="center" wrapText="1"/>
    </xf>
    <xf numFmtId="172" fontId="16" fillId="0" borderId="14" xfId="9" applyFont="1" applyFill="1" applyBorder="1" applyAlignment="1">
      <alignment horizontal="center" wrapText="1"/>
    </xf>
    <xf numFmtId="172" fontId="6" fillId="0" borderId="0" xfId="9" quotePrefix="1" applyFont="1" applyFill="1" applyBorder="1" applyAlignment="1">
      <alignment horizontal="center"/>
    </xf>
    <xf numFmtId="0" fontId="3" fillId="0" borderId="0" xfId="9" applyNumberFormat="1" applyFont="1" applyFill="1"/>
    <xf numFmtId="6" fontId="3" fillId="0" borderId="0" xfId="9" applyNumberFormat="1" applyFont="1" applyFill="1" applyAlignment="1">
      <alignment horizontal="right"/>
    </xf>
    <xf numFmtId="8" fontId="3" fillId="0" borderId="0" xfId="9" applyNumberFormat="1" applyFont="1" applyFill="1" applyAlignment="1">
      <alignment horizontal="right"/>
    </xf>
    <xf numFmtId="8" fontId="3" fillId="0" borderId="0" xfId="9" applyNumberFormat="1" applyFont="1" applyFill="1" applyBorder="1" applyAlignment="1">
      <alignment horizontal="right"/>
    </xf>
    <xf numFmtId="165" fontId="3" fillId="0" borderId="0" xfId="9" applyNumberFormat="1" applyFont="1" applyFill="1" applyAlignment="1">
      <alignment horizontal="center"/>
    </xf>
    <xf numFmtId="0" fontId="3" fillId="0" borderId="0" xfId="9" applyNumberFormat="1" applyFont="1" applyFill="1" applyBorder="1"/>
    <xf numFmtId="165" fontId="3" fillId="0" borderId="0" xfId="9" applyNumberFormat="1" applyFont="1" applyFill="1" applyBorder="1" applyAlignment="1">
      <alignment horizontal="center"/>
    </xf>
    <xf numFmtId="8" fontId="3" fillId="0" borderId="0" xfId="9" applyNumberFormat="1" applyFont="1" applyFill="1" applyBorder="1" applyAlignment="1">
      <alignment horizontal="center"/>
    </xf>
    <xf numFmtId="8" fontId="3" fillId="0" borderId="0" xfId="9" applyNumberFormat="1" applyFont="1" applyFill="1" applyBorder="1"/>
    <xf numFmtId="172" fontId="3" fillId="0" borderId="0" xfId="8" applyFont="1" applyFill="1"/>
    <xf numFmtId="9" fontId="3" fillId="0" borderId="0" xfId="9" applyNumberFormat="1" applyFont="1" applyFill="1"/>
    <xf numFmtId="10" fontId="3" fillId="0" borderId="0" xfId="9" applyNumberFormat="1" applyFont="1" applyFill="1"/>
    <xf numFmtId="172" fontId="4" fillId="0" borderId="0" xfId="11" applyFont="1" applyFill="1" applyAlignment="1">
      <alignment horizontal="centerContinuous"/>
    </xf>
    <xf numFmtId="172" fontId="8" fillId="0" borderId="0" xfId="11" applyFont="1" applyFill="1" applyAlignment="1">
      <alignment horizontal="centerContinuous"/>
    </xf>
    <xf numFmtId="172" fontId="3" fillId="0" borderId="0" xfId="12" applyFont="1"/>
    <xf numFmtId="172" fontId="1" fillId="0" borderId="0" xfId="12"/>
    <xf numFmtId="172" fontId="4" fillId="0" borderId="0" xfId="12" applyFont="1" applyAlignment="1">
      <alignment horizontal="centerContinuous"/>
    </xf>
    <xf numFmtId="0" fontId="2" fillId="0" borderId="0" xfId="12" applyNumberFormat="1" applyFont="1" applyAlignment="1">
      <alignment horizontal="center"/>
    </xf>
    <xf numFmtId="1" fontId="2" fillId="0" borderId="0" xfId="12" applyNumberFormat="1" applyFont="1" applyAlignment="1">
      <alignment horizontal="center"/>
    </xf>
    <xf numFmtId="172" fontId="2" fillId="0" borderId="15" xfId="12" applyFont="1" applyBorder="1" applyAlignment="1">
      <alignment horizontal="center"/>
    </xf>
    <xf numFmtId="164" fontId="3" fillId="0" borderId="0" xfId="12" applyNumberFormat="1" applyFont="1"/>
    <xf numFmtId="164" fontId="11" fillId="0" borderId="0" xfId="12" applyNumberFormat="1" applyFont="1"/>
    <xf numFmtId="1" fontId="3" fillId="0" borderId="0" xfId="12" applyNumberFormat="1" applyFont="1" applyFill="1"/>
    <xf numFmtId="167" fontId="3" fillId="0" borderId="0" xfId="14" applyNumberFormat="1" applyFont="1"/>
    <xf numFmtId="168" fontId="6" fillId="0" borderId="0" xfId="12" quotePrefix="1" applyNumberFormat="1" applyFont="1" applyAlignment="1">
      <alignment horizontal="center"/>
    </xf>
    <xf numFmtId="172" fontId="3" fillId="0" borderId="0" xfId="12" applyNumberFormat="1" applyFont="1"/>
    <xf numFmtId="172" fontId="3" fillId="0" borderId="0" xfId="9" quotePrefix="1" applyFont="1" applyFill="1"/>
    <xf numFmtId="41" fontId="3" fillId="0" borderId="0" xfId="7" quotePrefix="1" applyFont="1" applyFill="1"/>
    <xf numFmtId="172" fontId="2" fillId="0" borderId="7" xfId="9" applyFont="1" applyFill="1" applyBorder="1" applyAlignment="1">
      <alignment horizontal="centerContinuous"/>
    </xf>
    <xf numFmtId="172" fontId="2" fillId="0" borderId="15" xfId="9" applyFont="1" applyFill="1" applyBorder="1" applyAlignment="1">
      <alignment horizontal="centerContinuous"/>
    </xf>
    <xf numFmtId="172" fontId="2" fillId="0" borderId="8" xfId="9" applyFont="1" applyFill="1" applyBorder="1" applyAlignment="1">
      <alignment horizontal="centerContinuous"/>
    </xf>
    <xf numFmtId="172" fontId="3" fillId="0" borderId="6" xfId="9" applyFont="1" applyFill="1" applyBorder="1" applyAlignment="1">
      <alignment horizontal="centerContinuous"/>
    </xf>
    <xf numFmtId="172" fontId="3" fillId="0" borderId="7" xfId="9" applyFont="1" applyFill="1" applyBorder="1" applyAlignment="1">
      <alignment horizontal="centerContinuous"/>
    </xf>
    <xf numFmtId="172" fontId="3" fillId="0" borderId="8" xfId="9" applyFont="1" applyFill="1" applyBorder="1" applyAlignment="1">
      <alignment horizontal="centerContinuous"/>
    </xf>
    <xf numFmtId="8" fontId="3" fillId="0" borderId="0" xfId="0" quotePrefix="1" applyNumberFormat="1" applyFont="1" applyFill="1" applyBorder="1" applyAlignment="1">
      <alignment horizontal="center"/>
    </xf>
    <xf numFmtId="172" fontId="0" fillId="0" borderId="0" xfId="0" applyFill="1" applyAlignment="1">
      <alignment horizontal="right"/>
    </xf>
    <xf numFmtId="172" fontId="0" fillId="0" borderId="0" xfId="0" applyFill="1"/>
    <xf numFmtId="43" fontId="0" fillId="0" borderId="0" xfId="1" applyFont="1" applyFill="1"/>
  </cellXfs>
  <cellStyles count="18">
    <cellStyle name="Comma" xfId="1" builtinId="3"/>
    <cellStyle name="Currency" xfId="2" builtinId="4"/>
    <cellStyle name="Currency No Comma" xfId="3"/>
    <cellStyle name="Input" xfId="4" builtinId="20" customBuiltin="1"/>
    <cellStyle name="MCP" xfId="5"/>
    <cellStyle name="noninput" xfId="6"/>
    <cellStyle name="Normal" xfId="0" builtinId="0"/>
    <cellStyle name="Normal_DRR AC Study - Utah Valley - 53 MW 90 CF (2.28.2005)" xfId="7"/>
    <cellStyle name="Normal_OR AC Sch 37 - AC  Study (Gold) _2009 06 19" xfId="8"/>
    <cellStyle name="Normal_OR AC Sch 37 - AC  Study (Gold) _2009 07 07" xfId="9"/>
    <cellStyle name="Normal_UT AC 2004 - AC Study (As Ordered by Commission)" xfId="10"/>
    <cellStyle name="Normal_WA AC 2009 - AC Study - 2009 12 09 (pipeline)" xfId="11"/>
    <cellStyle name="Normal_WA AC 2009 - L&amp;R Study_2009 12 08 (vs 2008)" xfId="12"/>
    <cellStyle name="Password" xfId="13"/>
    <cellStyle name="Percent" xfId="14" builtinId="5"/>
    <cellStyle name="Unprot" xfId="15"/>
    <cellStyle name="Unprot$" xfId="16"/>
    <cellStyle name="Unprotect" xfId="17"/>
  </cellStyles>
  <dxfs count="1">
    <dxf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PC\GRID%20Studies\WA%20(GRC%20CY2005)\Testimony\Testimony%20Runs_Scenarios\1.1_WA%20NPC%20GOLD_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RAW\Cathie\__Washington\Advice%20Letter%20Filings\Avoided%20Costs%20and%20Sch%2037\WA%20AC%202007%20-%20AC%20Study%20-%202007%2012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RAW\Cathie\__Washington\Advice%20Letter%20Filings\Avoided%20Costs%20and%20Sch%2037\WA%20AC%202009%20-%20AC%20Study%20-%202009%2012%2009%20(pipeline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neric\Attributes%20&amp;%20Data%20Series\_All%20Data%20Series%20Files\GNw_Indexed%20STF%20(Confidential)%20(STF%20Ext%2028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Data"/>
      <sheetName val="Delta"/>
      <sheetName val="NPC"/>
      <sheetName val="Base"/>
      <sheetName val="Check MWh"/>
      <sheetName val="Check Dollars"/>
      <sheetName val="Other Costs"/>
      <sheetName val="OtherCostTable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E-W Assignments"/>
      <sheetName val="L&amp;R (Monthly) (2)"/>
    </sheetNames>
    <sheetDataSet>
      <sheetData sheetId="0" refreshError="1"/>
      <sheetData sheetId="1" refreshError="1"/>
      <sheetData sheetId="2" refreshError="1">
        <row r="3">
          <cell r="F3">
            <v>38808</v>
          </cell>
          <cell r="G3">
            <v>38838</v>
          </cell>
          <cell r="H3">
            <v>38869</v>
          </cell>
          <cell r="I3">
            <v>38899</v>
          </cell>
          <cell r="J3">
            <v>38930</v>
          </cell>
          <cell r="K3">
            <v>38961</v>
          </cell>
          <cell r="L3">
            <v>38991</v>
          </cell>
          <cell r="M3">
            <v>39022</v>
          </cell>
          <cell r="N3">
            <v>39052</v>
          </cell>
          <cell r="O3">
            <v>39083</v>
          </cell>
          <cell r="P3">
            <v>39114</v>
          </cell>
          <cell r="Q3">
            <v>39142</v>
          </cell>
        </row>
        <row r="506">
          <cell r="C506" t="str">
            <v>Carbon</v>
          </cell>
          <cell r="E506">
            <v>11.332745301858594</v>
          </cell>
          <cell r="F506">
            <v>11.309296970303468</v>
          </cell>
          <cell r="G506">
            <v>11.3005570384472</v>
          </cell>
          <cell r="H506">
            <v>11.301055161537024</v>
          </cell>
          <cell r="I506">
            <v>11.302979267672056</v>
          </cell>
          <cell r="J506">
            <v>11.302009995602388</v>
          </cell>
          <cell r="K506">
            <v>11.297090043095372</v>
          </cell>
          <cell r="L506">
            <v>11.41953689547204</v>
          </cell>
          <cell r="M506">
            <v>11.298563003077035</v>
          </cell>
          <cell r="N506">
            <v>11.292925107258172</v>
          </cell>
          <cell r="O506">
            <v>11.438109999566963</v>
          </cell>
          <cell r="P506">
            <v>11.431769498813736</v>
          </cell>
          <cell r="Q506">
            <v>11.362441533496465</v>
          </cell>
        </row>
        <row r="507">
          <cell r="C507" t="str">
            <v>Cholla</v>
          </cell>
          <cell r="E507">
            <v>10.632661765308367</v>
          </cell>
          <cell r="F507">
            <v>10.630610017909371</v>
          </cell>
          <cell r="G507">
            <v>10.630508532938446</v>
          </cell>
          <cell r="H507">
            <v>10.632610547619256</v>
          </cell>
          <cell r="I507">
            <v>10.626255508361526</v>
          </cell>
          <cell r="J507">
            <v>10.627176922366177</v>
          </cell>
          <cell r="K507">
            <v>10.623997415659671</v>
          </cell>
          <cell r="L507">
            <v>10.621491816696652</v>
          </cell>
          <cell r="M507">
            <v>10.629212563598491</v>
          </cell>
          <cell r="N507">
            <v>10.628107160461413</v>
          </cell>
          <cell r="O507">
            <v>10.653585343600515</v>
          </cell>
          <cell r="P507">
            <v>10.650418481297782</v>
          </cell>
          <cell r="Q507">
            <v>10.646326627118652</v>
          </cell>
        </row>
        <row r="508">
          <cell r="C508" t="str">
            <v>Colstrip</v>
          </cell>
          <cell r="E508">
            <v>10.60799773198889</v>
          </cell>
          <cell r="F508">
            <v>10.60799773198889</v>
          </cell>
          <cell r="G508">
            <v>10.60799773198889</v>
          </cell>
          <cell r="H508">
            <v>10.60799773198889</v>
          </cell>
          <cell r="I508">
            <v>10.60799773198889</v>
          </cell>
          <cell r="J508">
            <v>10.60799773198889</v>
          </cell>
          <cell r="K508">
            <v>10.60799773198889</v>
          </cell>
          <cell r="L508">
            <v>10.607997731988892</v>
          </cell>
          <cell r="M508">
            <v>10.60799773198889</v>
          </cell>
          <cell r="N508">
            <v>10.60799773198889</v>
          </cell>
          <cell r="O508">
            <v>10.60799773198889</v>
          </cell>
          <cell r="P508">
            <v>10.60799773198889</v>
          </cell>
          <cell r="Q508">
            <v>10.60799773198889</v>
          </cell>
        </row>
        <row r="509">
          <cell r="C509" t="str">
            <v>Craig</v>
          </cell>
          <cell r="E509">
            <v>10.310716359936839</v>
          </cell>
          <cell r="F509">
            <v>10.25771434931368</v>
          </cell>
          <cell r="G509">
            <v>10.316435603466676</v>
          </cell>
          <cell r="H509">
            <v>10.353120110232597</v>
          </cell>
          <cell r="I509">
            <v>10.303865583206882</v>
          </cell>
          <cell r="J509">
            <v>10.333357567087521</v>
          </cell>
          <cell r="K509">
            <v>10.32864140783912</v>
          </cell>
          <cell r="L509">
            <v>10.330079128416806</v>
          </cell>
          <cell r="M509">
            <v>10.315386679255223</v>
          </cell>
          <cell r="N509">
            <v>10.285463069378029</v>
          </cell>
          <cell r="O509">
            <v>10.295286473424206</v>
          </cell>
          <cell r="P509">
            <v>10.286484670893646</v>
          </cell>
          <cell r="Q509">
            <v>10.306764880127433</v>
          </cell>
        </row>
        <row r="510">
          <cell r="C510" t="str">
            <v>Dave Johnston</v>
          </cell>
          <cell r="E510">
            <v>11.084899187500211</v>
          </cell>
          <cell r="F510">
            <v>11.08376629367026</v>
          </cell>
          <cell r="G510">
            <v>11.083766293670262</v>
          </cell>
          <cell r="H510">
            <v>11.08376629367026</v>
          </cell>
          <cell r="I510">
            <v>11.083766293670262</v>
          </cell>
          <cell r="J510">
            <v>11.083766293670262</v>
          </cell>
          <cell r="K510">
            <v>11.089320903185753</v>
          </cell>
          <cell r="L510">
            <v>11.093957389012177</v>
          </cell>
          <cell r="M510">
            <v>11.08376629367026</v>
          </cell>
          <cell r="N510">
            <v>11.083766293670262</v>
          </cell>
          <cell r="O510">
            <v>11.083766293670262</v>
          </cell>
          <cell r="P510">
            <v>11.083766293670264</v>
          </cell>
          <cell r="Q510">
            <v>11.083765162845184</v>
          </cell>
        </row>
        <row r="511">
          <cell r="C511" t="str">
            <v>Hayden</v>
          </cell>
          <cell r="E511">
            <v>10.498234161610236</v>
          </cell>
          <cell r="F511">
            <v>10.497301774826404</v>
          </cell>
          <cell r="G511">
            <v>10.510679616048668</v>
          </cell>
          <cell r="H511">
            <v>10.570955276449498</v>
          </cell>
          <cell r="I511">
            <v>10.478210564635768</v>
          </cell>
          <cell r="J511">
            <v>10.538139585294815</v>
          </cell>
          <cell r="K511">
            <v>10.531126562402344</v>
          </cell>
          <cell r="L511">
            <v>10.52306949171683</v>
          </cell>
          <cell r="M511">
            <v>10.515094990511964</v>
          </cell>
          <cell r="N511">
            <v>10.434670706896089</v>
          </cell>
          <cell r="O511">
            <v>10.460044358483168</v>
          </cell>
          <cell r="P511">
            <v>10.419338870317045</v>
          </cell>
          <cell r="Q511">
            <v>10.49825484335755</v>
          </cell>
        </row>
        <row r="512">
          <cell r="C512" t="str">
            <v>Hunter</v>
          </cell>
          <cell r="E512">
            <v>10.583494364671285</v>
          </cell>
          <cell r="F512">
            <v>10.581637513647506</v>
          </cell>
          <cell r="G512">
            <v>10.581637513647507</v>
          </cell>
          <cell r="H512">
            <v>10.581637513647506</v>
          </cell>
          <cell r="I512">
            <v>10.584933972714499</v>
          </cell>
          <cell r="J512">
            <v>10.584933972714499</v>
          </cell>
          <cell r="K512">
            <v>10.581637513647506</v>
          </cell>
          <cell r="L512">
            <v>10.581637513647507</v>
          </cell>
          <cell r="M512">
            <v>10.581637513647506</v>
          </cell>
          <cell r="N512">
            <v>10.581637513647507</v>
          </cell>
          <cell r="O512">
            <v>10.583240528077168</v>
          </cell>
          <cell r="P512">
            <v>10.584677992892505</v>
          </cell>
          <cell r="Q512">
            <v>10.596427684060442</v>
          </cell>
        </row>
        <row r="513">
          <cell r="C513" t="str">
            <v>Huntington</v>
          </cell>
          <cell r="E513">
            <v>10.208350782899959</v>
          </cell>
          <cell r="F513">
            <v>10.206827512298254</v>
          </cell>
          <cell r="G513">
            <v>10.206723890406579</v>
          </cell>
          <cell r="H513">
            <v>10.206729394673816</v>
          </cell>
          <cell r="I513">
            <v>10.206720780024421</v>
          </cell>
          <cell r="J513">
            <v>10.206720757288588</v>
          </cell>
          <cell r="K513">
            <v>10.140376273761689</v>
          </cell>
          <cell r="L513">
            <v>10.289690466339849</v>
          </cell>
          <cell r="M513">
            <v>10.206720770132756</v>
          </cell>
          <cell r="N513">
            <v>10.206719261281439</v>
          </cell>
          <cell r="O513">
            <v>10.210313531714624</v>
          </cell>
          <cell r="P513">
            <v>10.210395523977827</v>
          </cell>
          <cell r="Q513">
            <v>10.208158194035892</v>
          </cell>
        </row>
        <row r="514">
          <cell r="C514" t="str">
            <v>Jim Bridger</v>
          </cell>
          <cell r="E514">
            <v>10.463718027555124</v>
          </cell>
          <cell r="F514">
            <v>10.468303922292362</v>
          </cell>
          <cell r="G514">
            <v>10.468899247431697</v>
          </cell>
          <cell r="H514">
            <v>10.484693009057516</v>
          </cell>
          <cell r="I514">
            <v>10.458177498576012</v>
          </cell>
          <cell r="J514">
            <v>10.465204420048357</v>
          </cell>
          <cell r="K514">
            <v>10.474068251746823</v>
          </cell>
          <cell r="L514">
            <v>10.461242356684313</v>
          </cell>
          <cell r="M514">
            <v>10.457901316853558</v>
          </cell>
          <cell r="N514">
            <v>10.455615423902165</v>
          </cell>
          <cell r="O514">
            <v>10.457003714752496</v>
          </cell>
          <cell r="P514">
            <v>10.45568573667137</v>
          </cell>
          <cell r="Q514">
            <v>10.46178535635692</v>
          </cell>
        </row>
        <row r="515">
          <cell r="C515" t="str">
            <v>Naughton</v>
          </cell>
          <cell r="E515">
            <v>10.657198694516692</v>
          </cell>
          <cell r="F515">
            <v>10.668968101293826</v>
          </cell>
          <cell r="G515">
            <v>10.643774918543222</v>
          </cell>
          <cell r="H515">
            <v>10.679226114435185</v>
          </cell>
          <cell r="I515">
            <v>10.654446595785819</v>
          </cell>
          <cell r="J515">
            <v>10.671237218567242</v>
          </cell>
          <cell r="K515">
            <v>10.66879106839608</v>
          </cell>
          <cell r="L515">
            <v>10.66055936409527</v>
          </cell>
          <cell r="M515">
            <v>10.654585136937117</v>
          </cell>
          <cell r="N515">
            <v>10.620922348930227</v>
          </cell>
          <cell r="O515">
            <v>10.662464227553711</v>
          </cell>
          <cell r="P515">
            <v>10.654718312186214</v>
          </cell>
          <cell r="Q515">
            <v>10.654378216855507</v>
          </cell>
        </row>
        <row r="516">
          <cell r="C516" t="str">
            <v>Wyodak</v>
          </cell>
          <cell r="E516">
            <v>12.058820898197473</v>
          </cell>
          <cell r="F516">
            <v>12.048998113092047</v>
          </cell>
          <cell r="G516">
            <v>12.056003155765762</v>
          </cell>
          <cell r="H516">
            <v>12.066995042024766</v>
          </cell>
          <cell r="I516">
            <v>12.092993834796708</v>
          </cell>
          <cell r="J516">
            <v>12.08899091073625</v>
          </cell>
          <cell r="K516">
            <v>12.066995042024766</v>
          </cell>
          <cell r="L516">
            <v>12.053006817121506</v>
          </cell>
          <cell r="M516">
            <v>12.045997607061469</v>
          </cell>
          <cell r="N516">
            <v>12.045997607061469</v>
          </cell>
          <cell r="O516">
            <v>12.049038729022763</v>
          </cell>
          <cell r="P516">
            <v>12.046028977272822</v>
          </cell>
          <cell r="Q516">
            <v>12.04606766361451</v>
          </cell>
        </row>
        <row r="518">
          <cell r="C518" t="str">
            <v>Currant Creek</v>
          </cell>
          <cell r="E518">
            <v>7.4696277633119559</v>
          </cell>
          <cell r="F518">
            <v>7.3029856118055063</v>
          </cell>
          <cell r="G518">
            <v>7.5674088693343977</v>
          </cell>
          <cell r="H518">
            <v>7.6098927512295091</v>
          </cell>
          <cell r="I518">
            <v>7.5549484047009301</v>
          </cell>
          <cell r="J518">
            <v>7.6042449838553035</v>
          </cell>
          <cell r="K518">
            <v>7.5860249389115983</v>
          </cell>
          <cell r="L518">
            <v>7.5579643026647823</v>
          </cell>
          <cell r="M518">
            <v>7.3956942948208129</v>
          </cell>
          <cell r="N518">
            <v>7.3652716477646845</v>
          </cell>
          <cell r="O518">
            <v>7.3903565784119447</v>
          </cell>
          <cell r="P518">
            <v>7.3926443035960556</v>
          </cell>
          <cell r="Q518">
            <v>7.3466407807432397</v>
          </cell>
        </row>
        <row r="519">
          <cell r="C519" t="str">
            <v>Gadsby</v>
          </cell>
          <cell r="E519">
            <v>12.27373477693726</v>
          </cell>
          <cell r="F519">
            <v>0</v>
          </cell>
          <cell r="G519">
            <v>0</v>
          </cell>
          <cell r="H519">
            <v>12.304904049752553</v>
          </cell>
          <cell r="I519">
            <v>12.282891209820026</v>
          </cell>
          <cell r="J519">
            <v>12.318514271318952</v>
          </cell>
          <cell r="K519">
            <v>12.150322248510422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C520" t="str">
            <v>Gadsby CT</v>
          </cell>
          <cell r="E520">
            <v>11.273581318768189</v>
          </cell>
          <cell r="F520">
            <v>0</v>
          </cell>
          <cell r="G520">
            <v>12.374266135693404</v>
          </cell>
          <cell r="H520">
            <v>11.523854708585827</v>
          </cell>
          <cell r="I520">
            <v>11.007919910247555</v>
          </cell>
          <cell r="J520">
            <v>11.111867319117808</v>
          </cell>
          <cell r="K520">
            <v>10.951208418933735</v>
          </cell>
          <cell r="L520">
            <v>12.004085033928732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C521" t="str">
            <v>Hermiston</v>
          </cell>
          <cell r="E521">
            <v>7.2853943758807373</v>
          </cell>
          <cell r="F521">
            <v>7.3019460327908083</v>
          </cell>
          <cell r="G521">
            <v>7.3259157330208087</v>
          </cell>
          <cell r="H521">
            <v>7.3035344787703576</v>
          </cell>
          <cell r="I521">
            <v>7.2748634931310932</v>
          </cell>
          <cell r="J521">
            <v>7.2551245423337969</v>
          </cell>
          <cell r="K521">
            <v>7.2490318328698358</v>
          </cell>
          <cell r="L521">
            <v>7.2496309086111426</v>
          </cell>
          <cell r="M521">
            <v>7.2644848981589822</v>
          </cell>
          <cell r="N521">
            <v>7.2965654866243268</v>
          </cell>
          <cell r="O521">
            <v>7.3264846266172956</v>
          </cell>
          <cell r="P521">
            <v>7.3141092157070284</v>
          </cell>
          <cell r="Q521">
            <v>7.2822351222477106</v>
          </cell>
        </row>
        <row r="522">
          <cell r="C522" t="str">
            <v>Lake side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</row>
        <row r="523">
          <cell r="C523" t="str">
            <v>Little Mountain</v>
          </cell>
          <cell r="E523">
            <v>15.966280871455549</v>
          </cell>
          <cell r="F523">
            <v>15.856016552574314</v>
          </cell>
          <cell r="G523">
            <v>16.013008418668136</v>
          </cell>
          <cell r="H523">
            <v>0</v>
          </cell>
          <cell r="I523">
            <v>24.72801105495844</v>
          </cell>
          <cell r="J523">
            <v>24.728011770252134</v>
          </cell>
          <cell r="K523">
            <v>0</v>
          </cell>
          <cell r="L523">
            <v>16.013001033892763</v>
          </cell>
          <cell r="M523">
            <v>15.856021349159398</v>
          </cell>
          <cell r="N523">
            <v>15.855988725933488</v>
          </cell>
          <cell r="O523">
            <v>15.855985202549364</v>
          </cell>
          <cell r="P523">
            <v>15.855984840511606</v>
          </cell>
          <cell r="Q523">
            <v>15.856005236987482</v>
          </cell>
        </row>
        <row r="524">
          <cell r="C524" t="str">
            <v>West Valley</v>
          </cell>
          <cell r="E524">
            <v>10.548227872357502</v>
          </cell>
          <cell r="F524">
            <v>11.264069947983387</v>
          </cell>
          <cell r="G524">
            <v>10.744704207106915</v>
          </cell>
          <cell r="H524">
            <v>10.219520583767691</v>
          </cell>
          <cell r="I524">
            <v>9.8062079201595864</v>
          </cell>
          <cell r="J524">
            <v>9.8692401399152878</v>
          </cell>
          <cell r="K524">
            <v>9.9781895498277517</v>
          </cell>
          <cell r="L524">
            <v>10.426573556643806</v>
          </cell>
          <cell r="M524">
            <v>11.148001235118469</v>
          </cell>
          <cell r="N524">
            <v>11.247608366218577</v>
          </cell>
          <cell r="O524">
            <v>11.33391223454278</v>
          </cell>
          <cell r="P524">
            <v>11.326728624625227</v>
          </cell>
          <cell r="Q524">
            <v>11.328026146305573</v>
          </cell>
        </row>
        <row r="571">
          <cell r="C571" t="str">
            <v>Blundell</v>
          </cell>
          <cell r="E571">
            <v>0.90265150684931506</v>
          </cell>
          <cell r="F571">
            <v>0.93069999999999997</v>
          </cell>
          <cell r="G571">
            <v>0.93069999999999997</v>
          </cell>
          <cell r="H571">
            <v>0.93069999999999997</v>
          </cell>
          <cell r="I571">
            <v>0.93069999999999997</v>
          </cell>
          <cell r="J571">
            <v>0.93069999999999997</v>
          </cell>
          <cell r="K571">
            <v>0.68251333333333331</v>
          </cell>
          <cell r="L571">
            <v>0.84063225806451614</v>
          </cell>
          <cell r="M571">
            <v>0.93069999999999997</v>
          </cell>
          <cell r="N571">
            <v>0.93069999999999997</v>
          </cell>
          <cell r="O571">
            <v>0.93069999999999997</v>
          </cell>
          <cell r="P571">
            <v>0.93069999999999997</v>
          </cell>
          <cell r="Q571">
            <v>0.93069999999999997</v>
          </cell>
        </row>
        <row r="573">
          <cell r="C573" t="str">
            <v>Carbon</v>
          </cell>
          <cell r="E573">
            <v>0.87026625711081007</v>
          </cell>
          <cell r="F573">
            <v>0.91200135380329461</v>
          </cell>
          <cell r="G573">
            <v>0.92249201265941483</v>
          </cell>
          <cell r="H573">
            <v>0.92051730327034875</v>
          </cell>
          <cell r="I573">
            <v>0.91492287608620904</v>
          </cell>
          <cell r="J573">
            <v>0.91565959335927738</v>
          </cell>
          <cell r="K573">
            <v>0.9287253472302972</v>
          </cell>
          <cell r="L573">
            <v>0.66628086606807946</v>
          </cell>
          <cell r="M573">
            <v>0.92484929860303611</v>
          </cell>
          <cell r="N573">
            <v>0.93648796885158792</v>
          </cell>
          <cell r="O573">
            <v>0.77206289931857974</v>
          </cell>
          <cell r="P573">
            <v>0.77730553151820325</v>
          </cell>
          <cell r="Q573">
            <v>0.84950765061577893</v>
          </cell>
        </row>
        <row r="574">
          <cell r="C574" t="str">
            <v>Cholla</v>
          </cell>
          <cell r="E574">
            <v>0.79285759836277336</v>
          </cell>
          <cell r="F574">
            <v>0.81452117262426904</v>
          </cell>
          <cell r="G574">
            <v>0.81584471837860773</v>
          </cell>
          <cell r="H574">
            <v>0.81362333315058488</v>
          </cell>
          <cell r="I574">
            <v>0.82245301711941143</v>
          </cell>
          <cell r="J574">
            <v>0.82272298068760619</v>
          </cell>
          <cell r="K574">
            <v>0.82748401436403507</v>
          </cell>
          <cell r="L574">
            <v>0.8309432197226938</v>
          </cell>
          <cell r="M574">
            <v>0.8167716516081871</v>
          </cell>
          <cell r="N574">
            <v>0.81471574805461233</v>
          </cell>
          <cell r="O574">
            <v>0.77475038207413693</v>
          </cell>
          <cell r="P574">
            <v>0.55617312840695488</v>
          </cell>
          <cell r="Q574">
            <v>0.78463995507923034</v>
          </cell>
        </row>
        <row r="575">
          <cell r="C575" t="str">
            <v>Colstrip</v>
          </cell>
          <cell r="E575">
            <v>0.86105595538689372</v>
          </cell>
          <cell r="F575">
            <v>0.89540006756756763</v>
          </cell>
          <cell r="G575">
            <v>0.89540006756756751</v>
          </cell>
          <cell r="H575">
            <v>0.89540006756756763</v>
          </cell>
          <cell r="I575">
            <v>0.89540006756756751</v>
          </cell>
          <cell r="J575">
            <v>0.89540006756756751</v>
          </cell>
          <cell r="K575">
            <v>0.89540006756756763</v>
          </cell>
          <cell r="L575">
            <v>0.49102584350479511</v>
          </cell>
          <cell r="M575">
            <v>0.89540006756756763</v>
          </cell>
          <cell r="N575">
            <v>0.89540006756756751</v>
          </cell>
          <cell r="O575">
            <v>0.89540006756756751</v>
          </cell>
          <cell r="P575">
            <v>0.89540006756756751</v>
          </cell>
          <cell r="Q575">
            <v>0.89540006756756751</v>
          </cell>
        </row>
        <row r="576">
          <cell r="C576" t="str">
            <v>Craig</v>
          </cell>
          <cell r="E576">
            <v>0.86813276192472677</v>
          </cell>
          <cell r="F576">
            <v>0.56507794491582497</v>
          </cell>
          <cell r="G576">
            <v>0.90925060425219939</v>
          </cell>
          <cell r="H576">
            <v>0.86240356556397302</v>
          </cell>
          <cell r="I576">
            <v>0.92811032675953087</v>
          </cell>
          <cell r="J576">
            <v>0.88872192069892475</v>
          </cell>
          <cell r="K576">
            <v>0.8953849426936028</v>
          </cell>
          <cell r="L576">
            <v>0.89366759579667643</v>
          </cell>
          <cell r="M576">
            <v>0.91092068085016842</v>
          </cell>
          <cell r="N576">
            <v>0.95525853905995439</v>
          </cell>
          <cell r="O576">
            <v>0.93980326090746169</v>
          </cell>
          <cell r="P576">
            <v>0.95345421527777774</v>
          </cell>
          <cell r="Q576">
            <v>0.71609504459107198</v>
          </cell>
        </row>
        <row r="577">
          <cell r="C577" t="str">
            <v>Dave Johnston</v>
          </cell>
          <cell r="E577">
            <v>0.8709541822663861</v>
          </cell>
          <cell r="F577">
            <v>0.89588874015748032</v>
          </cell>
          <cell r="G577">
            <v>0.89588874015748032</v>
          </cell>
          <cell r="H577">
            <v>0.89588874015748032</v>
          </cell>
          <cell r="I577">
            <v>0.89588874015748032</v>
          </cell>
          <cell r="J577">
            <v>0.89588874015748032</v>
          </cell>
          <cell r="K577">
            <v>0.74776175459317584</v>
          </cell>
          <cell r="L577">
            <v>0.74565622809245613</v>
          </cell>
          <cell r="M577">
            <v>0.89588874015748032</v>
          </cell>
          <cell r="N577">
            <v>0.89588874015748032</v>
          </cell>
          <cell r="O577">
            <v>0.89588874015748032</v>
          </cell>
          <cell r="P577">
            <v>0.89588874015748032</v>
          </cell>
          <cell r="Q577">
            <v>0.89588563727669113</v>
          </cell>
        </row>
        <row r="578">
          <cell r="C578" t="str">
            <v>Hayden</v>
          </cell>
          <cell r="E578">
            <v>0.85666823412510251</v>
          </cell>
          <cell r="F578">
            <v>0.88858023862179492</v>
          </cell>
          <cell r="G578">
            <v>0.87688063831162122</v>
          </cell>
          <cell r="H578">
            <v>0.83307961109330475</v>
          </cell>
          <cell r="I578">
            <v>0.90415592500689279</v>
          </cell>
          <cell r="J578">
            <v>0.85729656725599668</v>
          </cell>
          <cell r="K578">
            <v>0.86085996946225063</v>
          </cell>
          <cell r="L578">
            <v>0.86844907840501795</v>
          </cell>
          <cell r="M578">
            <v>0.87395479884259264</v>
          </cell>
          <cell r="N578">
            <v>0.94194919828715185</v>
          </cell>
          <cell r="O578">
            <v>0.92000238639026743</v>
          </cell>
          <cell r="P578">
            <v>0.74491697137324486</v>
          </cell>
          <cell r="Q578">
            <v>0.70004013268541498</v>
          </cell>
        </row>
        <row r="579">
          <cell r="C579" t="str">
            <v>Hunter</v>
          </cell>
          <cell r="E579">
            <v>0.85862281735781898</v>
          </cell>
          <cell r="F579">
            <v>0.88265501782531197</v>
          </cell>
          <cell r="G579">
            <v>0.88265501782531186</v>
          </cell>
          <cell r="H579">
            <v>0.88265501782531197</v>
          </cell>
          <cell r="I579">
            <v>0.88272541629364365</v>
          </cell>
          <cell r="J579">
            <v>0.88272541629364365</v>
          </cell>
          <cell r="K579">
            <v>0.88265501782531197</v>
          </cell>
          <cell r="L579">
            <v>0.88265501782531186</v>
          </cell>
          <cell r="M579">
            <v>0.88265501782531197</v>
          </cell>
          <cell r="N579">
            <v>0.88265501782531186</v>
          </cell>
          <cell r="O579">
            <v>0.87859910133114838</v>
          </cell>
          <cell r="P579">
            <v>0.86372217673054064</v>
          </cell>
          <cell r="Q579">
            <v>0.62092580652348917</v>
          </cell>
        </row>
        <row r="580">
          <cell r="C580" t="str">
            <v>Huntington</v>
          </cell>
          <cell r="E580">
            <v>0.83883361190913508</v>
          </cell>
          <cell r="F580">
            <v>0.88212073401613911</v>
          </cell>
          <cell r="G580">
            <v>0.88257450060070886</v>
          </cell>
          <cell r="H580">
            <v>0.88255860141216635</v>
          </cell>
          <cell r="I580">
            <v>0.88261911440499796</v>
          </cell>
          <cell r="J580">
            <v>0.8826244005226167</v>
          </cell>
          <cell r="K580">
            <v>0.66596043642147729</v>
          </cell>
          <cell r="L580">
            <v>0.62105692061632722</v>
          </cell>
          <cell r="M580">
            <v>0.88262146776846673</v>
          </cell>
          <cell r="N580">
            <v>0.88265603850543639</v>
          </cell>
          <cell r="O580">
            <v>0.86386955431909651</v>
          </cell>
          <cell r="P580">
            <v>0.86369961994546418</v>
          </cell>
          <cell r="Q580">
            <v>0.87469114199255116</v>
          </cell>
        </row>
        <row r="581">
          <cell r="C581" t="str">
            <v>Jim Bridger</v>
          </cell>
          <cell r="E581">
            <v>0.83777013191560912</v>
          </cell>
          <cell r="F581">
            <v>0.73830476810867174</v>
          </cell>
          <cell r="G581">
            <v>0.64934243885931653</v>
          </cell>
          <cell r="H581">
            <v>0.80877641043043758</v>
          </cell>
          <cell r="I581">
            <v>0.87537999479309447</v>
          </cell>
          <cell r="J581">
            <v>0.86911503939923551</v>
          </cell>
          <cell r="K581">
            <v>0.86219897056971984</v>
          </cell>
          <cell r="L581">
            <v>0.87259326204537146</v>
          </cell>
          <cell r="M581">
            <v>0.87529602090218761</v>
          </cell>
          <cell r="N581">
            <v>0.87766982357443113</v>
          </cell>
          <cell r="O581">
            <v>0.8763397282223796</v>
          </cell>
          <cell r="P581">
            <v>0.87759430134350125</v>
          </cell>
          <cell r="Q581">
            <v>0.87233947475935913</v>
          </cell>
        </row>
        <row r="582">
          <cell r="C582" t="str">
            <v>Naughton</v>
          </cell>
          <cell r="E582">
            <v>0.78709360374999993</v>
          </cell>
          <cell r="F582">
            <v>0.52557833670833332</v>
          </cell>
          <cell r="G582">
            <v>0.75186788634024571</v>
          </cell>
          <cell r="H582">
            <v>0.79362931710317464</v>
          </cell>
          <cell r="I582">
            <v>0.82474524375000002</v>
          </cell>
          <cell r="J582">
            <v>0.80481405359062985</v>
          </cell>
          <cell r="K582">
            <v>0.80814569778571432</v>
          </cell>
          <cell r="L582">
            <v>0.82051468315092169</v>
          </cell>
          <cell r="M582">
            <v>0.82825296543055549</v>
          </cell>
          <cell r="N582">
            <v>0.87340565155337946</v>
          </cell>
          <cell r="O582">
            <v>0.79698497836789561</v>
          </cell>
          <cell r="P582">
            <v>0.80709122176020409</v>
          </cell>
          <cell r="Q582">
            <v>0.80581013707373272</v>
          </cell>
        </row>
        <row r="583">
          <cell r="C583" t="str">
            <v>Wyodak</v>
          </cell>
          <cell r="E583">
            <v>0.9432583818010094</v>
          </cell>
          <cell r="F583">
            <v>0.94849964157706101</v>
          </cell>
          <cell r="G583">
            <v>0.94849963898916978</v>
          </cell>
          <cell r="H583">
            <v>0.94849981751824819</v>
          </cell>
          <cell r="I583">
            <v>0.94850000000000001</v>
          </cell>
          <cell r="J583">
            <v>0.94850000000000001</v>
          </cell>
          <cell r="K583">
            <v>0.94849981751824819</v>
          </cell>
          <cell r="L583">
            <v>0.88730611510791368</v>
          </cell>
          <cell r="M583">
            <v>0.94849964285714283</v>
          </cell>
          <cell r="N583">
            <v>0.94849964285714283</v>
          </cell>
          <cell r="O583">
            <v>0.9484593331117277</v>
          </cell>
          <cell r="P583">
            <v>0.9484685175914116</v>
          </cell>
          <cell r="Q583">
            <v>0.94842749956797234</v>
          </cell>
        </row>
        <row r="585">
          <cell r="C585" t="str">
            <v>Currant Creek</v>
          </cell>
          <cell r="E585">
            <v>0.52109334587352518</v>
          </cell>
          <cell r="F585">
            <v>0.49788900742154368</v>
          </cell>
          <cell r="G585">
            <v>0.48068694483516711</v>
          </cell>
          <cell r="H585">
            <v>0.44054374443106398</v>
          </cell>
          <cell r="I585">
            <v>0.55713117032352577</v>
          </cell>
          <cell r="J585">
            <v>0.57828865709625221</v>
          </cell>
          <cell r="K585">
            <v>0.55551205805129844</v>
          </cell>
          <cell r="L585">
            <v>0.42600697846127805</v>
          </cell>
          <cell r="M585">
            <v>0.57924827020911362</v>
          </cell>
          <cell r="N585">
            <v>0.5792951155564865</v>
          </cell>
          <cell r="O585">
            <v>0.54311776973815218</v>
          </cell>
          <cell r="P585">
            <v>0.49953730515947048</v>
          </cell>
          <cell r="Q585">
            <v>0.51117518301802889</v>
          </cell>
        </row>
        <row r="586">
          <cell r="C586" t="str">
            <v>Gadsby</v>
          </cell>
          <cell r="E586">
            <v>6.6425568456232389E-2</v>
          </cell>
          <cell r="F586">
            <v>0</v>
          </cell>
          <cell r="G586">
            <v>0</v>
          </cell>
          <cell r="H586">
            <v>0.13581708848699764</v>
          </cell>
          <cell r="I586">
            <v>0.24225647597803704</v>
          </cell>
          <cell r="J586">
            <v>0.26213239456646076</v>
          </cell>
          <cell r="K586">
            <v>0.1511588281678487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C587" t="str">
            <v>Gadsby CT</v>
          </cell>
          <cell r="E587">
            <v>0.12319981862220361</v>
          </cell>
          <cell r="F587">
            <v>0</v>
          </cell>
          <cell r="G587">
            <v>0.16671643395597829</v>
          </cell>
          <cell r="H587">
            <v>0.21443318279914531</v>
          </cell>
          <cell r="I587">
            <v>0.34640368413978495</v>
          </cell>
          <cell r="J587">
            <v>0.40441498579277496</v>
          </cell>
          <cell r="K587">
            <v>0.33421553812915483</v>
          </cell>
          <cell r="L587">
            <v>3.0414091501240696E-2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C588" t="str">
            <v>Hermiston</v>
          </cell>
          <cell r="E588">
            <v>0.90518393814426013</v>
          </cell>
          <cell r="F588">
            <v>0.46859549020952046</v>
          </cell>
          <cell r="G588">
            <v>0.88427848259868114</v>
          </cell>
          <cell r="H588">
            <v>0.94577603458635262</v>
          </cell>
          <cell r="I588">
            <v>0.96852539509700786</v>
          </cell>
          <cell r="J588">
            <v>0.99150919709268337</v>
          </cell>
          <cell r="K588">
            <v>0.99256490553460242</v>
          </cell>
          <cell r="L588">
            <v>0.97828277082194282</v>
          </cell>
          <cell r="M588">
            <v>0.95935223858184127</v>
          </cell>
          <cell r="N588">
            <v>0.92467165720297917</v>
          </cell>
          <cell r="O588">
            <v>0.90018808698476693</v>
          </cell>
          <cell r="P588">
            <v>0.9146790615339887</v>
          </cell>
          <cell r="Q588">
            <v>0.926809581749232</v>
          </cell>
        </row>
        <row r="589">
          <cell r="C589" t="str">
            <v>Lake side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C590" t="str">
            <v>Little Mountain</v>
          </cell>
          <cell r="E590">
            <v>0.65367422175934853</v>
          </cell>
          <cell r="F590">
            <v>0.92769946666666669</v>
          </cell>
          <cell r="G590">
            <v>0.83792232258064514</v>
          </cell>
          <cell r="H590">
            <v>0</v>
          </cell>
          <cell r="I590">
            <v>3.5842278673835125E-2</v>
          </cell>
          <cell r="J590">
            <v>4.1218620474910393E-2</v>
          </cell>
          <cell r="K590">
            <v>0</v>
          </cell>
          <cell r="L590">
            <v>0.92769971428571418</v>
          </cell>
          <cell r="M590">
            <v>0.92769946666666669</v>
          </cell>
          <cell r="N590">
            <v>0.92770037499999991</v>
          </cell>
          <cell r="O590">
            <v>0.92770037499999991</v>
          </cell>
          <cell r="P590">
            <v>0.92770037500000002</v>
          </cell>
          <cell r="Q590">
            <v>0.92769946666666669</v>
          </cell>
        </row>
        <row r="591">
          <cell r="C591" t="str">
            <v>West Valley</v>
          </cell>
          <cell r="E591">
            <v>0.35719399332701901</v>
          </cell>
          <cell r="F591">
            <v>0.25731413531165315</v>
          </cell>
          <cell r="G591">
            <v>0.31850441581317201</v>
          </cell>
          <cell r="H591">
            <v>0.37811084747916662</v>
          </cell>
          <cell r="I591">
            <v>0.52152169682795702</v>
          </cell>
          <cell r="J591">
            <v>0.54415874421370969</v>
          </cell>
          <cell r="K591">
            <v>0.5062047918125</v>
          </cell>
          <cell r="L591">
            <v>0.42149022111559137</v>
          </cell>
          <cell r="M591">
            <v>0.3293970244173442</v>
          </cell>
          <cell r="N591">
            <v>0.31842449472856016</v>
          </cell>
          <cell r="O591">
            <v>0.2465900787831104</v>
          </cell>
          <cell r="P591">
            <v>0.20148842590011615</v>
          </cell>
          <cell r="Q591">
            <v>0.2426212346184107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1"/>
      <sheetName val="Table 2"/>
      <sheetName val="Tables 3 to 6"/>
      <sheetName val="Tables 7"/>
      <sheetName val="Table 8"/>
      <sheetName val="Table 9"/>
      <sheetName val="Gas Source"/>
      <sheetName val="Tariff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le 1"/>
      <sheetName val="Table 2"/>
      <sheetName val="Tables 3 to 6"/>
      <sheetName val="Tables 7"/>
      <sheetName val="Table 8"/>
      <sheetName val="Table 9"/>
      <sheetName val="GasSource"/>
      <sheetName val="Tariff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DOC"/>
      <sheetName val="Other Cost Input"/>
      <sheetName val="IndexedSTF_Source"/>
      <sheetName val="Market_Price"/>
      <sheetName val="PacifiCorpSTF"/>
      <sheetName val="PacifiCorp STF_Raw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B1:L56"/>
  <sheetViews>
    <sheetView zoomScale="85" zoomScaleNormal="85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G19" sqref="G19"/>
    </sheetView>
  </sheetViews>
  <sheetFormatPr defaultColWidth="10.6640625" defaultRowHeight="13.2"/>
  <cols>
    <col min="1" max="1" width="1.77734375" style="164" customWidth="1"/>
    <col min="2" max="2" width="32.44140625" style="163" customWidth="1"/>
    <col min="3" max="3" width="13.109375" style="163" customWidth="1"/>
    <col min="4" max="7" width="13.109375" style="163" bestFit="1" customWidth="1"/>
    <col min="8" max="12" width="13.109375" style="163" hidden="1" customWidth="1"/>
    <col min="13" max="13" width="2.44140625" style="164" customWidth="1"/>
    <col min="14" max="16384" width="10.6640625" style="164"/>
  </cols>
  <sheetData>
    <row r="1" spans="2:12" ht="15.6">
      <c r="B1" s="161" t="s">
        <v>73</v>
      </c>
      <c r="C1" s="161"/>
      <c r="D1" s="161"/>
      <c r="E1" s="162"/>
      <c r="F1" s="161"/>
      <c r="G1" s="161"/>
    </row>
    <row r="2" spans="2:12" ht="15.6">
      <c r="B2" s="161" t="s">
        <v>67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5.6">
      <c r="B3" s="161" t="s">
        <v>96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5" spans="2:12">
      <c r="C5" s="166">
        <v>2010</v>
      </c>
      <c r="D5" s="166">
        <v>2011</v>
      </c>
      <c r="E5" s="166">
        <v>2012</v>
      </c>
      <c r="F5" s="166">
        <v>2013</v>
      </c>
      <c r="G5" s="167">
        <v>2014</v>
      </c>
      <c r="H5" s="167">
        <v>2015</v>
      </c>
      <c r="I5" s="167">
        <v>2016</v>
      </c>
      <c r="J5" s="167">
        <v>2017</v>
      </c>
      <c r="K5" s="167">
        <v>2018</v>
      </c>
      <c r="L5" s="167">
        <v>2019</v>
      </c>
    </row>
    <row r="6" spans="2:12">
      <c r="B6" s="168" t="s">
        <v>60</v>
      </c>
    </row>
    <row r="7" spans="2:12">
      <c r="B7" s="163" t="s">
        <v>55</v>
      </c>
      <c r="C7" s="169">
        <v>2248.9604660095579</v>
      </c>
      <c r="D7" s="169">
        <v>2275.5560607584157</v>
      </c>
      <c r="E7" s="169">
        <v>2324.574269459441</v>
      </c>
      <c r="F7" s="169">
        <v>2349.6764717173201</v>
      </c>
      <c r="G7" s="169">
        <v>2360.4404740004261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</row>
    <row r="8" spans="2:12">
      <c r="B8" s="163" t="s">
        <v>68</v>
      </c>
      <c r="C8" s="169">
        <v>169.35086757990868</v>
      </c>
      <c r="D8" s="169">
        <v>169.19926940639269</v>
      </c>
      <c r="E8" s="169">
        <v>168.76193078324224</v>
      </c>
      <c r="F8" s="169">
        <v>94.386118721461173</v>
      </c>
      <c r="G8" s="169">
        <v>94.027945205479455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</row>
    <row r="9" spans="2:12">
      <c r="B9" s="163" t="s">
        <v>97</v>
      </c>
      <c r="C9" s="170">
        <v>131.91780821917808</v>
      </c>
      <c r="D9" s="170">
        <v>16.210045662100455</v>
      </c>
      <c r="E9" s="170">
        <v>5.4189435336976324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</row>
    <row r="10" spans="2:12">
      <c r="B10" s="163" t="s">
        <v>38</v>
      </c>
      <c r="C10" s="169">
        <f t="shared" ref="C10:L10" si="0">SUM(C7:C9)</f>
        <v>2550.2291418086443</v>
      </c>
      <c r="D10" s="169">
        <f t="shared" si="0"/>
        <v>2460.9653758269092</v>
      </c>
      <c r="E10" s="169">
        <f t="shared" si="0"/>
        <v>2498.7551437763809</v>
      </c>
      <c r="F10" s="169">
        <f t="shared" si="0"/>
        <v>2444.0625904387812</v>
      </c>
      <c r="G10" s="169">
        <f t="shared" si="0"/>
        <v>2454.4684192059058</v>
      </c>
      <c r="H10" s="169">
        <f t="shared" si="0"/>
        <v>0</v>
      </c>
      <c r="I10" s="169">
        <f t="shared" si="0"/>
        <v>0</v>
      </c>
      <c r="J10" s="169">
        <f t="shared" si="0"/>
        <v>0</v>
      </c>
      <c r="K10" s="169">
        <f t="shared" si="0"/>
        <v>0</v>
      </c>
      <c r="L10" s="169">
        <f t="shared" si="0"/>
        <v>0</v>
      </c>
    </row>
    <row r="11" spans="2:12">
      <c r="C11" s="169"/>
      <c r="D11" s="169"/>
      <c r="E11" s="169"/>
      <c r="F11" s="169"/>
      <c r="G11" s="169"/>
      <c r="H11" s="169"/>
      <c r="I11" s="169"/>
      <c r="J11" s="169"/>
      <c r="K11" s="169"/>
      <c r="L11" s="169"/>
    </row>
    <row r="12" spans="2:12">
      <c r="B12" s="163" t="s">
        <v>69</v>
      </c>
      <c r="C12" s="169">
        <v>466.56091312782746</v>
      </c>
      <c r="D12" s="169">
        <v>441.30941125842241</v>
      </c>
      <c r="E12" s="169">
        <v>357.28158795916266</v>
      </c>
      <c r="F12" s="169">
        <v>364.18893565675108</v>
      </c>
      <c r="G12" s="169">
        <v>364.08777287734478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</row>
    <row r="13" spans="2:12">
      <c r="B13" s="163" t="s">
        <v>98</v>
      </c>
      <c r="C13" s="169">
        <v>114.73251141552512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</row>
    <row r="14" spans="2:12">
      <c r="B14" s="163" t="s">
        <v>56</v>
      </c>
      <c r="C14" s="169">
        <v>1903.9885101697937</v>
      </c>
      <c r="D14" s="169">
        <v>1903.9845524300677</v>
      </c>
      <c r="E14" s="169">
        <v>1904.4408136202792</v>
      </c>
      <c r="F14" s="169">
        <v>1904.078325900387</v>
      </c>
      <c r="G14" s="169">
        <v>1904.0419257519854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</row>
    <row r="15" spans="2:12">
      <c r="B15" s="163" t="s">
        <v>57</v>
      </c>
      <c r="C15" s="169">
        <v>561.67859413877591</v>
      </c>
      <c r="D15" s="169">
        <v>549.6006777712455</v>
      </c>
      <c r="E15" s="169">
        <v>544.29858577719926</v>
      </c>
      <c r="F15" s="169">
        <v>527.44847652651424</v>
      </c>
      <c r="G15" s="169">
        <v>531.26711227902365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</row>
    <row r="16" spans="2:12">
      <c r="B16" s="163" t="s">
        <v>58</v>
      </c>
      <c r="C16" s="170">
        <v>-8.5006498989397272</v>
      </c>
      <c r="D16" s="170">
        <v>-11.745783025455022</v>
      </c>
      <c r="E16" s="170">
        <v>-28.876080570556574</v>
      </c>
      <c r="F16" s="170">
        <v>-20.849804972385844</v>
      </c>
      <c r="G16" s="170">
        <v>-18.441829251559021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</row>
    <row r="17" spans="2:12">
      <c r="B17" s="163" t="s">
        <v>72</v>
      </c>
      <c r="C17" s="169">
        <f t="shared" ref="C17:L17" si="1">SUM(C12:C16)</f>
        <v>3038.4598789529828</v>
      </c>
      <c r="D17" s="169">
        <f t="shared" si="1"/>
        <v>2883.1488584342806</v>
      </c>
      <c r="E17" s="169">
        <f t="shared" si="1"/>
        <v>2777.1449067860844</v>
      </c>
      <c r="F17" s="169">
        <f t="shared" si="1"/>
        <v>2774.8659331112667</v>
      </c>
      <c r="G17" s="169">
        <f t="shared" si="1"/>
        <v>2780.9549816567946</v>
      </c>
      <c r="H17" s="169">
        <f t="shared" si="1"/>
        <v>0</v>
      </c>
      <c r="I17" s="169">
        <f t="shared" si="1"/>
        <v>0</v>
      </c>
      <c r="J17" s="169">
        <f t="shared" si="1"/>
        <v>0</v>
      </c>
      <c r="K17" s="169">
        <f t="shared" si="1"/>
        <v>0</v>
      </c>
      <c r="L17" s="169">
        <f t="shared" si="1"/>
        <v>0</v>
      </c>
    </row>
    <row r="18" spans="2:12">
      <c r="C18" s="169"/>
      <c r="D18" s="169"/>
      <c r="E18" s="169"/>
      <c r="F18" s="169"/>
      <c r="G18" s="169"/>
      <c r="H18" s="169"/>
      <c r="I18" s="169"/>
      <c r="J18" s="169"/>
      <c r="K18" s="169"/>
      <c r="L18" s="169"/>
    </row>
    <row r="19" spans="2:12">
      <c r="B19" s="171" t="s">
        <v>59</v>
      </c>
      <c r="C19" s="169">
        <f t="shared" ref="C19:L19" si="2">C17-C10</f>
        <v>488.23073714433849</v>
      </c>
      <c r="D19" s="169">
        <f t="shared" si="2"/>
        <v>422.18348260737139</v>
      </c>
      <c r="E19" s="169">
        <f t="shared" si="2"/>
        <v>278.38976300970353</v>
      </c>
      <c r="F19" s="169">
        <f t="shared" si="2"/>
        <v>330.80334267248554</v>
      </c>
      <c r="G19" s="169">
        <f t="shared" si="2"/>
        <v>326.48656245088887</v>
      </c>
      <c r="H19" s="169">
        <f t="shared" si="2"/>
        <v>0</v>
      </c>
      <c r="I19" s="169">
        <f t="shared" si="2"/>
        <v>0</v>
      </c>
      <c r="J19" s="169">
        <f t="shared" si="2"/>
        <v>0</v>
      </c>
      <c r="K19" s="169">
        <f t="shared" si="2"/>
        <v>0</v>
      </c>
      <c r="L19" s="169">
        <f t="shared" si="2"/>
        <v>0</v>
      </c>
    </row>
    <row r="20" spans="2:12">
      <c r="B20" s="171" t="s">
        <v>70</v>
      </c>
      <c r="C20" s="172">
        <f>C19/C10</f>
        <v>0.19144583094132517</v>
      </c>
      <c r="D20" s="172">
        <f t="shared" ref="D20:L20" si="3">IF(D10&lt;&gt;0,D19/D10,0)</f>
        <v>0.17155197986705256</v>
      </c>
      <c r="E20" s="172">
        <f t="shared" si="3"/>
        <v>0.11141138166462029</v>
      </c>
      <c r="F20" s="172">
        <f t="shared" si="3"/>
        <v>0.13534978358025462</v>
      </c>
      <c r="G20" s="172">
        <f t="shared" si="3"/>
        <v>0.13301721867601665</v>
      </c>
      <c r="H20" s="172">
        <f t="shared" si="3"/>
        <v>0</v>
      </c>
      <c r="I20" s="172">
        <f t="shared" si="3"/>
        <v>0</v>
      </c>
      <c r="J20" s="172">
        <f t="shared" si="3"/>
        <v>0</v>
      </c>
      <c r="K20" s="172">
        <f t="shared" si="3"/>
        <v>0</v>
      </c>
      <c r="L20" s="172">
        <f t="shared" si="3"/>
        <v>0</v>
      </c>
    </row>
    <row r="22" spans="2:12">
      <c r="B22" s="168" t="s">
        <v>99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</row>
    <row r="23" spans="2:12">
      <c r="B23" s="163" t="s">
        <v>55</v>
      </c>
      <c r="C23" s="169">
        <v>3309.3263932360001</v>
      </c>
      <c r="D23" s="169">
        <v>3360.1681932000001</v>
      </c>
      <c r="E23" s="169">
        <v>3461.5116001360002</v>
      </c>
      <c r="F23" s="169">
        <v>3483.6962932360002</v>
      </c>
      <c r="G23" s="169">
        <v>3510.7945932359999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</row>
    <row r="24" spans="2:12">
      <c r="B24" s="163" t="s">
        <v>68</v>
      </c>
      <c r="C24" s="169">
        <v>462.8</v>
      </c>
      <c r="D24" s="169">
        <v>462.8</v>
      </c>
      <c r="E24" s="169">
        <v>462.8</v>
      </c>
      <c r="F24" s="169">
        <v>462.8</v>
      </c>
      <c r="G24" s="169">
        <v>462.8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</row>
    <row r="25" spans="2:12">
      <c r="B25" s="163" t="str">
        <f>B9</f>
        <v>Short Term Firm Sales</v>
      </c>
      <c r="C25" s="170">
        <v>175</v>
      </c>
      <c r="D25" s="170">
        <v>0</v>
      </c>
      <c r="E25" s="170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</row>
    <row r="26" spans="2:12">
      <c r="B26" s="163" t="s">
        <v>38</v>
      </c>
      <c r="C26" s="169">
        <f t="shared" ref="C26:L26" si="4">SUM(C23:C25)</f>
        <v>3947.1263932360002</v>
      </c>
      <c r="D26" s="169">
        <f t="shared" si="4"/>
        <v>3822.9681932000003</v>
      </c>
      <c r="E26" s="169">
        <f t="shared" si="4"/>
        <v>3924.3116001360004</v>
      </c>
      <c r="F26" s="169">
        <f t="shared" si="4"/>
        <v>3946.4962932360004</v>
      </c>
      <c r="G26" s="169">
        <f t="shared" si="4"/>
        <v>3973.594593236</v>
      </c>
      <c r="H26" s="169">
        <f t="shared" si="4"/>
        <v>0</v>
      </c>
      <c r="I26" s="169">
        <f t="shared" si="4"/>
        <v>0</v>
      </c>
      <c r="J26" s="169">
        <f t="shared" si="4"/>
        <v>0</v>
      </c>
      <c r="K26" s="169">
        <f t="shared" si="4"/>
        <v>0</v>
      </c>
      <c r="L26" s="169">
        <f t="shared" si="4"/>
        <v>0</v>
      </c>
    </row>
    <row r="27" spans="2:12">
      <c r="C27" s="169"/>
      <c r="D27" s="169"/>
      <c r="E27" s="169"/>
      <c r="F27" s="169"/>
      <c r="G27" s="169"/>
      <c r="H27" s="169"/>
      <c r="I27" s="169"/>
      <c r="J27" s="169"/>
      <c r="K27" s="169"/>
      <c r="L27" s="169"/>
    </row>
    <row r="28" spans="2:12">
      <c r="B28" s="163" t="s">
        <v>69</v>
      </c>
      <c r="C28" s="169">
        <v>1401.823910087815</v>
      </c>
      <c r="D28" s="169">
        <v>1284.8969510878148</v>
      </c>
      <c r="E28" s="169">
        <v>628.50595621281491</v>
      </c>
      <c r="F28" s="169">
        <v>627.57013621281499</v>
      </c>
      <c r="G28" s="169">
        <v>507.90583221281486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</row>
    <row r="29" spans="2:12">
      <c r="B29" s="163" t="str">
        <f>B13</f>
        <v>Short Term Firm Purchase</v>
      </c>
      <c r="C29" s="169">
        <v>478.18</v>
      </c>
      <c r="D29" s="169">
        <v>0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</row>
    <row r="30" spans="2:12">
      <c r="B30" s="163" t="s">
        <v>56</v>
      </c>
      <c r="C30" s="169">
        <v>1956.8244140887343</v>
      </c>
      <c r="D30" s="169">
        <v>1956.8244140887343</v>
      </c>
      <c r="E30" s="169">
        <v>1956.8244140887343</v>
      </c>
      <c r="F30" s="169">
        <v>1956.8244140887343</v>
      </c>
      <c r="G30" s="169">
        <v>1956.8244140887343</v>
      </c>
      <c r="H30" s="169">
        <v>472.7</v>
      </c>
      <c r="I30" s="169">
        <v>0</v>
      </c>
      <c r="J30" s="169">
        <v>0</v>
      </c>
      <c r="K30" s="169">
        <v>0</v>
      </c>
      <c r="L30" s="169">
        <v>0</v>
      </c>
    </row>
    <row r="31" spans="2:12">
      <c r="B31" s="163" t="s">
        <v>57</v>
      </c>
      <c r="C31" s="169">
        <v>1059.8048404249998</v>
      </c>
      <c r="D31" s="169">
        <v>1056.6546094349999</v>
      </c>
      <c r="E31" s="169">
        <v>974.58894332499995</v>
      </c>
      <c r="F31" s="169">
        <v>996.27541408499974</v>
      </c>
      <c r="G31" s="169">
        <v>1014.288398145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</row>
    <row r="32" spans="2:12">
      <c r="B32" s="163" t="s">
        <v>58</v>
      </c>
      <c r="C32" s="170">
        <v>-469.81027499999999</v>
      </c>
      <c r="D32" s="170">
        <v>-466.57353999999998</v>
      </c>
      <c r="E32" s="170">
        <v>-469.74271599999997</v>
      </c>
      <c r="F32" s="170">
        <v>-469.38796000000002</v>
      </c>
      <c r="G32" s="170">
        <v>-471.340126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</row>
    <row r="33" spans="2:12">
      <c r="B33" s="163" t="s">
        <v>72</v>
      </c>
      <c r="C33" s="169">
        <f t="shared" ref="C33:L33" si="5">SUM(C28:C32)</f>
        <v>4426.8228896015498</v>
      </c>
      <c r="D33" s="169">
        <f t="shared" si="5"/>
        <v>3831.8024346115494</v>
      </c>
      <c r="E33" s="169">
        <f t="shared" si="5"/>
        <v>3090.1765976265488</v>
      </c>
      <c r="F33" s="169">
        <f t="shared" si="5"/>
        <v>3111.282004386549</v>
      </c>
      <c r="G33" s="169">
        <f t="shared" si="5"/>
        <v>3007.6785184465493</v>
      </c>
      <c r="H33" s="169">
        <f t="shared" si="5"/>
        <v>472.7</v>
      </c>
      <c r="I33" s="169">
        <f t="shared" si="5"/>
        <v>0</v>
      </c>
      <c r="J33" s="169">
        <f t="shared" si="5"/>
        <v>0</v>
      </c>
      <c r="K33" s="169">
        <f t="shared" si="5"/>
        <v>0</v>
      </c>
      <c r="L33" s="169">
        <f t="shared" si="5"/>
        <v>0</v>
      </c>
    </row>
    <row r="34" spans="2:12">
      <c r="C34" s="169"/>
      <c r="D34" s="169"/>
      <c r="E34" s="169"/>
      <c r="F34" s="169"/>
      <c r="G34" s="169"/>
      <c r="H34" s="169"/>
      <c r="I34" s="169"/>
      <c r="J34" s="169"/>
      <c r="K34" s="169"/>
      <c r="L34" s="169"/>
    </row>
    <row r="35" spans="2:12">
      <c r="B35" s="171" t="s">
        <v>59</v>
      </c>
      <c r="C35" s="169">
        <f t="shared" ref="C35:L35" si="6">C33-C26</f>
        <v>479.69649636554959</v>
      </c>
      <c r="D35" s="169">
        <f t="shared" si="6"/>
        <v>8.834241411549101</v>
      </c>
      <c r="E35" s="169">
        <f t="shared" si="6"/>
        <v>-834.13500250945162</v>
      </c>
      <c r="F35" s="169">
        <f t="shared" si="6"/>
        <v>-835.21428884945135</v>
      </c>
      <c r="G35" s="169">
        <f t="shared" si="6"/>
        <v>-965.9160747894507</v>
      </c>
      <c r="H35" s="169">
        <f t="shared" si="6"/>
        <v>472.7</v>
      </c>
      <c r="I35" s="169">
        <f t="shared" si="6"/>
        <v>0</v>
      </c>
      <c r="J35" s="169">
        <f t="shared" si="6"/>
        <v>0</v>
      </c>
      <c r="K35" s="169">
        <f t="shared" si="6"/>
        <v>0</v>
      </c>
      <c r="L35" s="169">
        <f t="shared" si="6"/>
        <v>0</v>
      </c>
    </row>
    <row r="36" spans="2:12">
      <c r="B36" s="171" t="s">
        <v>70</v>
      </c>
      <c r="C36" s="172">
        <f t="shared" ref="C36:L36" si="7">IF(C26&lt;&gt;0,C35/C26,0)</f>
        <v>0.12153056390278819</v>
      </c>
      <c r="D36" s="172">
        <f t="shared" si="7"/>
        <v>2.3108330922718022E-3</v>
      </c>
      <c r="E36" s="172">
        <f t="shared" si="7"/>
        <v>-0.21255575181148814</v>
      </c>
      <c r="F36" s="172">
        <f t="shared" si="7"/>
        <v>-0.21163437813965422</v>
      </c>
      <c r="G36" s="172">
        <f t="shared" si="7"/>
        <v>-0.24308369968936158</v>
      </c>
      <c r="H36" s="172">
        <f t="shared" si="7"/>
        <v>0</v>
      </c>
      <c r="I36" s="172">
        <f t="shared" si="7"/>
        <v>0</v>
      </c>
      <c r="J36" s="172">
        <f t="shared" si="7"/>
        <v>0</v>
      </c>
      <c r="K36" s="172">
        <f t="shared" si="7"/>
        <v>0</v>
      </c>
      <c r="L36" s="172">
        <f t="shared" si="7"/>
        <v>0</v>
      </c>
    </row>
    <row r="38" spans="2:12">
      <c r="B38" s="168" t="s">
        <v>92</v>
      </c>
      <c r="C38" s="173"/>
      <c r="D38" s="173"/>
      <c r="E38" s="173"/>
      <c r="F38" s="173"/>
      <c r="G38" s="173"/>
      <c r="H38" s="173"/>
      <c r="I38" s="173"/>
      <c r="J38" s="173"/>
      <c r="K38" s="173"/>
      <c r="L38" s="173"/>
    </row>
    <row r="39" spans="2:12">
      <c r="B39" s="163" t="s">
        <v>55</v>
      </c>
      <c r="C39" s="169">
        <v>3652.7089997600001</v>
      </c>
      <c r="D39" s="169">
        <v>3662.6049997600003</v>
      </c>
      <c r="E39" s="169">
        <v>3711.9799997600003</v>
      </c>
      <c r="F39" s="169">
        <v>3773.80899976</v>
      </c>
      <c r="G39" s="169">
        <v>3806.4479997600001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</row>
    <row r="40" spans="2:12">
      <c r="B40" s="163" t="s">
        <v>68</v>
      </c>
      <c r="C40" s="169">
        <v>200</v>
      </c>
      <c r="D40" s="169">
        <v>200</v>
      </c>
      <c r="E40" s="169">
        <v>200</v>
      </c>
      <c r="F40" s="169">
        <v>100</v>
      </c>
      <c r="G40" s="169">
        <v>100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</row>
    <row r="41" spans="2:12">
      <c r="B41" s="163" t="str">
        <f>B25</f>
        <v>Short Term Firm Sales</v>
      </c>
      <c r="C41" s="170">
        <v>275</v>
      </c>
      <c r="D41" s="170">
        <v>0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</row>
    <row r="42" spans="2:12">
      <c r="B42" s="163" t="s">
        <v>38</v>
      </c>
      <c r="C42" s="169">
        <f t="shared" ref="C42:L42" si="8">SUM(C39:C41)</f>
        <v>4127.7089997599996</v>
      </c>
      <c r="D42" s="169">
        <f t="shared" si="8"/>
        <v>3862.6049997600003</v>
      </c>
      <c r="E42" s="169">
        <f t="shared" si="8"/>
        <v>3911.9799997600003</v>
      </c>
      <c r="F42" s="169">
        <f t="shared" si="8"/>
        <v>3873.80899976</v>
      </c>
      <c r="G42" s="169">
        <f t="shared" si="8"/>
        <v>3906.4479997600001</v>
      </c>
      <c r="H42" s="169">
        <f t="shared" si="8"/>
        <v>0</v>
      </c>
      <c r="I42" s="169">
        <f t="shared" si="8"/>
        <v>0</v>
      </c>
      <c r="J42" s="169">
        <f t="shared" si="8"/>
        <v>0</v>
      </c>
      <c r="K42" s="169">
        <f t="shared" si="8"/>
        <v>0</v>
      </c>
      <c r="L42" s="169">
        <f t="shared" si="8"/>
        <v>0</v>
      </c>
    </row>
    <row r="43" spans="2:12">
      <c r="C43" s="169"/>
      <c r="D43" s="169"/>
      <c r="E43" s="169"/>
      <c r="F43" s="169"/>
      <c r="G43" s="169"/>
      <c r="H43" s="169"/>
      <c r="I43" s="169"/>
      <c r="J43" s="169"/>
      <c r="K43" s="169"/>
      <c r="L43" s="169"/>
    </row>
    <row r="44" spans="2:12">
      <c r="B44" s="163" t="s">
        <v>69</v>
      </c>
      <c r="C44" s="169">
        <v>1285.4376203338118</v>
      </c>
      <c r="D44" s="169">
        <v>1255.8316893338115</v>
      </c>
      <c r="E44" s="169">
        <v>468.61210470881156</v>
      </c>
      <c r="F44" s="169">
        <v>503.18753900881165</v>
      </c>
      <c r="G44" s="169">
        <v>519.07524300881164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</row>
    <row r="45" spans="2:12">
      <c r="B45" s="163" t="str">
        <f>B29</f>
        <v>Short Term Firm Purchase</v>
      </c>
      <c r="C45" s="169">
        <v>78.180000000000007</v>
      </c>
      <c r="D45" s="169">
        <v>0</v>
      </c>
      <c r="E45" s="169">
        <v>0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</row>
    <row r="46" spans="2:12">
      <c r="B46" s="163" t="s">
        <v>56</v>
      </c>
      <c r="C46" s="169">
        <v>2027.342162381279</v>
      </c>
      <c r="D46" s="169">
        <v>2027.342162381279</v>
      </c>
      <c r="E46" s="169">
        <v>2027.342162381279</v>
      </c>
      <c r="F46" s="169">
        <v>2027.342162381279</v>
      </c>
      <c r="G46" s="169">
        <v>2027.342162381279</v>
      </c>
      <c r="H46" s="169">
        <v>500.11660000000001</v>
      </c>
      <c r="I46" s="169">
        <v>0</v>
      </c>
      <c r="J46" s="169">
        <v>0</v>
      </c>
      <c r="K46" s="169">
        <v>0</v>
      </c>
      <c r="L46" s="169">
        <v>0</v>
      </c>
    </row>
    <row r="47" spans="2:12">
      <c r="B47" s="163" t="s">
        <v>57</v>
      </c>
      <c r="C47" s="169">
        <v>1139.987288025</v>
      </c>
      <c r="D47" s="169">
        <v>1133.5607850249999</v>
      </c>
      <c r="E47" s="169">
        <v>1149.4763208050001</v>
      </c>
      <c r="F47" s="169">
        <v>1177.0909261250001</v>
      </c>
      <c r="G47" s="169">
        <v>1202.0493964049999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</row>
    <row r="48" spans="2:12">
      <c r="B48" s="163" t="s">
        <v>58</v>
      </c>
      <c r="C48" s="170">
        <v>-476.51602400000002</v>
      </c>
      <c r="D48" s="170">
        <v>-445.25916000000001</v>
      </c>
      <c r="E48" s="170">
        <v>-462.02265</v>
      </c>
      <c r="F48" s="170">
        <v>-437.88576999999998</v>
      </c>
      <c r="G48" s="170">
        <v>-487.94429000000002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</row>
    <row r="49" spans="2:12">
      <c r="B49" s="163" t="s">
        <v>72</v>
      </c>
      <c r="C49" s="169">
        <f t="shared" ref="C49:L49" si="9">SUM(C44:C48)</f>
        <v>4054.4310467400906</v>
      </c>
      <c r="D49" s="169">
        <f t="shared" si="9"/>
        <v>3971.4754767400905</v>
      </c>
      <c r="E49" s="169">
        <f t="shared" si="9"/>
        <v>3183.407937895091</v>
      </c>
      <c r="F49" s="169">
        <f t="shared" si="9"/>
        <v>3269.7348575150909</v>
      </c>
      <c r="G49" s="169">
        <f t="shared" si="9"/>
        <v>3260.5225117950908</v>
      </c>
      <c r="H49" s="169">
        <f t="shared" si="9"/>
        <v>500.11660000000001</v>
      </c>
      <c r="I49" s="169">
        <f t="shared" si="9"/>
        <v>0</v>
      </c>
      <c r="J49" s="169">
        <f t="shared" si="9"/>
        <v>0</v>
      </c>
      <c r="K49" s="169">
        <f t="shared" si="9"/>
        <v>0</v>
      </c>
      <c r="L49" s="169">
        <f t="shared" si="9"/>
        <v>0</v>
      </c>
    </row>
    <row r="50" spans="2:12">
      <c r="C50" s="174"/>
      <c r="D50" s="174"/>
      <c r="E50" s="174"/>
      <c r="F50" s="174"/>
      <c r="G50" s="174"/>
      <c r="H50" s="174"/>
      <c r="I50" s="174"/>
      <c r="J50" s="174"/>
      <c r="K50" s="174"/>
      <c r="L50" s="174"/>
    </row>
    <row r="51" spans="2:12">
      <c r="B51" s="171" t="s">
        <v>59</v>
      </c>
      <c r="C51" s="169">
        <f t="shared" ref="C51:L51" si="10">C49-C42</f>
        <v>-73.277953019909091</v>
      </c>
      <c r="D51" s="169">
        <f t="shared" si="10"/>
        <v>108.87047698009019</v>
      </c>
      <c r="E51" s="169">
        <f t="shared" si="10"/>
        <v>-728.5720618649093</v>
      </c>
      <c r="F51" s="169">
        <f t="shared" si="10"/>
        <v>-604.07414224490913</v>
      </c>
      <c r="G51" s="169">
        <f t="shared" si="10"/>
        <v>-645.92548796490928</v>
      </c>
      <c r="H51" s="169">
        <f t="shared" si="10"/>
        <v>500.11660000000001</v>
      </c>
      <c r="I51" s="169">
        <f t="shared" si="10"/>
        <v>0</v>
      </c>
      <c r="J51" s="169">
        <f t="shared" si="10"/>
        <v>0</v>
      </c>
      <c r="K51" s="169">
        <f t="shared" si="10"/>
        <v>0</v>
      </c>
      <c r="L51" s="169">
        <f t="shared" si="10"/>
        <v>0</v>
      </c>
    </row>
    <row r="52" spans="2:12">
      <c r="B52" s="171" t="s">
        <v>70</v>
      </c>
      <c r="C52" s="172">
        <f t="shared" ref="C52:L52" si="11">IF(C42&lt;&gt;0,C51/C42,0)</f>
        <v>-1.775269357025162E-2</v>
      </c>
      <c r="D52" s="172">
        <f t="shared" si="11"/>
        <v>2.8185765043760563E-2</v>
      </c>
      <c r="E52" s="172">
        <f t="shared" si="11"/>
        <v>-0.18624125427778443</v>
      </c>
      <c r="F52" s="172">
        <f t="shared" si="11"/>
        <v>-0.1559380295420694</v>
      </c>
      <c r="G52" s="172">
        <f t="shared" si="11"/>
        <v>-0.16534854374219057</v>
      </c>
      <c r="H52" s="172">
        <f t="shared" si="11"/>
        <v>0</v>
      </c>
      <c r="I52" s="172">
        <f t="shared" si="11"/>
        <v>0</v>
      </c>
      <c r="J52" s="172">
        <f t="shared" si="11"/>
        <v>0</v>
      </c>
      <c r="K52" s="172">
        <f t="shared" si="11"/>
        <v>0</v>
      </c>
      <c r="L52" s="172">
        <f t="shared" si="11"/>
        <v>0</v>
      </c>
    </row>
    <row r="55" spans="2:12">
      <c r="B55" s="173"/>
    </row>
    <row r="56" spans="2:12" hidden="1">
      <c r="B56" s="163" t="s">
        <v>100</v>
      </c>
      <c r="C56" s="163">
        <v>0</v>
      </c>
      <c r="D56" s="163">
        <f t="shared" ref="D56:L56" si="12">C56+13</f>
        <v>13</v>
      </c>
      <c r="E56" s="163">
        <f t="shared" si="12"/>
        <v>26</v>
      </c>
      <c r="F56" s="163">
        <f t="shared" si="12"/>
        <v>39</v>
      </c>
      <c r="G56" s="163">
        <f t="shared" si="12"/>
        <v>52</v>
      </c>
      <c r="H56" s="163">
        <f t="shared" si="12"/>
        <v>65</v>
      </c>
      <c r="I56" s="163">
        <f t="shared" si="12"/>
        <v>78</v>
      </c>
      <c r="J56" s="163">
        <f t="shared" si="12"/>
        <v>91</v>
      </c>
      <c r="K56" s="163">
        <f t="shared" si="12"/>
        <v>104</v>
      </c>
      <c r="L56" s="163">
        <f t="shared" si="12"/>
        <v>117</v>
      </c>
    </row>
  </sheetData>
  <phoneticPr fontId="15" type="noConversion"/>
  <conditionalFormatting sqref="C19:L19 C35:L35 C51:L51">
    <cfRule type="cellIs" dxfId="0" priority="1" stopIfTrue="1" operator="lessThan">
      <formula>0</formula>
    </cfRule>
  </conditionalFormatting>
  <printOptions horizontalCentered="1"/>
  <pageMargins left="0.33" right="0.3" top="0.4" bottom="0.4" header="0.5" footer="0.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1">
    <pageSetUpPr fitToPage="1"/>
  </sheetPr>
  <dimension ref="B1:N25"/>
  <sheetViews>
    <sheetView zoomScaleNormal="100" workbookViewId="0">
      <pane xSplit="2" ySplit="3" topLeftCell="C4" activePane="bottomRight" state="frozen"/>
      <selection activeCell="Q27" sqref="Q27"/>
      <selection pane="topRight" activeCell="Q27" sqref="Q27"/>
      <selection pane="bottomLeft" activeCell="Q27" sqref="Q27"/>
      <selection pane="bottomRight" activeCell="C4" sqref="C4"/>
    </sheetView>
  </sheetViews>
  <sheetFormatPr defaultColWidth="9.33203125" defaultRowHeight="13.2"/>
  <cols>
    <col min="1" max="1" width="1.6640625" style="9" customWidth="1"/>
    <col min="2" max="2" width="6.33203125" style="9" customWidth="1"/>
    <col min="3" max="11" width="7.44140625" style="9" customWidth="1"/>
    <col min="12" max="12" width="7.44140625" style="14" customWidth="1"/>
    <col min="13" max="14" width="7.44140625" style="9" customWidth="1"/>
    <col min="15" max="15" width="1.6640625" style="9" customWidth="1"/>
    <col min="16" max="16" width="10.77734375" style="9" customWidth="1"/>
    <col min="17" max="22" width="15.33203125" style="9" customWidth="1"/>
    <col min="23" max="16384" width="9.33203125" style="9"/>
  </cols>
  <sheetData>
    <row r="1" spans="2:14" s="26" customFormat="1" ht="15.6">
      <c r="B1" s="1" t="s">
        <v>25</v>
      </c>
      <c r="C1" s="1"/>
      <c r="D1" s="1"/>
      <c r="E1" s="1"/>
      <c r="F1" s="28"/>
      <c r="G1" s="1"/>
      <c r="H1" s="1"/>
      <c r="I1" s="1"/>
      <c r="J1" s="1"/>
      <c r="K1" s="42"/>
      <c r="L1" s="43"/>
      <c r="M1" s="28"/>
      <c r="N1" s="28"/>
    </row>
    <row r="2" spans="2:14" s="29" customFormat="1" ht="13.8">
      <c r="B2" s="10" t="s">
        <v>83</v>
      </c>
      <c r="C2" s="10"/>
      <c r="D2" s="10"/>
      <c r="E2" s="10"/>
      <c r="F2" s="10"/>
      <c r="G2" s="10"/>
      <c r="H2" s="10"/>
      <c r="I2" s="10"/>
      <c r="J2" s="10"/>
      <c r="K2" s="10"/>
      <c r="L2" s="44"/>
      <c r="M2" s="42"/>
      <c r="N2" s="42"/>
    </row>
    <row r="3" spans="2:14" s="29" customFormat="1" ht="13.8">
      <c r="B3" s="10" t="s">
        <v>74</v>
      </c>
      <c r="C3" s="10"/>
      <c r="D3" s="10"/>
      <c r="E3" s="10"/>
      <c r="F3" s="10"/>
      <c r="G3" s="10"/>
      <c r="H3" s="10"/>
      <c r="I3" s="10"/>
      <c r="J3" s="10"/>
      <c r="K3" s="10"/>
      <c r="L3" s="44"/>
      <c r="M3" s="42"/>
      <c r="N3" s="42"/>
    </row>
    <row r="4" spans="2:14" s="3" customFormat="1">
      <c r="C4" s="56"/>
      <c r="D4" s="56"/>
      <c r="E4" s="56"/>
      <c r="F4" s="24"/>
      <c r="G4" s="24"/>
      <c r="H4" s="24"/>
      <c r="I4" s="24"/>
      <c r="J4" s="24"/>
      <c r="K4" s="24"/>
      <c r="L4" s="45"/>
    </row>
    <row r="5" spans="2:14" s="3" customFormat="1">
      <c r="B5" s="65" t="s">
        <v>3</v>
      </c>
      <c r="C5" s="58" t="s">
        <v>51</v>
      </c>
      <c r="D5" s="75"/>
      <c r="E5" s="75"/>
      <c r="F5" s="58"/>
      <c r="G5" s="58"/>
      <c r="H5" s="50" t="s">
        <v>52</v>
      </c>
      <c r="I5" s="57"/>
      <c r="J5" s="57"/>
      <c r="K5" s="49"/>
      <c r="L5" s="60" t="s">
        <v>51</v>
      </c>
      <c r="M5" s="79"/>
      <c r="N5" s="61"/>
    </row>
    <row r="6" spans="2:14" s="3" customFormat="1">
      <c r="B6" s="72"/>
      <c r="C6" s="76" t="s">
        <v>39</v>
      </c>
      <c r="D6" s="77" t="s">
        <v>40</v>
      </c>
      <c r="E6" s="77" t="s">
        <v>41</v>
      </c>
      <c r="F6" s="77" t="s">
        <v>42</v>
      </c>
      <c r="G6" s="78" t="s">
        <v>43</v>
      </c>
      <c r="H6" s="7" t="s">
        <v>44</v>
      </c>
      <c r="I6" s="7" t="s">
        <v>45</v>
      </c>
      <c r="J6" s="7" t="s">
        <v>46</v>
      </c>
      <c r="K6" s="7" t="s">
        <v>47</v>
      </c>
      <c r="L6" s="76" t="s">
        <v>48</v>
      </c>
      <c r="M6" s="77" t="s">
        <v>49</v>
      </c>
      <c r="N6" s="78" t="s">
        <v>50</v>
      </c>
    </row>
    <row r="7" spans="2:14" s="3" customFormat="1"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2:14" s="3" customFormat="1">
      <c r="B8" s="34" t="s">
        <v>79</v>
      </c>
      <c r="C8" s="16"/>
      <c r="D8" s="2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2:14" ht="12.75" customHeight="1">
      <c r="B9" s="119">
        <v>2010</v>
      </c>
      <c r="C9" s="113">
        <v>50.476004722399175</v>
      </c>
      <c r="D9" s="113">
        <v>47.525724154102306</v>
      </c>
      <c r="E9" s="113">
        <v>40.982726373508655</v>
      </c>
      <c r="F9" s="113">
        <v>38.232372831516592</v>
      </c>
      <c r="G9" s="113">
        <v>31.273555457928389</v>
      </c>
      <c r="H9" s="112">
        <v>29.924583197222194</v>
      </c>
      <c r="I9" s="113">
        <v>44.756364243695089</v>
      </c>
      <c r="J9" s="113">
        <v>50.732686833191302</v>
      </c>
      <c r="K9" s="114">
        <v>50.552420446751434</v>
      </c>
      <c r="L9" s="112">
        <v>48.726649110412964</v>
      </c>
      <c r="M9" s="113">
        <v>55.380620941836803</v>
      </c>
      <c r="N9" s="114">
        <v>59.841880536132685</v>
      </c>
    </row>
    <row r="10" spans="2:14" ht="12.75" customHeight="1">
      <c r="B10" s="120">
        <f>B9+1</f>
        <v>2011</v>
      </c>
      <c r="C10" s="80">
        <v>57.935964511223737</v>
      </c>
      <c r="D10" s="80">
        <v>57.054840652170327</v>
      </c>
      <c r="E10" s="80">
        <v>52.439187379672283</v>
      </c>
      <c r="F10" s="80">
        <v>45.367769398682235</v>
      </c>
      <c r="G10" s="80">
        <v>31.807960514318079</v>
      </c>
      <c r="H10" s="81">
        <v>30.545015970351173</v>
      </c>
      <c r="I10" s="80">
        <v>46.135695081522627</v>
      </c>
      <c r="J10" s="80">
        <v>57.94282341485583</v>
      </c>
      <c r="K10" s="115">
        <v>52.887780474401595</v>
      </c>
      <c r="L10" s="81">
        <v>52.040577365598608</v>
      </c>
      <c r="M10" s="80">
        <v>55.888656225090017</v>
      </c>
      <c r="N10" s="115">
        <v>60.163898328568543</v>
      </c>
    </row>
    <row r="11" spans="2:14" ht="12.75" customHeight="1">
      <c r="B11" s="120">
        <f>B10+1</f>
        <v>2012</v>
      </c>
      <c r="C11" s="80">
        <v>58.793163184492741</v>
      </c>
      <c r="D11" s="80">
        <v>58.174205560074455</v>
      </c>
      <c r="E11" s="80">
        <v>53.764449986490789</v>
      </c>
      <c r="F11" s="80">
        <v>45.385728563818667</v>
      </c>
      <c r="G11" s="80">
        <v>32.332976518749028</v>
      </c>
      <c r="H11" s="81">
        <v>30.33758883881838</v>
      </c>
      <c r="I11" s="80">
        <v>46.219370655846049</v>
      </c>
      <c r="J11" s="80">
        <v>58.597716905845587</v>
      </c>
      <c r="K11" s="115">
        <v>53.376105445259149</v>
      </c>
      <c r="L11" s="81">
        <v>53.366158909994347</v>
      </c>
      <c r="M11" s="80">
        <v>56.541358367732002</v>
      </c>
      <c r="N11" s="115">
        <v>60.601961222567986</v>
      </c>
    </row>
    <row r="12" spans="2:14" ht="12.75" customHeight="1">
      <c r="B12" s="120">
        <f>B11+1</f>
        <v>2013</v>
      </c>
      <c r="C12" s="80">
        <v>58.287830851502633</v>
      </c>
      <c r="D12" s="80">
        <v>58.566660114786188</v>
      </c>
      <c r="E12" s="80">
        <v>54.051452391312246</v>
      </c>
      <c r="F12" s="80">
        <v>46.035046204355858</v>
      </c>
      <c r="G12" s="80">
        <v>32.748427084860623</v>
      </c>
      <c r="H12" s="81">
        <v>30.430824459911427</v>
      </c>
      <c r="I12" s="80">
        <v>47.253194273032491</v>
      </c>
      <c r="J12" s="80">
        <v>59.028930603677949</v>
      </c>
      <c r="K12" s="115">
        <v>54.080637445694045</v>
      </c>
      <c r="L12" s="81">
        <v>53.76054883255393</v>
      </c>
      <c r="M12" s="80">
        <v>56.941385880580796</v>
      </c>
      <c r="N12" s="115">
        <v>61.000655753072955</v>
      </c>
    </row>
    <row r="13" spans="2:14" ht="12.75" customHeight="1">
      <c r="B13" s="121">
        <f>B12+1</f>
        <v>2014</v>
      </c>
      <c r="C13" s="117">
        <v>59.761149496143105</v>
      </c>
      <c r="D13" s="117">
        <v>59.503176228504941</v>
      </c>
      <c r="E13" s="117">
        <v>53.940217301687326</v>
      </c>
      <c r="F13" s="117">
        <v>46.976934050632643</v>
      </c>
      <c r="G13" s="117">
        <v>33.675036250612024</v>
      </c>
      <c r="H13" s="116">
        <v>31.791622108965697</v>
      </c>
      <c r="I13" s="117">
        <v>48.619748772117561</v>
      </c>
      <c r="J13" s="117">
        <v>59.472704659214301</v>
      </c>
      <c r="K13" s="118">
        <v>54.86770785209081</v>
      </c>
      <c r="L13" s="116">
        <v>53.117973512026772</v>
      </c>
      <c r="M13" s="117">
        <v>57.598470147222905</v>
      </c>
      <c r="N13" s="118">
        <v>62.156053394614766</v>
      </c>
    </row>
    <row r="14" spans="2:14" s="3" customFormat="1"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2:14" ht="12.75" customHeight="1">
      <c r="B15" s="34" t="s">
        <v>65</v>
      </c>
      <c r="D15" s="33"/>
      <c r="E15" s="33"/>
      <c r="L15" s="46"/>
    </row>
    <row r="16" spans="2:14" ht="12.75" customHeight="1">
      <c r="C16" s="11" t="s">
        <v>51</v>
      </c>
      <c r="D16" s="13"/>
      <c r="E16" s="13"/>
      <c r="G16" s="11" t="s">
        <v>52</v>
      </c>
      <c r="H16" s="12"/>
      <c r="I16" s="13"/>
      <c r="K16" s="11" t="s">
        <v>66</v>
      </c>
      <c r="L16" s="12"/>
      <c r="M16" s="13"/>
    </row>
    <row r="17" spans="2:13" s="14" customFormat="1" ht="12.75" customHeight="1">
      <c r="B17" s="85">
        <f>B9</f>
        <v>2010</v>
      </c>
      <c r="D17" s="47">
        <f>AVERAGE(C9:G9,L9:N9)</f>
        <v>46.554941765979699</v>
      </c>
      <c r="G17" s="21"/>
      <c r="H17" s="21">
        <f>AVERAGE(H9:K9)</f>
        <v>43.991513680215</v>
      </c>
      <c r="L17" s="21">
        <f>AVERAGE(C9:N9)</f>
        <v>45.700465737391461</v>
      </c>
      <c r="M17" s="21"/>
    </row>
    <row r="18" spans="2:13" s="14" customFormat="1" ht="12.75" customHeight="1">
      <c r="B18" s="85">
        <f>B10</f>
        <v>2011</v>
      </c>
      <c r="D18" s="47">
        <f>AVERAGE(C10:G10,L10:N10)</f>
        <v>51.587356796915479</v>
      </c>
      <c r="G18" s="21"/>
      <c r="H18" s="21">
        <f>AVERAGE(H10:K10)</f>
        <v>46.877828735282804</v>
      </c>
      <c r="L18" s="21">
        <f>AVERAGE(C10:N10)</f>
        <v>50.017514109704585</v>
      </c>
      <c r="M18" s="21"/>
    </row>
    <row r="19" spans="2:13" s="14" customFormat="1" ht="12.75" customHeight="1">
      <c r="B19" s="85">
        <f>B11</f>
        <v>2012</v>
      </c>
      <c r="D19" s="47">
        <f>AVERAGE(C11:G11,L11:N11)</f>
        <v>52.370000289240004</v>
      </c>
      <c r="G19" s="21"/>
      <c r="H19" s="21">
        <f>AVERAGE(H11:K11)</f>
        <v>47.132695461442296</v>
      </c>
      <c r="L19" s="21">
        <f>AVERAGE(C11:N11)</f>
        <v>50.624232013307427</v>
      </c>
      <c r="M19" s="21"/>
    </row>
    <row r="20" spans="2:13" s="14" customFormat="1" ht="12.75" customHeight="1">
      <c r="B20" s="85">
        <f>B12</f>
        <v>2013</v>
      </c>
      <c r="D20" s="47">
        <f>AVERAGE(C12:G12,L12:N12)</f>
        <v>52.674000889128159</v>
      </c>
      <c r="G20" s="21"/>
      <c r="H20" s="21">
        <f>AVERAGE(H12:K12)</f>
        <v>47.698396695578978</v>
      </c>
      <c r="L20" s="21">
        <f>AVERAGE(C12:N12)</f>
        <v>51.015466157945092</v>
      </c>
      <c r="M20" s="21"/>
    </row>
    <row r="21" spans="2:13" s="14" customFormat="1" ht="12.75" customHeight="1">
      <c r="B21" s="85">
        <f>B13</f>
        <v>2014</v>
      </c>
      <c r="D21" s="47">
        <f>AVERAGE(C13:G13,L13:N13)</f>
        <v>53.34112629768056</v>
      </c>
      <c r="G21" s="21"/>
      <c r="H21" s="21">
        <f>AVERAGE(H13:K13)</f>
        <v>48.687945848097087</v>
      </c>
      <c r="L21" s="21">
        <f>AVERAGE(C13:N13)</f>
        <v>51.790066147819402</v>
      </c>
      <c r="M21" s="21"/>
    </row>
    <row r="22" spans="2:13" s="14" customFormat="1" ht="12.75" customHeight="1">
      <c r="B22" s="48"/>
      <c r="L22" s="46"/>
    </row>
    <row r="23" spans="2:13" s="14" customFormat="1" ht="6" customHeight="1">
      <c r="B23" s="48"/>
      <c r="E23" s="47"/>
      <c r="F23" s="21"/>
      <c r="G23" s="21"/>
      <c r="H23" s="21"/>
      <c r="K23" s="21"/>
      <c r="L23" s="21"/>
    </row>
    <row r="24" spans="2:13" ht="12.75" customHeight="1">
      <c r="B24" s="9" t="s">
        <v>53</v>
      </c>
      <c r="D24" s="94" t="s">
        <v>79</v>
      </c>
    </row>
    <row r="25" spans="2:13" ht="12.75" customHeight="1"/>
  </sheetData>
  <phoneticPr fontId="6" type="noConversion"/>
  <printOptions horizontalCentered="1"/>
  <pageMargins left="0.3" right="0.3" top="0.8" bottom="0.4" header="0.5" footer="0.2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B1:N28"/>
  <sheetViews>
    <sheetView zoomScaleNormal="100" workbookViewId="0">
      <pane xSplit="2" ySplit="7" topLeftCell="C8" activePane="bottomRight" state="frozen"/>
      <selection activeCell="Q27" sqref="Q27"/>
      <selection pane="topRight" activeCell="Q27" sqref="Q27"/>
      <selection pane="bottomLeft" activeCell="Q27" sqref="Q27"/>
      <selection pane="bottomRight" activeCell="F31" sqref="F31"/>
    </sheetView>
  </sheetViews>
  <sheetFormatPr defaultColWidth="9.33203125" defaultRowHeight="13.2"/>
  <cols>
    <col min="1" max="1" width="1.44140625" style="9" customWidth="1"/>
    <col min="2" max="2" width="12" style="9" customWidth="1"/>
    <col min="3" max="3" width="14.44140625" style="9" customWidth="1"/>
    <col min="4" max="4" width="13.77734375" style="9" customWidth="1"/>
    <col min="5" max="7" width="14.77734375" style="9" customWidth="1"/>
    <col min="8" max="8" width="1.6640625" style="14" customWidth="1"/>
    <col min="9" max="9" width="9.77734375" style="9" customWidth="1"/>
    <col min="10" max="10" width="15.33203125" style="9" customWidth="1"/>
    <col min="11" max="11" width="18" style="9" customWidth="1"/>
    <col min="12" max="12" width="14.33203125" style="9" customWidth="1"/>
    <col min="13" max="13" width="15.109375" style="9" customWidth="1"/>
    <col min="14" max="14" width="13.109375" style="9" customWidth="1"/>
    <col min="15" max="15" width="1.44140625" style="9" customWidth="1"/>
    <col min="16" max="16384" width="9.33203125" style="9"/>
  </cols>
  <sheetData>
    <row r="1" spans="2:14" s="26" customFormat="1" ht="15.6">
      <c r="B1" s="1" t="s">
        <v>26</v>
      </c>
      <c r="C1" s="28"/>
      <c r="D1" s="1"/>
      <c r="E1" s="1"/>
      <c r="F1" s="1"/>
      <c r="G1" s="1"/>
      <c r="H1" s="30"/>
      <c r="I1" s="1" t="s">
        <v>27</v>
      </c>
      <c r="J1" s="28"/>
      <c r="K1" s="1"/>
      <c r="L1" s="1"/>
      <c r="M1" s="1"/>
      <c r="N1" s="1"/>
    </row>
    <row r="2" spans="2:14" s="29" customFormat="1" ht="13.8">
      <c r="B2" s="10" t="s">
        <v>91</v>
      </c>
      <c r="C2" s="10"/>
      <c r="D2" s="10"/>
      <c r="E2" s="10"/>
      <c r="F2" s="10"/>
      <c r="G2" s="10"/>
      <c r="H2" s="30"/>
      <c r="I2" s="10" t="s">
        <v>23</v>
      </c>
      <c r="J2" s="10"/>
      <c r="K2" s="10"/>
      <c r="L2" s="10"/>
      <c r="M2" s="10"/>
      <c r="N2" s="10"/>
    </row>
    <row r="3" spans="2:14" s="3" customFormat="1">
      <c r="H3" s="51"/>
    </row>
    <row r="4" spans="2:14" s="3" customFormat="1">
      <c r="B4" s="53"/>
      <c r="C4" s="6" t="s">
        <v>17</v>
      </c>
      <c r="D4" s="61" t="s">
        <v>8</v>
      </c>
      <c r="E4" s="58" t="s">
        <v>9</v>
      </c>
      <c r="F4" s="58"/>
      <c r="G4" s="58"/>
      <c r="H4" s="51"/>
      <c r="I4" s="53"/>
      <c r="J4" s="65" t="s">
        <v>17</v>
      </c>
      <c r="K4" s="6" t="s">
        <v>19</v>
      </c>
      <c r="L4" s="61" t="s">
        <v>8</v>
      </c>
      <c r="M4" s="6" t="s">
        <v>1</v>
      </c>
      <c r="N4" s="6" t="s">
        <v>2</v>
      </c>
    </row>
    <row r="5" spans="2:14" s="3" customFormat="1">
      <c r="B5" s="25" t="s">
        <v>3</v>
      </c>
      <c r="C5" s="25" t="s">
        <v>18</v>
      </c>
      <c r="D5" s="66" t="s">
        <v>7</v>
      </c>
      <c r="E5" s="62" t="s">
        <v>10</v>
      </c>
      <c r="F5" s="52"/>
      <c r="G5" s="63"/>
      <c r="H5" s="51"/>
      <c r="I5" s="25" t="s">
        <v>3</v>
      </c>
      <c r="J5" s="59" t="s">
        <v>18</v>
      </c>
      <c r="K5" s="25" t="s">
        <v>20</v>
      </c>
      <c r="L5" s="66" t="s">
        <v>7</v>
      </c>
      <c r="M5" s="25" t="str">
        <f>TEXT((0.57*8760),"0,000")&amp;" Hours"</f>
        <v>4,993 Hours</v>
      </c>
      <c r="N5" s="25" t="str">
        <f>TEXT((0.43*8760),"0,000")&amp;" Hours"</f>
        <v>3,767 Hours</v>
      </c>
    </row>
    <row r="6" spans="2:14" s="3" customFormat="1">
      <c r="B6" s="54"/>
      <c r="C6" s="25" t="s">
        <v>5</v>
      </c>
      <c r="D6" s="66" t="s">
        <v>6</v>
      </c>
      <c r="E6" s="67">
        <v>0.75</v>
      </c>
      <c r="F6" s="67">
        <v>0.85</v>
      </c>
      <c r="G6" s="67">
        <v>0.9</v>
      </c>
      <c r="H6" s="56"/>
      <c r="I6" s="54"/>
      <c r="J6" s="59" t="s">
        <v>5</v>
      </c>
      <c r="K6" s="25" t="s">
        <v>0</v>
      </c>
      <c r="L6" s="66" t="s">
        <v>6</v>
      </c>
      <c r="M6" s="25"/>
      <c r="N6" s="25"/>
    </row>
    <row r="7" spans="2:14" s="3" customFormat="1">
      <c r="B7" s="55"/>
      <c r="C7" s="68" t="s">
        <v>4</v>
      </c>
      <c r="D7" s="71" t="s">
        <v>84</v>
      </c>
      <c r="E7" s="69" t="s">
        <v>84</v>
      </c>
      <c r="F7" s="69" t="s">
        <v>84</v>
      </c>
      <c r="G7" s="69" t="s">
        <v>84</v>
      </c>
      <c r="H7" s="56"/>
      <c r="I7" s="55"/>
      <c r="J7" s="70" t="s">
        <v>4</v>
      </c>
      <c r="K7" s="69" t="s">
        <v>84</v>
      </c>
      <c r="L7" s="71" t="s">
        <v>84</v>
      </c>
      <c r="M7" s="69" t="s">
        <v>84</v>
      </c>
      <c r="N7" s="69" t="s">
        <v>84</v>
      </c>
    </row>
    <row r="8" spans="2:14" s="3" customFormat="1">
      <c r="C8" s="56" t="s">
        <v>12</v>
      </c>
      <c r="D8" s="64" t="s">
        <v>13</v>
      </c>
      <c r="E8" s="56" t="s">
        <v>14</v>
      </c>
      <c r="F8" s="56" t="s">
        <v>15</v>
      </c>
      <c r="G8" s="56" t="s">
        <v>16</v>
      </c>
      <c r="H8" s="5"/>
      <c r="J8" s="27" t="s">
        <v>12</v>
      </c>
      <c r="K8" s="110" t="s">
        <v>13</v>
      </c>
      <c r="L8" s="27" t="s">
        <v>14</v>
      </c>
      <c r="M8" s="27" t="s">
        <v>15</v>
      </c>
      <c r="N8" s="27" t="s">
        <v>16</v>
      </c>
    </row>
    <row r="9" spans="2:14" s="3" customFormat="1">
      <c r="C9" s="31"/>
      <c r="D9" s="56"/>
      <c r="E9" s="32" t="str">
        <f>" "&amp;$D$8&amp;"+("&amp;$C$8&amp;"/8.76 x "&amp;$E$6&amp;")"</f>
        <v xml:space="preserve"> (b)+((a)/8.76 x 0.75)</v>
      </c>
      <c r="F9" s="32" t="str">
        <f>" "&amp;$D$8&amp;"+("&amp;$C$8&amp;"/8.76 x "&amp;$F$6&amp;")"</f>
        <v xml:space="preserve"> (b)+((a)/8.76 x 0.85)</v>
      </c>
      <c r="G9" s="32" t="str">
        <f>" "&amp;$D$8&amp;"+("&amp;$C$8&amp;"/8.76 x "&amp;$G$6&amp;")"</f>
        <v xml:space="preserve"> (b)+((a)/8.76 x 0.9)</v>
      </c>
      <c r="H9" s="5"/>
      <c r="J9" s="31"/>
      <c r="K9" s="24" t="str">
        <f>$J$8&amp;" /(8.76 x "&amp;TEXT('Table 6'!$C$29,"0.0%")&amp;" x 57%)"</f>
        <v>(a) /(8.76 x 21.0% x 57%)</v>
      </c>
      <c r="L9" s="9"/>
      <c r="M9" s="24" t="str">
        <f>K8&amp;" + "&amp;L8</f>
        <v>(b) + (c)</v>
      </c>
      <c r="N9" s="111" t="str">
        <f>L8</f>
        <v>(c)</v>
      </c>
    </row>
    <row r="10" spans="2:14" s="3" customFormat="1">
      <c r="H10" s="5"/>
    </row>
    <row r="11" spans="2:14" s="14" customFormat="1">
      <c r="B11" s="34" t="s">
        <v>61</v>
      </c>
      <c r="C11" s="21"/>
      <c r="D11" s="22"/>
      <c r="E11" s="22"/>
      <c r="F11" s="22"/>
      <c r="G11" s="22"/>
      <c r="H11" s="21"/>
      <c r="I11" s="34" t="s">
        <v>61</v>
      </c>
      <c r="J11" s="21"/>
      <c r="L11" s="22"/>
      <c r="M11" s="22"/>
      <c r="N11" s="22"/>
    </row>
    <row r="12" spans="2:14" s="14" customFormat="1">
      <c r="B12" s="82">
        <f>'Table 2'!B9</f>
        <v>2010</v>
      </c>
      <c r="C12" s="19">
        <f>'Table 6'!H11*3/12</f>
        <v>21.76</v>
      </c>
      <c r="D12" s="35">
        <f>'Table 2'!L17</f>
        <v>45.700465737391461</v>
      </c>
      <c r="E12" s="20">
        <f t="shared" ref="E12:G16" si="0">$D12+$C12/(8.76*E$6)</f>
        <v>49.012490090511704</v>
      </c>
      <c r="F12" s="20">
        <f t="shared" si="0"/>
        <v>48.622840166615205</v>
      </c>
      <c r="G12" s="36">
        <f t="shared" si="0"/>
        <v>48.460486031658334</v>
      </c>
      <c r="H12" s="21"/>
      <c r="I12" s="82">
        <f>$B12</f>
        <v>2010</v>
      </c>
      <c r="J12" s="19">
        <f>C12</f>
        <v>21.76</v>
      </c>
      <c r="K12" s="20">
        <f>J12/(8.76*'Table 6'!$C$29*0.57)</f>
        <v>20.75203228772083</v>
      </c>
      <c r="L12" s="35">
        <f>D12</f>
        <v>45.700465737391461</v>
      </c>
      <c r="M12" s="20">
        <f>K12+L12</f>
        <v>66.452498025112291</v>
      </c>
      <c r="N12" s="36">
        <f>L12</f>
        <v>45.700465737391461</v>
      </c>
    </row>
    <row r="13" spans="2:14" s="14" customFormat="1">
      <c r="B13" s="83">
        <f>B12+1</f>
        <v>2011</v>
      </c>
      <c r="C13" s="183" t="s">
        <v>107</v>
      </c>
      <c r="D13" s="22">
        <f>'Table 2'!L18</f>
        <v>50.017514109704585</v>
      </c>
      <c r="E13" s="22">
        <f>D13</f>
        <v>50.017514109704585</v>
      </c>
      <c r="F13" s="22">
        <f>E13</f>
        <v>50.017514109704585</v>
      </c>
      <c r="G13" s="23">
        <f>E13</f>
        <v>50.017514109704585</v>
      </c>
      <c r="H13" s="21"/>
      <c r="I13" s="83">
        <f>$B13</f>
        <v>2011</v>
      </c>
      <c r="J13" s="21" t="str">
        <f>C13</f>
        <v>(1)</v>
      </c>
      <c r="K13" s="22"/>
      <c r="L13" s="22">
        <f>D13</f>
        <v>50.017514109704585</v>
      </c>
      <c r="M13" s="22">
        <f>K13+L13</f>
        <v>50.017514109704585</v>
      </c>
      <c r="N13" s="23">
        <f>L13</f>
        <v>50.017514109704585</v>
      </c>
    </row>
    <row r="14" spans="2:14" s="14" customFormat="1">
      <c r="B14" s="83">
        <f>B13+1</f>
        <v>2012</v>
      </c>
      <c r="C14" s="21">
        <f>'Table 6'!H13*3/12</f>
        <v>22.574999999999999</v>
      </c>
      <c r="D14" s="22">
        <f>'Table 2'!L19</f>
        <v>50.624232013307427</v>
      </c>
      <c r="E14" s="22">
        <f t="shared" si="0"/>
        <v>54.060305072668157</v>
      </c>
      <c r="F14" s="22">
        <f t="shared" si="0"/>
        <v>53.656061183331602</v>
      </c>
      <c r="G14" s="23">
        <f t="shared" si="0"/>
        <v>53.487626229441368</v>
      </c>
      <c r="H14" s="21"/>
      <c r="I14" s="83">
        <f>$B14</f>
        <v>2012</v>
      </c>
      <c r="J14" s="21">
        <f>C14</f>
        <v>22.574999999999999</v>
      </c>
      <c r="K14" s="22">
        <f>J14/(8.76*'Table 6'!$C$29*0.57)</f>
        <v>21.52927982055596</v>
      </c>
      <c r="L14" s="22">
        <f>D14</f>
        <v>50.624232013307427</v>
      </c>
      <c r="M14" s="22">
        <f>K14+L14</f>
        <v>72.153511833863391</v>
      </c>
      <c r="N14" s="23">
        <f>L14</f>
        <v>50.624232013307427</v>
      </c>
    </row>
    <row r="15" spans="2:14" s="14" customFormat="1">
      <c r="B15" s="83">
        <f>B14+1</f>
        <v>2013</v>
      </c>
      <c r="C15" s="21">
        <f>'Table 6'!H14*3/12</f>
        <v>22.98</v>
      </c>
      <c r="D15" s="22">
        <f>'Table 2'!L20</f>
        <v>51.015466157945092</v>
      </c>
      <c r="E15" s="22">
        <f t="shared" si="0"/>
        <v>54.513183052922258</v>
      </c>
      <c r="F15" s="22">
        <f t="shared" si="0"/>
        <v>54.101686947630832</v>
      </c>
      <c r="G15" s="23">
        <f t="shared" si="0"/>
        <v>53.930230237092729</v>
      </c>
      <c r="H15" s="21"/>
      <c r="I15" s="83">
        <f>$B15</f>
        <v>2013</v>
      </c>
      <c r="J15" s="21">
        <f>C15</f>
        <v>22.98</v>
      </c>
      <c r="K15" s="22">
        <f>J15/(8.76*'Table 6'!$C$29*0.57)</f>
        <v>21.915519392087528</v>
      </c>
      <c r="L15" s="22">
        <f>D15</f>
        <v>51.015466157945092</v>
      </c>
      <c r="M15" s="22">
        <f>K15+L15</f>
        <v>72.930985550032617</v>
      </c>
      <c r="N15" s="23">
        <f>L15</f>
        <v>51.015466157945092</v>
      </c>
    </row>
    <row r="16" spans="2:14" s="14" customFormat="1">
      <c r="B16" s="84">
        <f>B15+1</f>
        <v>2014</v>
      </c>
      <c r="C16" s="37">
        <f>'Table 6'!H15*3/12</f>
        <v>23.392499999999998</v>
      </c>
      <c r="D16" s="38">
        <f>'Table 2'!L21</f>
        <v>51.790066147819402</v>
      </c>
      <c r="E16" s="38">
        <f t="shared" si="0"/>
        <v>55.350568430924426</v>
      </c>
      <c r="F16" s="38">
        <f t="shared" si="0"/>
        <v>54.931685809382657</v>
      </c>
      <c r="G16" s="39">
        <f t="shared" si="0"/>
        <v>54.757151383740258</v>
      </c>
      <c r="H16" s="21"/>
      <c r="I16" s="84">
        <f>$B16</f>
        <v>2014</v>
      </c>
      <c r="J16" s="37">
        <f>C16</f>
        <v>23.392499999999998</v>
      </c>
      <c r="K16" s="38">
        <f>J16/(8.76*'Table 6'!$C$29*0.57)</f>
        <v>22.308911548277088</v>
      </c>
      <c r="L16" s="38">
        <f>D16</f>
        <v>51.790066147819402</v>
      </c>
      <c r="M16" s="38">
        <f>K16+L16</f>
        <v>74.098977696096483</v>
      </c>
      <c r="N16" s="39">
        <f>L16</f>
        <v>51.790066147819402</v>
      </c>
    </row>
    <row r="17" spans="2:14">
      <c r="B17" s="15"/>
      <c r="C17" s="21"/>
      <c r="D17" s="22"/>
      <c r="E17" s="22"/>
      <c r="F17" s="22"/>
      <c r="G17" s="22"/>
      <c r="H17" s="21"/>
      <c r="I17" s="15"/>
      <c r="J17" s="21"/>
      <c r="K17" s="22"/>
      <c r="L17" s="22"/>
      <c r="M17" s="22"/>
      <c r="N17" s="22"/>
    </row>
    <row r="19" spans="2:14">
      <c r="B19" s="9" t="s">
        <v>11</v>
      </c>
      <c r="I19" s="9" t="s">
        <v>11</v>
      </c>
    </row>
    <row r="20" spans="2:14">
      <c r="B20" s="17" t="str">
        <f>C8</f>
        <v>(a)</v>
      </c>
      <c r="C20" s="9" t="str">
        <f>"  "&amp;'Table 6'!B1&amp;"  Column "&amp;'Table 6'!H7&amp;" for three months (multiplied by 3/12)"</f>
        <v xml:space="preserve">  Table 6  Column (f) for three months (multiplied by 3/12)</v>
      </c>
      <c r="I20" s="17" t="str">
        <f>J8</f>
        <v>(a)</v>
      </c>
      <c r="J20" s="9" t="str">
        <f>"  "&amp;B$1&amp;"  Column "&amp;C8</f>
        <v xml:space="preserve">  Table 3  Column (a)</v>
      </c>
    </row>
    <row r="21" spans="2:14">
      <c r="B21" s="17" t="str">
        <f>D8</f>
        <v>(b)</v>
      </c>
      <c r="C21" s="9" t="str">
        <f>"  "&amp;'Table 2'!B1&amp;"  Annual Average"</f>
        <v xml:space="preserve">  Table 2  Annual Average</v>
      </c>
      <c r="I21" s="17" t="str">
        <f>K8</f>
        <v>(b)</v>
      </c>
      <c r="J21" s="9" t="str">
        <f>"  "&amp;'Table 6'!B1&amp;"   "&amp;TEXT('Table 6'!$C$29,"0.0%")&amp;" is the on-peak capacity factor of the SCCT Proxy Resource"</f>
        <v xml:space="preserve">  Table 6   21.0% is the on-peak capacity factor of the SCCT Proxy Resource</v>
      </c>
    </row>
    <row r="22" spans="2:14">
      <c r="B22" s="17" t="s">
        <v>108</v>
      </c>
      <c r="C22" s="9" t="s">
        <v>110</v>
      </c>
      <c r="I22" s="17" t="str">
        <f>L8</f>
        <v>(c)</v>
      </c>
      <c r="J22" s="9" t="str">
        <f>"  "&amp;B$1&amp;"  Column "&amp;D8</f>
        <v xml:space="preserve">  Table 3  Column (b)</v>
      </c>
    </row>
    <row r="23" spans="2:14">
      <c r="B23" s="17"/>
      <c r="C23" s="40" t="s">
        <v>109</v>
      </c>
      <c r="I23" s="17" t="s">
        <v>108</v>
      </c>
      <c r="J23" s="9" t="s">
        <v>110</v>
      </c>
    </row>
    <row r="24" spans="2:14">
      <c r="I24" s="17"/>
      <c r="J24" s="40" t="s">
        <v>109</v>
      </c>
    </row>
    <row r="25" spans="2:14">
      <c r="H25" s="9"/>
    </row>
    <row r="28" spans="2:14">
      <c r="E28" s="41"/>
      <c r="F28" s="41"/>
      <c r="G28" s="41"/>
    </row>
  </sheetData>
  <phoneticPr fontId="6" type="noConversion"/>
  <printOptions horizontalCentered="1"/>
  <pageMargins left="0.3" right="0.3" top="0.8" bottom="0.4" header="0.5" footer="0.2"/>
  <pageSetup orientation="landscape" r:id="rId1"/>
  <headerFooter alignWithMargins="0"/>
  <colBreaks count="1" manualBreakCount="1">
    <brk id="7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B1:M26"/>
  <sheetViews>
    <sheetView zoomScaleNormal="100" workbookViewId="0">
      <pane xSplit="2" ySplit="7" topLeftCell="C8" activePane="bottomRight" state="frozen"/>
      <selection activeCell="Q27" sqref="Q27"/>
      <selection pane="topRight" activeCell="Q27" sqref="Q27"/>
      <selection pane="bottomLeft" activeCell="Q27" sqref="Q27"/>
      <selection pane="bottomRight" activeCell="B18" sqref="B18"/>
    </sheetView>
  </sheetViews>
  <sheetFormatPr defaultColWidth="9.33203125" defaultRowHeight="13.2"/>
  <cols>
    <col min="1" max="1" width="2" style="9" customWidth="1"/>
    <col min="2" max="2" width="20.6640625" style="9" customWidth="1"/>
    <col min="3" max="5" width="23.6640625" style="9" customWidth="1"/>
    <col min="6" max="6" width="2.109375" style="9" customWidth="1"/>
    <col min="7" max="7" width="0" style="9" hidden="1" customWidth="1"/>
    <col min="8" max="16384" width="9.33203125" style="9"/>
  </cols>
  <sheetData>
    <row r="1" spans="2:9" s="26" customFormat="1" ht="15.6">
      <c r="B1" s="1" t="s">
        <v>28</v>
      </c>
      <c r="C1" s="28"/>
      <c r="D1" s="28"/>
      <c r="E1" s="1"/>
    </row>
    <row r="2" spans="2:9" s="29" customFormat="1" ht="13.8">
      <c r="B2" s="10" t="s">
        <v>64</v>
      </c>
      <c r="C2" s="10"/>
      <c r="D2" s="10"/>
      <c r="E2" s="10"/>
    </row>
    <row r="4" spans="2:9">
      <c r="B4" s="122"/>
      <c r="C4" s="123" t="s">
        <v>21</v>
      </c>
      <c r="D4" s="124"/>
      <c r="E4" s="124"/>
    </row>
    <row r="5" spans="2:9">
      <c r="B5" s="125" t="s">
        <v>3</v>
      </c>
      <c r="C5" s="126" t="s">
        <v>63</v>
      </c>
      <c r="D5" s="89" t="s">
        <v>85</v>
      </c>
      <c r="E5" s="127" t="s">
        <v>22</v>
      </c>
    </row>
    <row r="6" spans="2:9">
      <c r="B6" s="128"/>
      <c r="C6" s="129" t="s">
        <v>62</v>
      </c>
      <c r="D6" s="90" t="s">
        <v>62</v>
      </c>
      <c r="E6" s="127"/>
    </row>
    <row r="7" spans="2:9">
      <c r="B7" s="130"/>
      <c r="C7" s="131" t="s">
        <v>84</v>
      </c>
      <c r="D7" s="91" t="s">
        <v>84</v>
      </c>
      <c r="E7" s="132" t="s">
        <v>84</v>
      </c>
    </row>
    <row r="8" spans="2:9">
      <c r="C8" s="110" t="s">
        <v>12</v>
      </c>
      <c r="D8" s="27" t="s">
        <v>13</v>
      </c>
      <c r="E8" s="27" t="s">
        <v>14</v>
      </c>
    </row>
    <row r="9" spans="2:9">
      <c r="C9" s="27"/>
      <c r="D9" s="27"/>
      <c r="E9" s="24" t="str">
        <f>C8&amp;" - "&amp;D8</f>
        <v>(a) - (b)</v>
      </c>
    </row>
    <row r="10" spans="2:9" ht="6.75" customHeight="1">
      <c r="C10" s="27"/>
      <c r="D10" s="27"/>
      <c r="E10" s="24"/>
    </row>
    <row r="11" spans="2:9" s="14" customFormat="1">
      <c r="B11" s="88">
        <v>2009</v>
      </c>
      <c r="C11" s="22"/>
      <c r="D11" s="22">
        <v>58.600408994041445</v>
      </c>
      <c r="E11" s="22"/>
    </row>
    <row r="12" spans="2:9" s="14" customFormat="1">
      <c r="B12" s="88">
        <f>B11+1</f>
        <v>2010</v>
      </c>
      <c r="C12" s="22">
        <f>'Tables 3 to 4'!F12</f>
        <v>48.622840166615205</v>
      </c>
      <c r="D12" s="22">
        <v>63.687109152015942</v>
      </c>
      <c r="E12" s="22">
        <f>C12-D12</f>
        <v>-15.064268985400737</v>
      </c>
    </row>
    <row r="13" spans="2:9" s="14" customFormat="1">
      <c r="B13" s="88">
        <f>B12+1</f>
        <v>2011</v>
      </c>
      <c r="C13" s="22">
        <f>'Tables 3 to 4'!F13</f>
        <v>50.017514109704585</v>
      </c>
      <c r="D13" s="22">
        <v>63.725636635556349</v>
      </c>
      <c r="E13" s="22">
        <f>C13-D13</f>
        <v>-13.708122525851763</v>
      </c>
    </row>
    <row r="14" spans="2:9" s="14" customFormat="1">
      <c r="B14" s="88">
        <f>B13+1</f>
        <v>2012</v>
      </c>
      <c r="C14" s="22">
        <f>'Tables 3 to 4'!F14</f>
        <v>53.656061183331602</v>
      </c>
      <c r="D14" s="22">
        <v>64.598802979244454</v>
      </c>
      <c r="E14" s="22">
        <f>C14-D14</f>
        <v>-10.942741795912852</v>
      </c>
      <c r="H14" s="73"/>
      <c r="I14" s="73"/>
    </row>
    <row r="15" spans="2:9" s="14" customFormat="1">
      <c r="B15" s="88">
        <f>B14+1</f>
        <v>2013</v>
      </c>
      <c r="C15" s="22">
        <f>'Tables 3 to 4'!F15</f>
        <v>54.101686947630832</v>
      </c>
      <c r="D15" s="22">
        <v>65.838704340966444</v>
      </c>
      <c r="E15" s="22">
        <f>C15-D15</f>
        <v>-11.737017393335613</v>
      </c>
    </row>
    <row r="16" spans="2:9" s="14" customFormat="1">
      <c r="B16" s="88">
        <f>B15+1</f>
        <v>2014</v>
      </c>
      <c r="C16" s="22">
        <f>'Tables 3 to 4'!F16</f>
        <v>54.931685809382657</v>
      </c>
      <c r="D16" s="22"/>
      <c r="E16" s="22"/>
    </row>
    <row r="17" spans="2:13">
      <c r="B17" s="88"/>
      <c r="C17" s="21"/>
      <c r="D17" s="21"/>
      <c r="E17" s="106"/>
      <c r="F17" s="106"/>
      <c r="G17" s="106"/>
      <c r="H17" s="106"/>
      <c r="I17" s="106"/>
      <c r="J17" s="74"/>
      <c r="K17" s="106"/>
      <c r="M17" s="107"/>
    </row>
    <row r="18" spans="2:13">
      <c r="B18" s="93" t="str">
        <f>" Levelized Prices $/MWH  (Nominal) @ "&amp;TEXT($G$19,"?.0%")&amp;" Discount Rate (1)"</f>
        <v xml:space="preserve"> Levelized Prices $/MWH  (Nominal) @ 7.1% Discount Rate (1)</v>
      </c>
      <c r="E18" s="14"/>
      <c r="G18" s="93" t="s">
        <v>75</v>
      </c>
      <c r="L18" s="15"/>
    </row>
    <row r="19" spans="2:13">
      <c r="B19" s="17" t="str">
        <f>" 5 Year ("&amp;B11&amp;" - "&amp;B15&amp;")"</f>
        <v xml:space="preserve"> 5 Year (2009 - 2013)</v>
      </c>
      <c r="D19" s="73">
        <f>-PMT($G$19,COUNT(D11:D15),NPV($G$19,D11:D15))</f>
        <v>63.076168919661967</v>
      </c>
      <c r="E19" s="14"/>
      <c r="G19" s="86">
        <f>'For Tariff Page do not send'!H16</f>
        <v>7.0999999999999994E-2</v>
      </c>
      <c r="L19" s="15"/>
    </row>
    <row r="20" spans="2:13">
      <c r="B20" s="17" t="str">
        <f>" 5 Year ("&amp;B12&amp;" - "&amp;B16&amp;")"</f>
        <v xml:space="preserve"> 5 Year (2010 - 2014)</v>
      </c>
      <c r="C20" s="73">
        <f>-PMT($G$19,COUNT(C12:C16),NPV($G$19,C12:C16))</f>
        <v>52.035294876961409</v>
      </c>
      <c r="E20" s="73"/>
      <c r="F20" s="73"/>
      <c r="G20" s="73"/>
      <c r="H20" s="73"/>
      <c r="I20" s="92"/>
      <c r="L20" s="86"/>
      <c r="M20" s="107"/>
    </row>
    <row r="22" spans="2:13">
      <c r="B22" s="17" t="s">
        <v>11</v>
      </c>
    </row>
    <row r="23" spans="2:13">
      <c r="B23" s="17" t="str">
        <f>C8</f>
        <v>(a)</v>
      </c>
      <c r="C23" s="9" t="str">
        <f>"  "&amp;'Tables 3 to 4'!B1&amp;"  Column "&amp;'Tables 3 to 4'!F8</f>
        <v xml:space="preserve">  Table 3  Column (d)</v>
      </c>
    </row>
    <row r="24" spans="2:13">
      <c r="B24" s="17" t="str">
        <f>D8</f>
        <v>(b)</v>
      </c>
      <c r="C24" s="185" t="s">
        <v>114</v>
      </c>
    </row>
    <row r="26" spans="2:13">
      <c r="B26" s="184" t="s">
        <v>113</v>
      </c>
      <c r="C26" s="109" t="s">
        <v>115</v>
      </c>
    </row>
  </sheetData>
  <phoneticPr fontId="6" type="noConversion"/>
  <printOptions horizontalCentered="1"/>
  <pageMargins left="0.3" right="0.3" top="0.8" bottom="0.4" header="0.5" footer="0.2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H37"/>
  <sheetViews>
    <sheetView zoomScaleNormal="100" workbookViewId="0">
      <pane xSplit="2" ySplit="7" topLeftCell="C8" activePane="bottomRight" state="frozen"/>
      <selection activeCell="Q27" sqref="Q27"/>
      <selection pane="topRight" activeCell="Q27" sqref="Q27"/>
      <selection pane="bottomLeft" activeCell="Q27" sqref="Q27"/>
      <selection pane="bottomRight" activeCell="D43" sqref="D43"/>
    </sheetView>
  </sheetViews>
  <sheetFormatPr defaultColWidth="9.33203125" defaultRowHeight="13.2"/>
  <cols>
    <col min="1" max="1" width="2.109375" style="3" customWidth="1"/>
    <col min="2" max="2" width="6" style="3" customWidth="1"/>
    <col min="3" max="3" width="9.77734375" style="3" customWidth="1"/>
    <col min="4" max="4" width="12.33203125" style="3" customWidth="1"/>
    <col min="5" max="5" width="9.109375" style="3" customWidth="1"/>
    <col min="6" max="6" width="9.77734375" style="3" bestFit="1" customWidth="1"/>
    <col min="7" max="8" width="10.109375" style="3" customWidth="1"/>
    <col min="9" max="9" width="2.33203125" style="3" customWidth="1"/>
    <col min="10" max="16384" width="9.33203125" style="3"/>
  </cols>
  <sheetData>
    <row r="1" spans="1:8" ht="15.6">
      <c r="B1" s="1" t="s">
        <v>29</v>
      </c>
      <c r="C1" s="2"/>
      <c r="D1" s="2"/>
      <c r="E1" s="2"/>
      <c r="F1" s="2"/>
      <c r="G1" s="2"/>
      <c r="H1" s="2"/>
    </row>
    <row r="2" spans="1:8" ht="15.6">
      <c r="B2" s="1" t="s">
        <v>81</v>
      </c>
      <c r="C2" s="2"/>
      <c r="D2" s="2"/>
      <c r="E2" s="2"/>
      <c r="F2" s="2"/>
      <c r="G2" s="2"/>
      <c r="H2" s="2"/>
    </row>
    <row r="3" spans="1:8" ht="15.6">
      <c r="B3" s="1" t="str">
        <f>B22</f>
        <v>SCCT Frame (2 Frame "F") - West Side Options (1500')</v>
      </c>
      <c r="C3" s="2"/>
      <c r="D3" s="2"/>
      <c r="E3" s="2"/>
      <c r="F3" s="2"/>
      <c r="G3" s="2"/>
      <c r="H3" s="2"/>
    </row>
    <row r="4" spans="1:8">
      <c r="B4" s="4"/>
      <c r="C4" s="4"/>
      <c r="D4" s="4"/>
      <c r="E4" s="4"/>
      <c r="F4" s="4"/>
      <c r="G4" s="4"/>
      <c r="H4" s="4"/>
    </row>
    <row r="5" spans="1:8" s="144" customFormat="1" ht="51.75" customHeight="1">
      <c r="A5" s="140"/>
      <c r="B5" s="141" t="s">
        <v>3</v>
      </c>
      <c r="C5" s="142" t="s">
        <v>32</v>
      </c>
      <c r="D5" s="142" t="s">
        <v>33</v>
      </c>
      <c r="E5" s="142" t="s">
        <v>34</v>
      </c>
      <c r="F5" s="142" t="s">
        <v>35</v>
      </c>
      <c r="G5" s="142" t="s">
        <v>36</v>
      </c>
      <c r="H5" s="142" t="s">
        <v>37</v>
      </c>
    </row>
    <row r="6" spans="1:8" s="144" customFormat="1" ht="18.75" customHeight="1">
      <c r="B6" s="145"/>
      <c r="C6" s="146" t="s">
        <v>30</v>
      </c>
      <c r="D6" s="147" t="s">
        <v>31</v>
      </c>
      <c r="E6" s="147" t="s">
        <v>31</v>
      </c>
      <c r="F6" s="146" t="s">
        <v>80</v>
      </c>
      <c r="G6" s="147" t="s">
        <v>31</v>
      </c>
      <c r="H6" s="147" t="s">
        <v>31</v>
      </c>
    </row>
    <row r="7" spans="1:8" s="144" customFormat="1">
      <c r="C7" s="148" t="s">
        <v>12</v>
      </c>
      <c r="D7" s="148" t="s">
        <v>13</v>
      </c>
      <c r="E7" s="148" t="s">
        <v>14</v>
      </c>
      <c r="F7" s="148" t="s">
        <v>15</v>
      </c>
      <c r="G7" s="148" t="s">
        <v>16</v>
      </c>
      <c r="H7" s="148" t="s">
        <v>24</v>
      </c>
    </row>
    <row r="8" spans="1:8" s="144" customFormat="1" ht="6" customHeight="1"/>
    <row r="9" spans="1:8" s="144" customFormat="1">
      <c r="B9" s="149">
        <v>2008</v>
      </c>
      <c r="C9" s="150">
        <f>C24</f>
        <v>679</v>
      </c>
      <c r="D9" s="151">
        <f>ROUND(C9*C28,2)</f>
        <v>58.53</v>
      </c>
      <c r="E9" s="151">
        <f>C25</f>
        <v>3.9</v>
      </c>
      <c r="F9" s="151">
        <f>C26</f>
        <v>12.63</v>
      </c>
      <c r="G9" s="152">
        <f t="shared" ref="G9:G15" si="0">ROUND(F9*(8.76*$C$29)+E9,2)</f>
        <v>27.13</v>
      </c>
      <c r="H9" s="152">
        <f>ROUND(D9+G9,2)</f>
        <v>85.66</v>
      </c>
    </row>
    <row r="10" spans="1:8" s="144" customFormat="1">
      <c r="B10" s="149">
        <f t="shared" ref="B10:B15" si="1">B9+1</f>
        <v>2009</v>
      </c>
      <c r="C10" s="153"/>
      <c r="D10" s="151">
        <f>ROUND(D9*(1+$D$32),2)</f>
        <v>58.76</v>
      </c>
      <c r="E10" s="151">
        <f>ROUND(E9*(1+$D$32),2)</f>
        <v>3.92</v>
      </c>
      <c r="F10" s="151">
        <f>ROUND(F9*(1+$D$32),2)</f>
        <v>12.68</v>
      </c>
      <c r="G10" s="152">
        <f t="shared" si="0"/>
        <v>27.25</v>
      </c>
      <c r="H10" s="152">
        <f t="shared" ref="H10:H15" si="2">ROUND(D10+G10,2)</f>
        <v>86.01</v>
      </c>
    </row>
    <row r="11" spans="1:8" s="144" customFormat="1">
      <c r="B11" s="149">
        <f t="shared" si="1"/>
        <v>2010</v>
      </c>
      <c r="C11" s="153"/>
      <c r="D11" s="151">
        <f>ROUND(D10*(1+$D$33),2)</f>
        <v>59.47</v>
      </c>
      <c r="E11" s="151">
        <f>ROUND(E10*(1+$D$33),2)</f>
        <v>3.97</v>
      </c>
      <c r="F11" s="151">
        <f>ROUND(F10*(1+$D$33),2)</f>
        <v>12.83</v>
      </c>
      <c r="G11" s="152">
        <f t="shared" si="0"/>
        <v>27.57</v>
      </c>
      <c r="H11" s="152">
        <f t="shared" si="2"/>
        <v>87.04</v>
      </c>
    </row>
    <row r="12" spans="1:8" s="144" customFormat="1">
      <c r="B12" s="149">
        <f t="shared" si="1"/>
        <v>2011</v>
      </c>
      <c r="C12" s="153"/>
      <c r="D12" s="151">
        <f>ROUND(D11*(1+$D$34),2)</f>
        <v>60.6</v>
      </c>
      <c r="E12" s="151">
        <f>ROUND(E11*(1+$D$34),2)</f>
        <v>4.05</v>
      </c>
      <c r="F12" s="151">
        <f>ROUND(F11*(1+$D$34),2)</f>
        <v>13.07</v>
      </c>
      <c r="G12" s="152">
        <f t="shared" si="0"/>
        <v>28.09</v>
      </c>
      <c r="H12" s="152">
        <f t="shared" si="2"/>
        <v>88.69</v>
      </c>
    </row>
    <row r="13" spans="1:8" s="144" customFormat="1">
      <c r="A13" s="143"/>
      <c r="B13" s="154">
        <f t="shared" si="1"/>
        <v>2012</v>
      </c>
      <c r="C13" s="155"/>
      <c r="D13" s="152">
        <f>ROUND(D12*(1+$D$35),2)</f>
        <v>61.69</v>
      </c>
      <c r="E13" s="152">
        <f>ROUND(E12*(1+$D$35),2)</f>
        <v>4.12</v>
      </c>
      <c r="F13" s="152">
        <f>ROUND(F12*(1+$D$35),2)</f>
        <v>13.31</v>
      </c>
      <c r="G13" s="152">
        <f t="shared" si="0"/>
        <v>28.61</v>
      </c>
      <c r="H13" s="152">
        <f t="shared" si="2"/>
        <v>90.3</v>
      </c>
    </row>
    <row r="14" spans="1:8" s="143" customFormat="1">
      <c r="B14" s="154">
        <f t="shared" si="1"/>
        <v>2013</v>
      </c>
      <c r="C14" s="155"/>
      <c r="D14" s="152">
        <f>ROUND(D13*(1+$D$36),2)</f>
        <v>62.8</v>
      </c>
      <c r="E14" s="152">
        <f>ROUND(E13*(1+$D$36),2)</f>
        <v>4.1900000000000004</v>
      </c>
      <c r="F14" s="152">
        <f>ROUND(F13*(1+$D$36),2)</f>
        <v>13.55</v>
      </c>
      <c r="G14" s="152">
        <f t="shared" si="0"/>
        <v>29.12</v>
      </c>
      <c r="H14" s="152">
        <f t="shared" si="2"/>
        <v>91.92</v>
      </c>
    </row>
    <row r="15" spans="1:8" s="143" customFormat="1">
      <c r="B15" s="154">
        <f t="shared" si="1"/>
        <v>2014</v>
      </c>
      <c r="C15" s="155"/>
      <c r="D15" s="152">
        <f>ROUND(D14*(1+$D$37),2)</f>
        <v>63.93</v>
      </c>
      <c r="E15" s="152">
        <f>ROUND(E14*(1+$D$37),2)</f>
        <v>4.2699999999999996</v>
      </c>
      <c r="F15" s="152">
        <f>ROUND(F14*(1+$D$37),2)</f>
        <v>13.79</v>
      </c>
      <c r="G15" s="152">
        <f t="shared" si="0"/>
        <v>29.64</v>
      </c>
      <c r="H15" s="152">
        <f t="shared" si="2"/>
        <v>93.57</v>
      </c>
    </row>
    <row r="16" spans="1:8" s="144" customFormat="1">
      <c r="B16" s="154"/>
      <c r="C16" s="155"/>
      <c r="D16" s="156"/>
      <c r="E16" s="157"/>
      <c r="F16" s="157"/>
      <c r="G16" s="157"/>
      <c r="H16" s="157"/>
    </row>
    <row r="17" spans="2:8" s="144" customFormat="1">
      <c r="B17" s="98" t="s">
        <v>54</v>
      </c>
      <c r="C17" s="98"/>
      <c r="D17" s="98" t="s">
        <v>93</v>
      </c>
      <c r="E17" s="98"/>
      <c r="F17" s="98"/>
      <c r="G17" s="98"/>
      <c r="H17" s="98"/>
    </row>
    <row r="18" spans="2:8" s="144" customFormat="1">
      <c r="B18" s="98"/>
      <c r="C18" s="99" t="str">
        <f>D7</f>
        <v>(b)</v>
      </c>
      <c r="D18" s="100" t="str">
        <f>"= "&amp;C7&amp;" x"&amp;D28</f>
        <v>= (a) x  Payment Factor</v>
      </c>
      <c r="E18" s="98"/>
      <c r="F18" s="98"/>
      <c r="G18" s="98"/>
      <c r="H18" s="98"/>
    </row>
    <row r="19" spans="2:8" s="144" customFormat="1">
      <c r="B19" s="98"/>
      <c r="C19" s="99" t="str">
        <f>G7</f>
        <v>(e)</v>
      </c>
      <c r="D19" s="100" t="str">
        <f>"= "&amp;$F$7&amp;" x  (8.76 x "&amp;TEXT(C29,"?%")&amp;" ) + "&amp;$E$7</f>
        <v>= (d) x  (8.76 x 21% ) + (c)</v>
      </c>
      <c r="E19" s="98"/>
      <c r="F19" s="98"/>
      <c r="G19" s="98"/>
      <c r="H19" s="98"/>
    </row>
    <row r="20" spans="2:8" s="144" customFormat="1">
      <c r="B20" s="98"/>
      <c r="C20" s="99" t="str">
        <f>H7</f>
        <v>(f)</v>
      </c>
      <c r="D20" s="100" t="str">
        <f>"= "&amp;D7&amp;" + "&amp;G7</f>
        <v>= (b) + (e)</v>
      </c>
      <c r="E20" s="98"/>
      <c r="F20" s="98"/>
      <c r="G20" s="98"/>
      <c r="H20" s="98"/>
    </row>
    <row r="21" spans="2:8" s="144" customFormat="1">
      <c r="B21" s="98"/>
      <c r="D21" s="98"/>
      <c r="E21" s="98"/>
      <c r="F21" s="98"/>
      <c r="G21" s="102"/>
      <c r="H21" s="98"/>
    </row>
    <row r="22" spans="2:8" s="144" customFormat="1">
      <c r="B22" s="180" t="s">
        <v>94</v>
      </c>
      <c r="C22" s="177"/>
      <c r="D22" s="178"/>
      <c r="E22" s="177"/>
      <c r="F22" s="177"/>
      <c r="G22" s="177"/>
      <c r="H22" s="179"/>
    </row>
    <row r="23" spans="2:8" s="144" customFormat="1">
      <c r="B23" s="98"/>
      <c r="C23" s="98">
        <v>338</v>
      </c>
      <c r="D23" s="144" t="s">
        <v>101</v>
      </c>
      <c r="E23" s="98"/>
      <c r="H23" s="175" t="s">
        <v>105</v>
      </c>
    </row>
    <row r="24" spans="2:8" s="144" customFormat="1">
      <c r="B24" s="98"/>
      <c r="C24" s="95">
        <v>679</v>
      </c>
      <c r="D24" s="144" t="s">
        <v>102</v>
      </c>
      <c r="E24" s="102"/>
      <c r="F24" s="103"/>
      <c r="G24" s="104"/>
      <c r="H24" s="176" t="s">
        <v>30</v>
      </c>
    </row>
    <row r="25" spans="2:8" s="144" customFormat="1">
      <c r="B25" s="98"/>
      <c r="C25" s="101">
        <f>3.4+0.5</f>
        <v>3.9</v>
      </c>
      <c r="D25" s="144" t="s">
        <v>103</v>
      </c>
      <c r="E25" s="102"/>
      <c r="F25" s="103"/>
      <c r="G25" s="104"/>
      <c r="H25" s="176" t="s">
        <v>31</v>
      </c>
    </row>
    <row r="26" spans="2:8" s="144" customFormat="1">
      <c r="B26" s="98"/>
      <c r="C26" s="101">
        <f>4.07+C27</f>
        <v>12.63</v>
      </c>
      <c r="D26" s="158" t="s">
        <v>111</v>
      </c>
      <c r="E26" s="102"/>
      <c r="F26" s="103"/>
      <c r="G26" s="104"/>
      <c r="H26" s="176" t="s">
        <v>89</v>
      </c>
    </row>
    <row r="27" spans="2:8" s="144" customFormat="1">
      <c r="B27" s="98"/>
      <c r="C27" s="101">
        <v>8.56</v>
      </c>
      <c r="D27" s="158" t="s">
        <v>104</v>
      </c>
      <c r="E27" s="102"/>
      <c r="F27" s="103"/>
      <c r="G27" s="104"/>
      <c r="H27" s="176" t="s">
        <v>89</v>
      </c>
    </row>
    <row r="28" spans="2:8" s="144" customFormat="1">
      <c r="B28" s="98"/>
      <c r="C28" s="105">
        <v>8.6199999999999999E-2</v>
      </c>
      <c r="D28" s="144" t="s">
        <v>82</v>
      </c>
      <c r="E28" s="98"/>
      <c r="F28" s="98"/>
      <c r="G28" s="98"/>
      <c r="H28" s="98"/>
    </row>
    <row r="29" spans="2:8" s="144" customFormat="1">
      <c r="B29" s="98"/>
      <c r="C29" s="159">
        <v>0.21</v>
      </c>
      <c r="D29" s="144" t="s">
        <v>95</v>
      </c>
      <c r="E29" s="98"/>
      <c r="F29" s="98"/>
      <c r="G29" s="98"/>
      <c r="H29" s="98"/>
    </row>
    <row r="30" spans="2:8" s="144" customFormat="1">
      <c r="B30" s="98"/>
      <c r="C30" s="159"/>
      <c r="E30" s="98"/>
      <c r="F30" s="98"/>
      <c r="G30" s="98"/>
      <c r="H30" s="98"/>
    </row>
    <row r="31" spans="2:8" s="144" customFormat="1">
      <c r="B31" s="180" t="s">
        <v>112</v>
      </c>
      <c r="C31" s="181"/>
      <c r="D31" s="181"/>
      <c r="E31" s="181"/>
      <c r="F31" s="181"/>
      <c r="G31" s="181"/>
      <c r="H31" s="182"/>
    </row>
    <row r="32" spans="2:8" s="144" customFormat="1">
      <c r="C32" s="149">
        <v>2009</v>
      </c>
      <c r="D32" s="96">
        <v>4.0000000000000001E-3</v>
      </c>
    </row>
    <row r="33" spans="3:4" s="144" customFormat="1">
      <c r="C33" s="149">
        <f>C32+1</f>
        <v>2010</v>
      </c>
      <c r="D33" s="96">
        <v>1.2E-2</v>
      </c>
    </row>
    <row r="34" spans="3:4" s="144" customFormat="1">
      <c r="C34" s="149">
        <f>C33+1</f>
        <v>2011</v>
      </c>
      <c r="D34" s="96">
        <v>1.9E-2</v>
      </c>
    </row>
    <row r="35" spans="3:4" s="144" customFormat="1">
      <c r="C35" s="149">
        <f>C34+1</f>
        <v>2012</v>
      </c>
      <c r="D35" s="160">
        <v>1.7999999999999999E-2</v>
      </c>
    </row>
    <row r="36" spans="3:4" s="144" customFormat="1">
      <c r="C36" s="149">
        <f>C35+1</f>
        <v>2013</v>
      </c>
      <c r="D36" s="160">
        <v>1.7999999999999999E-2</v>
      </c>
    </row>
    <row r="37" spans="3:4" s="144" customFormat="1">
      <c r="C37" s="149">
        <f>C36+1</f>
        <v>2014</v>
      </c>
      <c r="D37" s="160">
        <v>1.7999999999999999E-2</v>
      </c>
    </row>
  </sheetData>
  <phoneticPr fontId="6" type="noConversion"/>
  <printOptions horizontalCentered="1"/>
  <pageMargins left="0.3" right="0.3" top="0.8" bottom="0.4" header="0.5" footer="0.2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B1:M23"/>
  <sheetViews>
    <sheetView tabSelected="1" workbookViewId="0">
      <pane xSplit="2" ySplit="8" topLeftCell="C9" activePane="bottomRight" state="frozen"/>
      <selection activeCell="Q27" sqref="Q27"/>
      <selection pane="topRight" activeCell="Q27" sqref="Q27"/>
      <selection pane="bottomLeft" activeCell="Q27" sqref="Q27"/>
      <selection pane="bottomRight" activeCell="M26" sqref="M26"/>
    </sheetView>
  </sheetViews>
  <sheetFormatPr defaultColWidth="9.33203125" defaultRowHeight="13.2"/>
  <cols>
    <col min="1" max="1" width="18" style="9" customWidth="1"/>
    <col min="2" max="4" width="21.77734375" style="9" customWidth="1"/>
    <col min="5" max="5" width="2.77734375" style="9" customWidth="1"/>
    <col min="6" max="6" width="4.109375" style="9" customWidth="1"/>
    <col min="7" max="7" width="9.77734375" style="9" bestFit="1" customWidth="1"/>
    <col min="8" max="8" width="0" style="9" hidden="1" customWidth="1"/>
    <col min="9" max="10" width="9.33203125" style="9"/>
    <col min="11" max="11" width="12.77734375" style="9" customWidth="1"/>
    <col min="12" max="14" width="9.77734375" style="9" customWidth="1"/>
    <col min="15" max="15" width="2.77734375" style="9" customWidth="1"/>
    <col min="16" max="16" width="12.6640625" style="9" customWidth="1"/>
    <col min="17" max="18" width="9.77734375" style="9" customWidth="1"/>
    <col min="19" max="16384" width="9.33203125" style="9"/>
  </cols>
  <sheetData>
    <row r="1" spans="2:13">
      <c r="B1" s="8"/>
      <c r="C1" s="8"/>
      <c r="D1" s="8"/>
      <c r="E1" s="8"/>
      <c r="F1" s="74"/>
    </row>
    <row r="2" spans="2:13" ht="13.8">
      <c r="B2" s="10" t="s">
        <v>71</v>
      </c>
      <c r="C2" s="10"/>
      <c r="D2" s="10"/>
      <c r="E2" s="10"/>
      <c r="F2" s="74"/>
    </row>
    <row r="3" spans="2:13" ht="13.8">
      <c r="B3" s="10" t="s">
        <v>106</v>
      </c>
      <c r="C3" s="10"/>
      <c r="D3" s="10"/>
      <c r="E3" s="10"/>
      <c r="F3" s="74"/>
    </row>
    <row r="4" spans="2:13">
      <c r="F4" s="74"/>
    </row>
    <row r="5" spans="2:13" ht="13.8" thickBot="1">
      <c r="D5" s="97"/>
      <c r="E5" s="97"/>
      <c r="F5" s="74"/>
    </row>
    <row r="6" spans="2:13">
      <c r="B6" s="133" t="s">
        <v>76</v>
      </c>
      <c r="C6" s="133" t="s">
        <v>18</v>
      </c>
      <c r="D6" s="133" t="s">
        <v>86</v>
      </c>
      <c r="E6" s="97"/>
      <c r="F6" s="74"/>
    </row>
    <row r="7" spans="2:13">
      <c r="B7" s="134" t="s">
        <v>77</v>
      </c>
      <c r="C7" s="134" t="s">
        <v>87</v>
      </c>
      <c r="D7" s="134" t="s">
        <v>87</v>
      </c>
      <c r="E7" s="97"/>
      <c r="F7" s="74"/>
    </row>
    <row r="8" spans="2:13" ht="13.8" thickBot="1">
      <c r="B8" s="135" t="s">
        <v>78</v>
      </c>
      <c r="C8" s="135" t="s">
        <v>88</v>
      </c>
      <c r="D8" s="136" t="s">
        <v>89</v>
      </c>
      <c r="E8" s="97"/>
      <c r="F8" s="74"/>
    </row>
    <row r="9" spans="2:13">
      <c r="B9" s="88">
        <f>'Tables 5'!B12</f>
        <v>2010</v>
      </c>
      <c r="C9" s="21">
        <f>'Tables 3 to 4'!C12/12</f>
        <v>1.8133333333333335</v>
      </c>
      <c r="D9" s="106">
        <f>'Tables 3 to 4'!D12</f>
        <v>45.700465737391461</v>
      </c>
      <c r="E9" s="97"/>
      <c r="F9" s="74"/>
      <c r="I9" s="107"/>
      <c r="L9" s="107"/>
      <c r="M9" s="107"/>
    </row>
    <row r="10" spans="2:13">
      <c r="B10" s="88">
        <f>'Tables 5'!B13</f>
        <v>2011</v>
      </c>
      <c r="C10" s="21">
        <v>0</v>
      </c>
      <c r="D10" s="106">
        <f>'Tables 3 to 4'!D13</f>
        <v>50.017514109704585</v>
      </c>
      <c r="E10" s="97"/>
      <c r="F10" s="74"/>
      <c r="I10" s="107"/>
      <c r="L10" s="107"/>
      <c r="M10" s="107"/>
    </row>
    <row r="11" spans="2:13">
      <c r="B11" s="88">
        <f>'Tables 5'!B14</f>
        <v>2012</v>
      </c>
      <c r="C11" s="21">
        <f>'Tables 3 to 4'!C14/12</f>
        <v>1.8812499999999999</v>
      </c>
      <c r="D11" s="106">
        <f>'Tables 3 to 4'!D14</f>
        <v>50.624232013307427</v>
      </c>
      <c r="E11" s="97"/>
      <c r="F11" s="74"/>
      <c r="I11" s="107"/>
      <c r="L11" s="107"/>
      <c r="M11" s="107"/>
    </row>
    <row r="12" spans="2:13">
      <c r="B12" s="88">
        <f>'Tables 5'!B15</f>
        <v>2013</v>
      </c>
      <c r="C12" s="21">
        <f>'Tables 3 to 4'!C15/12</f>
        <v>1.915</v>
      </c>
      <c r="D12" s="106">
        <f>'Tables 3 to 4'!D15</f>
        <v>51.015466157945092</v>
      </c>
      <c r="E12" s="97"/>
      <c r="F12" s="74"/>
      <c r="I12" s="107"/>
      <c r="L12" s="107"/>
      <c r="M12" s="107"/>
    </row>
    <row r="13" spans="2:13">
      <c r="B13" s="88">
        <f>'Tables 5'!B16</f>
        <v>2014</v>
      </c>
      <c r="C13" s="21">
        <f>'Tables 3 to 4'!C16/12</f>
        <v>1.9493749999999999</v>
      </c>
      <c r="D13" s="106">
        <f>'Tables 3 to 4'!D16</f>
        <v>51.790066147819402</v>
      </c>
      <c r="E13" s="97"/>
      <c r="F13" s="74"/>
      <c r="I13" s="107"/>
      <c r="L13" s="107"/>
      <c r="M13" s="107"/>
    </row>
    <row r="14" spans="2:13">
      <c r="B14" s="88"/>
      <c r="C14" s="88"/>
      <c r="D14" s="106"/>
      <c r="E14" s="97"/>
      <c r="F14" s="74"/>
      <c r="I14" s="107"/>
    </row>
    <row r="15" spans="2:13">
      <c r="B15" s="93" t="str">
        <f>" 5 Year ("&amp;B9&amp;" - "&amp;B13&amp;") Levelized Prices (Nominal) @ "&amp;TEXT(H16,"?.0%")&amp;" Discount Rate (1)"</f>
        <v xml:space="preserve"> 5 Year (2010 - 2014) Levelized Prices (Nominal) @ 7.1% Discount Rate (1)</v>
      </c>
      <c r="C15" s="93"/>
      <c r="D15" s="14"/>
      <c r="H15" s="15" t="s">
        <v>75</v>
      </c>
    </row>
    <row r="16" spans="2:13">
      <c r="B16" s="137" t="s">
        <v>88</v>
      </c>
      <c r="C16" s="21">
        <f>-PMT($H$16,COUNT(C9:C13),NPV($H$16,C9:C13))</f>
        <v>1.4827638869167887</v>
      </c>
      <c r="D16" s="21"/>
      <c r="F16" s="74"/>
      <c r="H16" s="108">
        <v>7.0999999999999994E-2</v>
      </c>
      <c r="I16" s="107"/>
    </row>
    <row r="17" spans="2:9">
      <c r="B17" s="137" t="s">
        <v>90</v>
      </c>
      <c r="C17" s="21">
        <f>C16*12</f>
        <v>17.793166643001463</v>
      </c>
      <c r="D17" s="21"/>
      <c r="F17" s="74"/>
      <c r="H17" s="108"/>
      <c r="I17" s="107"/>
    </row>
    <row r="18" spans="2:9">
      <c r="B18" s="138" t="s">
        <v>80</v>
      </c>
      <c r="C18" s="21"/>
      <c r="D18" s="21">
        <f>-PMT($H$16,COUNT(D9:D13),NPV($H$16,D9:D13))</f>
        <v>49.645667339625746</v>
      </c>
      <c r="E18" s="73"/>
      <c r="F18" s="74"/>
      <c r="I18" s="107"/>
    </row>
    <row r="19" spans="2:9">
      <c r="D19" s="139"/>
      <c r="E19" s="139"/>
      <c r="F19" s="74"/>
      <c r="I19" s="92"/>
    </row>
    <row r="20" spans="2:9">
      <c r="B20" s="185" t="s">
        <v>117</v>
      </c>
      <c r="D20" s="73"/>
      <c r="E20" s="73"/>
      <c r="F20" s="74"/>
    </row>
    <row r="21" spans="2:9">
      <c r="B21" s="186" t="s">
        <v>116</v>
      </c>
      <c r="C21" s="87"/>
      <c r="D21" s="74"/>
      <c r="E21" s="74"/>
      <c r="F21" s="74"/>
    </row>
    <row r="22" spans="2:9">
      <c r="F22" s="74"/>
      <c r="I22" s="18"/>
    </row>
    <row r="23" spans="2:9">
      <c r="I23" s="18"/>
    </row>
  </sheetData>
  <phoneticPr fontId="6" type="noConversion"/>
  <printOptions horizontalCentered="1"/>
  <pageMargins left="0.3" right="0.3" top="0.8" bottom="0.4" header="0.5" footer="0.2"/>
  <pageSetup orientation="portrait" copies="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E3D7F95D22A04CB1BF169A1F7E4CDA" ma:contentTypeVersion="131" ma:contentTypeDescription="" ma:contentTypeScope="" ma:versionID="e9570e6b5b054e56ba3ad4d75850b97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2009-12-30T08:00:00+00:00</OpenedDate>
    <Date1 xmlns="dc463f71-b30c-4ab2-9473-d307f9d35888">2009-12-30T08:00:00+00:00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091973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9BC2A09-EDD7-4557-970A-CFD0C107D730}"/>
</file>

<file path=customXml/itemProps2.xml><?xml version="1.0" encoding="utf-8"?>
<ds:datastoreItem xmlns:ds="http://schemas.openxmlformats.org/officeDocument/2006/customXml" ds:itemID="{63F6017E-98E4-43B9-AF22-E00261A9E262}"/>
</file>

<file path=customXml/itemProps3.xml><?xml version="1.0" encoding="utf-8"?>
<ds:datastoreItem xmlns:ds="http://schemas.openxmlformats.org/officeDocument/2006/customXml" ds:itemID="{85A0833E-267E-479B-93A9-56B614910D79}"/>
</file>

<file path=customXml/itemProps4.xml><?xml version="1.0" encoding="utf-8"?>
<ds:datastoreItem xmlns:ds="http://schemas.openxmlformats.org/officeDocument/2006/customXml" ds:itemID="{70DD07C4-418B-4084-AFE4-A9AD6E7013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Table 1</vt:lpstr>
      <vt:lpstr>Table 2</vt:lpstr>
      <vt:lpstr>Tables 3 to 4</vt:lpstr>
      <vt:lpstr>Tables 5</vt:lpstr>
      <vt:lpstr>Table 6</vt:lpstr>
      <vt:lpstr>For Tariff Page do not send</vt:lpstr>
      <vt:lpstr>'For Tariff Page do not send'!Print_Area</vt:lpstr>
      <vt:lpstr>'Table 1'!Print_Area</vt:lpstr>
      <vt:lpstr>'Table 2'!Print_Area</vt:lpstr>
      <vt:lpstr>'Table 6'!Print_Area</vt:lpstr>
      <vt:lpstr>'Tables 3 to 4'!Print_Area</vt:lpstr>
      <vt:lpstr>'Tables 5'!Print_Area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Catherine Hudspeth</cp:lastModifiedBy>
  <cp:lastPrinted>2009-12-28T18:18:06Z</cp:lastPrinted>
  <dcterms:created xsi:type="dcterms:W3CDTF">2001-03-19T15:45:46Z</dcterms:created>
  <dcterms:modified xsi:type="dcterms:W3CDTF">2009-12-30T23:56:08Z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0x0101006E56B4D1795A2E4DB2F0B01679ED314A00EAE3D7F95D22A04CB1BF169A1F7E4CDA</vt:lpwstr>
  </property>
  <property fmtid="{D5CDD505-2E9C-101B-9397-08002B2CF9AE}" pid="3" name="_docset_NoMedatataSyncRequired">
    <vt:lpwstr>False</vt:lpwstr>
  </property>
</Properties>
</file>