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9120"/>
  </bookViews>
  <sheets>
    <sheet name="Staff revised cost of deb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cctGrp">[1]Amort!$O$34</definedName>
    <definedName name="ActualsDate">[2]Sheet2!$B$1</definedName>
    <definedName name="CurrDte">[3]Debt!$C$1</definedName>
    <definedName name="d">[4]Sheet2!$B$8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fadf">[5]Sheet2!$B$8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fasd">[5]Sheet2!$B$8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>[2]Sheet2!$B$5</definedName>
    <definedName name="PriceDate_G">[2]Sheet2!$B$6</definedName>
    <definedName name="Print_ScenDate">[2]Sheet2!$B$2</definedName>
    <definedName name="Scenario_Name">[2]Sheet2!$B$8</definedName>
    <definedName name="Start_Page">[2]Sheet2!$B$10</definedName>
    <definedName name="wrn.All._.Sheets." hidden="1">{"IncSt",#N/A,FALSE,"IS";"BalSht",#N/A,FALSE,"BS";"IntCash",#N/A,FALSE,"Int. Cash";"Stats",#N/A,FALSE,"Stats"}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</definedNames>
  <calcPr calcId="145621" calcMode="autoNoTable"/>
</workbook>
</file>

<file path=xl/calcChain.xml><?xml version="1.0" encoding="utf-8"?>
<calcChain xmlns="http://schemas.openxmlformats.org/spreadsheetml/2006/main">
  <c r="V39" i="1" l="1"/>
  <c r="W37" i="1"/>
  <c r="AA37" i="1" s="1"/>
  <c r="K37" i="1"/>
  <c r="V35" i="1"/>
  <c r="W33" i="1"/>
  <c r="AA33" i="1" s="1"/>
  <c r="U33" i="1"/>
  <c r="U32" i="1"/>
  <c r="W32" i="1" s="1"/>
  <c r="AA32" i="1" s="1"/>
  <c r="W31" i="1"/>
  <c r="AA31" i="1" s="1"/>
  <c r="U31" i="1"/>
  <c r="U30" i="1"/>
  <c r="W30" i="1" s="1"/>
  <c r="AA30" i="1" s="1"/>
  <c r="S30" i="1"/>
  <c r="U29" i="1"/>
  <c r="W29" i="1" s="1"/>
  <c r="AA29" i="1" s="1"/>
  <c r="U26" i="1"/>
  <c r="W26" i="1" s="1"/>
  <c r="M26" i="1"/>
  <c r="W25" i="1"/>
  <c r="U25" i="1"/>
  <c r="W24" i="1"/>
  <c r="U24" i="1"/>
  <c r="W23" i="1"/>
  <c r="U23" i="1"/>
  <c r="W22" i="1"/>
  <c r="U22" i="1"/>
  <c r="W21" i="1"/>
  <c r="U21" i="1"/>
  <c r="W20" i="1"/>
  <c r="U20" i="1"/>
  <c r="W19" i="1"/>
  <c r="U19" i="1"/>
  <c r="W18" i="1"/>
  <c r="U18" i="1"/>
  <c r="W17" i="1"/>
  <c r="U17" i="1"/>
  <c r="W16" i="1"/>
  <c r="U16" i="1"/>
  <c r="W15" i="1"/>
  <c r="U14" i="1"/>
  <c r="W13" i="1"/>
  <c r="U13" i="1"/>
  <c r="W12" i="1"/>
  <c r="U12" i="1"/>
  <c r="W11" i="1"/>
  <c r="U11" i="1"/>
  <c r="W10" i="1"/>
  <c r="U10" i="1"/>
  <c r="A10" i="1"/>
  <c r="A11" i="1" s="1"/>
  <c r="AC9" i="1"/>
  <c r="W9" i="1"/>
  <c r="U9" i="1"/>
  <c r="Y7" i="1"/>
  <c r="A3" i="1"/>
  <c r="V37" i="1" s="1"/>
  <c r="AC11" i="1" l="1"/>
  <c r="A12" i="1"/>
  <c r="AA17" i="1"/>
  <c r="AA21" i="1"/>
  <c r="Y9" i="1"/>
  <c r="AC10" i="1"/>
  <c r="Y11" i="1"/>
  <c r="AA11" i="1" s="1"/>
  <c r="Y13" i="1"/>
  <c r="Y16" i="1"/>
  <c r="Y18" i="1"/>
  <c r="AA18" i="1" s="1"/>
  <c r="Y20" i="1"/>
  <c r="Y22" i="1"/>
  <c r="Y24" i="1"/>
  <c r="AA20" i="1"/>
  <c r="AA13" i="1"/>
  <c r="Y14" i="1"/>
  <c r="AA16" i="1"/>
  <c r="AA22" i="1"/>
  <c r="AA24" i="1"/>
  <c r="Y26" i="1"/>
  <c r="AA26" i="1" s="1"/>
  <c r="Y10" i="1"/>
  <c r="AA10" i="1" s="1"/>
  <c r="Y12" i="1"/>
  <c r="AA12" i="1" s="1"/>
  <c r="AA14" i="1"/>
  <c r="Y15" i="1"/>
  <c r="Y17" i="1"/>
  <c r="Y19" i="1"/>
  <c r="Y21" i="1"/>
  <c r="Y23" i="1"/>
  <c r="AA23" i="1" s="1"/>
  <c r="Y25" i="1"/>
  <c r="AA25" i="1" s="1"/>
  <c r="AA15" i="1"/>
  <c r="AA19" i="1"/>
  <c r="Y27" i="1" l="1"/>
  <c r="Y35" i="1" s="1"/>
  <c r="Y39" i="1" s="1"/>
  <c r="AA9" i="1"/>
  <c r="AA27" i="1" s="1"/>
  <c r="AA35" i="1" s="1"/>
  <c r="A13" i="1"/>
  <c r="AC12" i="1"/>
  <c r="A14" i="1" l="1"/>
  <c r="AC13" i="1"/>
  <c r="AA39" i="1"/>
  <c r="W39" i="1" s="1"/>
  <c r="W35" i="1"/>
  <c r="AC14" i="1" l="1"/>
  <c r="A15" i="1"/>
  <c r="A16" i="1" l="1"/>
  <c r="AC15" i="1"/>
  <c r="AC16" i="1" l="1"/>
  <c r="A17" i="1"/>
  <c r="A18" i="1" l="1"/>
  <c r="AC17" i="1"/>
  <c r="A19" i="1" l="1"/>
  <c r="AC18" i="1"/>
  <c r="A20" i="1" l="1"/>
  <c r="AC19" i="1"/>
  <c r="AC20" i="1" l="1"/>
  <c r="A21" i="1"/>
  <c r="A22" i="1" l="1"/>
  <c r="AC21" i="1"/>
  <c r="A23" i="1" l="1"/>
  <c r="AC22" i="1"/>
  <c r="A24" i="1" l="1"/>
  <c r="AC23" i="1"/>
  <c r="AC24" i="1" l="1"/>
  <c r="A25" i="1"/>
  <c r="A26" i="1" l="1"/>
  <c r="AC25" i="1"/>
  <c r="A27" i="1" l="1"/>
  <c r="AC26" i="1"/>
  <c r="A28" i="1" l="1"/>
  <c r="AC27" i="1"/>
  <c r="A29" i="1" l="1"/>
  <c r="AC28" i="1"/>
  <c r="AC29" i="1" l="1"/>
  <c r="A30" i="1"/>
  <c r="A31" i="1" l="1"/>
  <c r="AC30" i="1"/>
  <c r="A32" i="1" l="1"/>
  <c r="AC31" i="1"/>
  <c r="AC32" i="1" l="1"/>
  <c r="A33" i="1"/>
  <c r="A34" i="1" l="1"/>
  <c r="AC33" i="1"/>
  <c r="A35" i="1" l="1"/>
  <c r="AC34" i="1"/>
  <c r="A36" i="1" l="1"/>
  <c r="AC35" i="1"/>
  <c r="A37" i="1" l="1"/>
  <c r="AC36" i="1"/>
  <c r="A38" i="1" l="1"/>
  <c r="AC37" i="1"/>
  <c r="A39" i="1" l="1"/>
  <c r="AC38" i="1"/>
  <c r="A40" i="1" l="1"/>
  <c r="AC39" i="1"/>
  <c r="A41" i="1" l="1"/>
  <c r="AC40" i="1"/>
  <c r="A42" i="1" l="1"/>
  <c r="AC41" i="1"/>
  <c r="A43" i="1" l="1"/>
  <c r="AC42" i="1"/>
  <c r="A44" i="1" l="1"/>
  <c r="AC43" i="1"/>
  <c r="A45" i="1" l="1"/>
  <c r="AC45" i="1" s="1"/>
  <c r="AC44" i="1"/>
</calcChain>
</file>

<file path=xl/sharedStrings.xml><?xml version="1.0" encoding="utf-8"?>
<sst xmlns="http://schemas.openxmlformats.org/spreadsheetml/2006/main" count="75" uniqueCount="61">
  <si>
    <t>AVISTA CORPORATION</t>
  </si>
  <si>
    <t xml:space="preserve">Cost of Debt Detail </t>
  </si>
  <si>
    <t>Principal</t>
  </si>
  <si>
    <t>Line</t>
  </si>
  <si>
    <t>Coupon</t>
  </si>
  <si>
    <t>Maturity</t>
  </si>
  <si>
    <t>Settlement</t>
  </si>
  <si>
    <t>Issuance</t>
  </si>
  <si>
    <t>SWAP</t>
  </si>
  <si>
    <t>Discount</t>
  </si>
  <si>
    <t>Loss/Reacq</t>
  </si>
  <si>
    <t>Net</t>
  </si>
  <si>
    <t>Yield to</t>
  </si>
  <si>
    <t>Outstanding</t>
  </si>
  <si>
    <t>Effective</t>
  </si>
  <si>
    <t>No.</t>
  </si>
  <si>
    <t>Description</t>
  </si>
  <si>
    <t>Rate</t>
  </si>
  <si>
    <t>Date</t>
  </si>
  <si>
    <t>Amount</t>
  </si>
  <si>
    <t>Costs</t>
  </si>
  <si>
    <t>Loss/(Gain)</t>
  </si>
  <si>
    <t>(Premium)</t>
  </si>
  <si>
    <t>Expenses</t>
  </si>
  <si>
    <t>Proceeds</t>
  </si>
  <si>
    <t>Cost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</si>
  <si>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</si>
  <si>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</si>
  <si>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</si>
  <si>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</si>
  <si>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</si>
  <si>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</si>
  <si>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</si>
  <si>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</si>
  <si>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</si>
  <si>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</si>
  <si>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</si>
  <si>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</si>
  <si>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FMBS - SERIES A </t>
  </si>
  <si>
    <t>DEBT TO AFFILIATED TRUST</t>
  </si>
  <si>
    <t>SERIES C Setup COST</t>
  </si>
  <si>
    <t>N/A</t>
  </si>
  <si>
    <t>FMBS - SERIES</t>
  </si>
  <si>
    <t xml:space="preserve">5.45% SERIES </t>
  </si>
  <si>
    <t xml:space="preserve">FMBS - 6.25% </t>
  </si>
  <si>
    <t xml:space="preserve">FMBS - 5.70% </t>
  </si>
  <si>
    <t xml:space="preserve">5.95% SERIES </t>
  </si>
  <si>
    <t>5.125% SERIES</t>
  </si>
  <si>
    <t>1.68% SERIES</t>
  </si>
  <si>
    <t xml:space="preserve">3.89% SERIES </t>
  </si>
  <si>
    <t xml:space="preserve">5.55% SERIES </t>
  </si>
  <si>
    <t xml:space="preserve">4.45% SERIES </t>
  </si>
  <si>
    <t xml:space="preserve">4.23% SERIES </t>
  </si>
  <si>
    <t>Repurchase</t>
  </si>
  <si>
    <t>Short-term debt</t>
  </si>
  <si>
    <t>Var. Rate Long-Term Debt, interest rate information comes from Exhibit No. MTT-2 Page 5</t>
  </si>
  <si>
    <t>The coupon rate used is the cost of debt at the time of the repurchases</t>
  </si>
  <si>
    <t>The amounts are calculated using the IRR function</t>
  </si>
  <si>
    <t>***</t>
  </si>
  <si>
    <t>Changed short-term debt to 4% of capital</t>
  </si>
  <si>
    <t>The Company agreed to pay 50 bps in fees related to the placement of the transaction. The remaining 25 basis points is a projection for additional costs related to the issuance of this Private Placement (e.g. legal, filing fees, and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</si>
</sst>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\-dd\-yyyy"/>
    <numFmt numFmtId="166" formatCode="0.000"/>
    <numFmt numFmtId="167" formatCode="00000"/>
    <numFmt numFmtId="168" formatCode="0.000%"/>
    <numFmt numFmtId="169" formatCode="_(&quot;$&quot;* #,##0_);_(&quot;$&quot;* \(#,##0\);_(&quot;$&quot;* &quot;-&quot;??_);_(@_)"/>
    <numFmt numFmtId="170" formatCode="_(* #,##0_);_(* \(#,##0\);_(* &quot;-&quot;??_);_(@_)"/>
    <numFmt numFmtId="171" formatCode="&quot;$&quot;\ #,##0_);\(&quot;$&quot;\ #,##0\)"/>
    <numFmt numFmtId="172" formatCode="&quot;$&quot;\ #,##0.00_);\(&quot;$&quot;\ #,##0.00\)"/>
    <numFmt numFmtId="173" formatCode="@*."/>
    <numFmt numFmtId="174" formatCode="[$-409]mmm\-yy;@"/>
    <numFmt numFmtId="175" formatCode="0.00_)"/>
    <numFmt numFmtId="176" formatCode="General_)"/>
    <numFmt numFmtId="177" formatCode="#,##0.00;[Red]\(#,##0.00\)"/>
    <numFmt numFmtId="178" formatCode="#,##0,_);\(#,##0,\)"/>
  </numFmts>
  <fonts count="5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6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name val="Helv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2"/>
      <name val="Times New Roman"/>
      <family val="1"/>
    </font>
    <font>
      <sz val="10"/>
      <name val="MS Sans Serif"/>
      <family val="2"/>
    </font>
    <font>
      <sz val="10"/>
      <color indexed="12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2"/>
      <color indexed="10"/>
      <name val="Times New Roman"/>
      <family val="1"/>
    </font>
    <font>
      <b/>
      <sz val="11"/>
      <name val="Helv"/>
    </font>
    <font>
      <sz val="10"/>
      <color indexed="6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2"/>
      <name val="Tms Rmn"/>
    </font>
    <font>
      <sz val="10"/>
      <name val="Tms Rmn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8"/>
      <color indexed="56"/>
      <name val="Cambria"/>
      <family val="2"/>
    </font>
    <font>
      <sz val="8"/>
      <color indexed="8"/>
      <name val="Wingdings"/>
      <charset val="2"/>
    </font>
    <font>
      <sz val="10"/>
      <color indexed="10"/>
      <name val="Arial"/>
      <family val="2"/>
    </font>
    <font>
      <b/>
      <sz val="1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0">
    <xf numFmtId="0" fontId="0" fillId="0" borderId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39" fontId="15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4" applyNumberFormat="0" applyAlignment="0" applyProtection="0"/>
    <xf numFmtId="0" fontId="19" fillId="0" borderId="0"/>
    <xf numFmtId="0" fontId="20" fillId="21" borderId="5" applyNumberFormat="0" applyAlignment="0" applyProtection="0"/>
    <xf numFmtId="0" fontId="21" fillId="22" borderId="0">
      <alignment horizontal="left"/>
    </xf>
    <xf numFmtId="0" fontId="22" fillId="22" borderId="0">
      <alignment horizontal="right"/>
    </xf>
    <xf numFmtId="0" fontId="22" fillId="22" borderId="0">
      <alignment horizontal="center"/>
    </xf>
    <xf numFmtId="0" fontId="22" fillId="22" borderId="0">
      <alignment horizontal="right"/>
    </xf>
    <xf numFmtId="0" fontId="23" fillId="22" borderId="0">
      <alignment horizontal="left"/>
    </xf>
    <xf numFmtId="41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2" fontId="24" fillId="0" borderId="0" applyFont="0" applyFill="0" applyBorder="0" applyAlignment="0" applyProtection="0"/>
    <xf numFmtId="8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5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38" fontId="5" fillId="23" borderId="0" applyNumberFormat="0" applyBorder="0" applyAlignment="0" applyProtection="0"/>
    <xf numFmtId="0" fontId="29" fillId="0" borderId="0">
      <alignment horizontal="left"/>
    </xf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10" fontId="5" fillId="24" borderId="9" applyNumberFormat="0" applyBorder="0" applyAlignment="0" applyProtection="0"/>
    <xf numFmtId="0" fontId="33" fillId="7" borderId="4" applyNumberFormat="0" applyAlignment="0" applyProtection="0"/>
    <xf numFmtId="173" fontId="15" fillId="0" borderId="0" applyFont="0" applyFill="0" applyBorder="0" applyAlignment="0" applyProtection="0">
      <alignment horizontal="left" indent="1"/>
    </xf>
    <xf numFmtId="0" fontId="21" fillId="22" borderId="0">
      <alignment horizontal="left"/>
    </xf>
    <xf numFmtId="0" fontId="21" fillId="22" borderId="0">
      <alignment horizontal="left"/>
    </xf>
    <xf numFmtId="0" fontId="34" fillId="0" borderId="10" applyNumberFormat="0" applyFill="0" applyAlignment="0" applyProtection="0"/>
    <xf numFmtId="0" fontId="35" fillId="25" borderId="0"/>
    <xf numFmtId="0" fontId="36" fillId="0" borderId="11"/>
    <xf numFmtId="174" fontId="15" fillId="26" borderId="0" applyFont="0" applyFill="0" applyBorder="0" applyAlignment="0" applyProtection="0"/>
    <xf numFmtId="0" fontId="37" fillId="27" borderId="0" applyNumberFormat="0" applyBorder="0" applyAlignment="0" applyProtection="0"/>
    <xf numFmtId="175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176" fontId="39" fillId="0" borderId="0"/>
    <xf numFmtId="0" fontId="6" fillId="0" borderId="0"/>
    <xf numFmtId="0" fontId="40" fillId="0" borderId="0"/>
    <xf numFmtId="0" fontId="4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15" fillId="0" borderId="0"/>
    <xf numFmtId="0" fontId="41" fillId="0" borderId="0"/>
    <xf numFmtId="0" fontId="41" fillId="0" borderId="0"/>
    <xf numFmtId="0" fontId="4" fillId="0" borderId="0"/>
    <xf numFmtId="37" fontId="15" fillId="0" borderId="0"/>
    <xf numFmtId="37" fontId="15" fillId="0" borderId="0"/>
    <xf numFmtId="0" fontId="41" fillId="0" borderId="0"/>
    <xf numFmtId="0" fontId="41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4" fillId="28" borderId="12" applyNumberFormat="0" applyFont="0" applyAlignment="0" applyProtection="0"/>
    <xf numFmtId="0" fontId="42" fillId="20" borderId="13" applyNumberFormat="0" applyAlignment="0" applyProtection="0"/>
    <xf numFmtId="177" fontId="14" fillId="22" borderId="0" applyBorder="0">
      <alignment horizontal="right"/>
    </xf>
    <xf numFmtId="177" fontId="14" fillId="22" borderId="0">
      <alignment horizontal="right"/>
    </xf>
    <xf numFmtId="40" fontId="43" fillId="29" borderId="0">
      <alignment horizontal="right"/>
    </xf>
    <xf numFmtId="40" fontId="43" fillId="29" borderId="0">
      <alignment horizontal="right"/>
    </xf>
    <xf numFmtId="0" fontId="44" fillId="29" borderId="0">
      <alignment horizontal="right"/>
    </xf>
    <xf numFmtId="0" fontId="45" fillId="29" borderId="14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0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1" fillId="22" borderId="0">
      <alignment horizontal="center"/>
    </xf>
    <xf numFmtId="49" fontId="47" fillId="22" borderId="0">
      <alignment horizontal="center"/>
    </xf>
    <xf numFmtId="0" fontId="22" fillId="22" borderId="0">
      <alignment horizontal="center"/>
    </xf>
    <xf numFmtId="0" fontId="22" fillId="22" borderId="0">
      <alignment horizontal="centerContinuous"/>
    </xf>
    <xf numFmtId="0" fontId="48" fillId="22" borderId="0">
      <alignment horizontal="left"/>
    </xf>
    <xf numFmtId="49" fontId="48" fillId="22" borderId="0">
      <alignment horizontal="center"/>
    </xf>
    <xf numFmtId="0" fontId="21" fillId="22" borderId="0">
      <alignment horizontal="left"/>
    </xf>
    <xf numFmtId="49" fontId="48" fillId="22" borderId="0">
      <alignment horizontal="left"/>
    </xf>
    <xf numFmtId="0" fontId="21" fillId="22" borderId="0">
      <alignment horizontal="centerContinuous"/>
    </xf>
    <xf numFmtId="0" fontId="21" fillId="22" borderId="0">
      <alignment horizontal="right"/>
    </xf>
    <xf numFmtId="49" fontId="21" fillId="22" borderId="0">
      <alignment horizontal="left"/>
    </xf>
    <xf numFmtId="0" fontId="22" fillId="22" borderId="0">
      <alignment horizontal="right"/>
    </xf>
    <xf numFmtId="0" fontId="48" fillId="30" borderId="0">
      <alignment horizontal="center"/>
    </xf>
    <xf numFmtId="0" fontId="49" fillId="30" borderId="0">
      <alignment horizontal="center"/>
    </xf>
    <xf numFmtId="0" fontId="36" fillId="0" borderId="0"/>
    <xf numFmtId="178" fontId="1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51" fillId="22" borderId="0">
      <alignment horizontal="center"/>
    </xf>
    <xf numFmtId="0" fontId="52" fillId="0" borderId="0" applyNumberFormat="0" applyFill="0" applyBorder="0" applyAlignment="0" applyProtection="0"/>
    <xf numFmtId="0" fontId="53" fillId="0" borderId="0" applyFill="0" applyBorder="0" applyAlignment="0" applyProtection="0"/>
  </cellStyleXfs>
  <cellXfs count="64">
    <xf numFmtId="0" fontId="0" fillId="0" borderId="0" xfId="0"/>
    <xf numFmtId="0" fontId="5" fillId="0" borderId="0" xfId="3" applyFont="1" applyFill="1"/>
    <xf numFmtId="3" fontId="5" fillId="0" borderId="0" xfId="3" applyNumberFormat="1" applyFont="1" applyFill="1"/>
    <xf numFmtId="165" fontId="5" fillId="0" borderId="0" xfId="3" applyNumberFormat="1" applyFont="1" applyFill="1"/>
    <xf numFmtId="3" fontId="5" fillId="0" borderId="0" xfId="3" applyNumberFormat="1" applyFont="1" applyFill="1" applyAlignment="1">
      <alignment horizontal="center"/>
    </xf>
    <xf numFmtId="0" fontId="2" fillId="0" borderId="0" xfId="3" applyFill="1"/>
    <xf numFmtId="166" fontId="5" fillId="0" borderId="0" xfId="3" applyNumberFormat="1" applyFont="1" applyFill="1"/>
    <xf numFmtId="0" fontId="5" fillId="0" borderId="0" xfId="3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6" fontId="5" fillId="0" borderId="0" xfId="3" applyNumberFormat="1" applyFont="1" applyFill="1" applyAlignment="1">
      <alignment horizontal="center"/>
    </xf>
    <xf numFmtId="0" fontId="5" fillId="0" borderId="1" xfId="3" applyFont="1" applyFill="1" applyBorder="1" applyAlignment="1">
      <alignment horizontal="center"/>
    </xf>
    <xf numFmtId="3" fontId="5" fillId="0" borderId="1" xfId="3" applyNumberFormat="1" applyFont="1" applyFill="1" applyBorder="1" applyAlignment="1">
      <alignment horizontal="center"/>
    </xf>
    <xf numFmtId="165" fontId="5" fillId="0" borderId="1" xfId="3" applyNumberFormat="1" applyFont="1" applyFill="1" applyBorder="1" applyAlignment="1">
      <alignment horizontal="center"/>
    </xf>
    <xf numFmtId="166" fontId="5" fillId="0" borderId="1" xfId="3" applyNumberFormat="1" applyFont="1" applyFill="1" applyBorder="1" applyAlignment="1">
      <alignment horizontal="center"/>
    </xf>
    <xf numFmtId="14" fontId="5" fillId="0" borderId="1" xfId="3" applyNumberFormat="1" applyFont="1" applyFill="1" applyBorder="1" applyAlignment="1">
      <alignment horizontal="center"/>
    </xf>
    <xf numFmtId="167" fontId="5" fillId="0" borderId="0" xfId="3" applyNumberFormat="1" applyFont="1" applyFill="1" applyAlignment="1">
      <alignment horizontal="center"/>
    </xf>
    <xf numFmtId="168" fontId="5" fillId="0" borderId="0" xfId="4" applyNumberFormat="1" applyFont="1" applyFill="1" applyAlignment="1">
      <alignment horizontal="center"/>
    </xf>
    <xf numFmtId="14" fontId="5" fillId="0" borderId="0" xfId="3" applyNumberFormat="1" applyFont="1" applyFill="1" applyAlignment="1">
      <alignment horizontal="right"/>
    </xf>
    <xf numFmtId="0" fontId="5" fillId="0" borderId="0" xfId="3" applyFont="1" applyFill="1" applyAlignment="1">
      <alignment horizontal="right"/>
    </xf>
    <xf numFmtId="169" fontId="5" fillId="0" borderId="0" xfId="2" applyNumberFormat="1" applyFont="1" applyFill="1"/>
    <xf numFmtId="168" fontId="7" fillId="0" borderId="0" xfId="5" applyNumberFormat="1" applyFont="1" applyFill="1"/>
    <xf numFmtId="41" fontId="5" fillId="0" borderId="0" xfId="3" applyNumberFormat="1" applyFont="1" applyFill="1"/>
    <xf numFmtId="0" fontId="8" fillId="0" borderId="0" xfId="3" applyFont="1" applyFill="1" applyAlignment="1">
      <alignment horizontal="left" vertical="top"/>
    </xf>
    <xf numFmtId="10" fontId="5" fillId="0" borderId="0" xfId="4" applyNumberFormat="1" applyFont="1" applyFill="1" applyAlignment="1">
      <alignment horizontal="center"/>
    </xf>
    <xf numFmtId="0" fontId="5" fillId="0" borderId="0" xfId="3" applyFont="1" applyFill="1" applyBorder="1"/>
    <xf numFmtId="0" fontId="3" fillId="0" borderId="0" xfId="3" applyFont="1" applyFill="1"/>
    <xf numFmtId="0" fontId="9" fillId="0" borderId="0" xfId="3" applyFont="1" applyFill="1"/>
    <xf numFmtId="0" fontId="8" fillId="0" borderId="0" xfId="3" applyFont="1" applyFill="1"/>
    <xf numFmtId="0" fontId="3" fillId="0" borderId="0" xfId="3" applyFont="1" applyFill="1" applyAlignment="1">
      <alignment horizontal="right"/>
    </xf>
    <xf numFmtId="169" fontId="3" fillId="0" borderId="0" xfId="2" applyNumberFormat="1" applyFont="1" applyFill="1"/>
    <xf numFmtId="0" fontId="3" fillId="0" borderId="0" xfId="3" applyFont="1" applyFill="1" applyBorder="1"/>
    <xf numFmtId="41" fontId="3" fillId="0" borderId="0" xfId="3" applyNumberFormat="1" applyFont="1" applyFill="1"/>
    <xf numFmtId="14" fontId="5" fillId="0" borderId="0" xfId="3" applyNumberFormat="1" applyFont="1" applyFill="1"/>
    <xf numFmtId="41" fontId="5" fillId="0" borderId="0" xfId="3" applyNumberFormat="1" applyFont="1" applyFill="1" applyBorder="1"/>
    <xf numFmtId="0" fontId="10" fillId="0" borderId="0" xfId="3" applyFont="1" applyFill="1"/>
    <xf numFmtId="170" fontId="11" fillId="0" borderId="0" xfId="1" applyNumberFormat="1" applyFont="1" applyFill="1" applyAlignment="1">
      <alignment horizontal="right" vertical="center"/>
    </xf>
    <xf numFmtId="41" fontId="5" fillId="0" borderId="1" xfId="3" applyNumberFormat="1" applyFont="1" applyFill="1" applyBorder="1"/>
    <xf numFmtId="168" fontId="5" fillId="0" borderId="0" xfId="3" applyNumberFormat="1" applyFont="1" applyFill="1"/>
    <xf numFmtId="43" fontId="5" fillId="0" borderId="0" xfId="1" applyFont="1" applyFill="1" applyAlignment="1">
      <alignment horizontal="right"/>
    </xf>
    <xf numFmtId="168" fontId="5" fillId="0" borderId="0" xfId="5" applyNumberFormat="1" applyFont="1" applyFill="1"/>
    <xf numFmtId="41" fontId="5" fillId="0" borderId="0" xfId="5" applyNumberFormat="1" applyFont="1" applyFill="1" applyBorder="1"/>
    <xf numFmtId="10" fontId="5" fillId="0" borderId="0" xfId="3" applyNumberFormat="1" applyFont="1" applyFill="1"/>
    <xf numFmtId="169" fontId="5" fillId="0" borderId="0" xfId="2" applyNumberFormat="1" applyFont="1" applyFill="1" applyBorder="1"/>
    <xf numFmtId="168" fontId="5" fillId="0" borderId="0" xfId="5" applyNumberFormat="1" applyFont="1" applyFill="1" applyBorder="1"/>
    <xf numFmtId="3" fontId="5" fillId="0" borderId="0" xfId="3" applyNumberFormat="1" applyFont="1" applyFill="1" applyBorder="1"/>
    <xf numFmtId="170" fontId="5" fillId="0" borderId="0" xfId="1" applyNumberFormat="1" applyFont="1" applyFill="1" applyBorder="1"/>
    <xf numFmtId="3" fontId="5" fillId="0" borderId="0" xfId="6" applyNumberFormat="1" applyFont="1" applyFill="1" applyBorder="1"/>
    <xf numFmtId="0" fontId="5" fillId="0" borderId="0" xfId="7" applyFont="1" applyFill="1"/>
    <xf numFmtId="10" fontId="5" fillId="0" borderId="0" xfId="7" applyNumberFormat="1" applyFont="1" applyFill="1"/>
    <xf numFmtId="14" fontId="5" fillId="0" borderId="0" xfId="7" applyNumberFormat="1" applyFont="1" applyFill="1" applyAlignment="1">
      <alignment horizontal="right"/>
    </xf>
    <xf numFmtId="3" fontId="5" fillId="0" borderId="0" xfId="7" applyNumberFormat="1" applyFont="1" applyFill="1" applyBorder="1"/>
    <xf numFmtId="0" fontId="5" fillId="0" borderId="0" xfId="6" applyFont="1" applyFill="1" applyAlignment="1">
      <alignment horizontal="right"/>
    </xf>
    <xf numFmtId="10" fontId="5" fillId="0" borderId="0" xfId="5" applyNumberFormat="1" applyFont="1" applyFill="1" applyBorder="1"/>
    <xf numFmtId="169" fontId="5" fillId="0" borderId="2" xfId="2" applyNumberFormat="1" applyFont="1" applyFill="1" applyBorder="1"/>
    <xf numFmtId="0" fontId="3" fillId="0" borderId="0" xfId="6" applyFont="1" applyFill="1" applyAlignment="1">
      <alignment horizontal="right"/>
    </xf>
    <xf numFmtId="10" fontId="3" fillId="0" borderId="0" xfId="5" applyNumberFormat="1" applyFont="1" applyFill="1" applyBorder="1"/>
    <xf numFmtId="5" fontId="5" fillId="0" borderId="0" xfId="3" applyNumberFormat="1" applyFont="1" applyFill="1"/>
    <xf numFmtId="0" fontId="3" fillId="0" borderId="0" xfId="6" applyFont="1" applyFill="1" applyBorder="1" applyAlignment="1">
      <alignment horizontal="right"/>
    </xf>
    <xf numFmtId="3" fontId="5" fillId="0" borderId="3" xfId="3" applyNumberFormat="1" applyFont="1" applyFill="1" applyBorder="1"/>
    <xf numFmtId="0" fontId="12" fillId="0" borderId="0" xfId="3" applyFont="1" applyFill="1"/>
    <xf numFmtId="0" fontId="13" fillId="0" borderId="0" xfId="3" applyFont="1" applyFill="1"/>
    <xf numFmtId="0" fontId="3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164" fontId="5" fillId="0" borderId="0" xfId="3" applyNumberFormat="1" applyFont="1" applyFill="1" applyAlignment="1">
      <alignment horizontal="center"/>
    </xf>
  </cellXfs>
  <cellStyles count="270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2decimal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tegory" xfId="35"/>
    <cellStyle name="Check Cell 2" xfId="36"/>
    <cellStyle name="ColumnAttributeAbovePrompt" xfId="37"/>
    <cellStyle name="ColumnAttributePrompt" xfId="38"/>
    <cellStyle name="ColumnAttributeValue" xfId="39"/>
    <cellStyle name="ColumnHeadingPrompt" xfId="40"/>
    <cellStyle name="ColumnHeadingValue" xfId="41"/>
    <cellStyle name="Comma" xfId="1" builtinId="3"/>
    <cellStyle name="Comma [0] 2" xfId="42"/>
    <cellStyle name="Comma 10" xfId="43"/>
    <cellStyle name="Comma 11" xfId="44"/>
    <cellStyle name="Comma 12" xfId="45"/>
    <cellStyle name="Comma 13" xfId="46"/>
    <cellStyle name="Comma 14" xfId="47"/>
    <cellStyle name="Comma 15" xfId="48"/>
    <cellStyle name="Comma 16" xfId="49"/>
    <cellStyle name="Comma 17" xfId="50"/>
    <cellStyle name="Comma 18" xfId="51"/>
    <cellStyle name="Comma 19" xfId="52"/>
    <cellStyle name="Comma 2" xfId="53"/>
    <cellStyle name="Comma 2 2" xfId="54"/>
    <cellStyle name="Comma 2 2 2" xfId="55"/>
    <cellStyle name="Comma 2 2 3" xfId="56"/>
    <cellStyle name="Comma 2 3" xfId="57"/>
    <cellStyle name="Comma 2 4" xfId="58"/>
    <cellStyle name="Comma 20" xfId="59"/>
    <cellStyle name="Comma 21" xfId="60"/>
    <cellStyle name="Comma 3" xfId="61"/>
    <cellStyle name="Comma 3 2" xfId="62"/>
    <cellStyle name="Comma 3 2 2" xfId="63"/>
    <cellStyle name="Comma 3 2 3" xfId="64"/>
    <cellStyle name="Comma 3 3" xfId="65"/>
    <cellStyle name="Comma 3 3 2" xfId="66"/>
    <cellStyle name="Comma 3 4" xfId="67"/>
    <cellStyle name="Comma 3 5" xfId="68"/>
    <cellStyle name="Comma 4" xfId="69"/>
    <cellStyle name="Comma 4 2" xfId="70"/>
    <cellStyle name="Comma 4 2 2" xfId="71"/>
    <cellStyle name="Comma 4 2 3" xfId="72"/>
    <cellStyle name="Comma 4 3" xfId="73"/>
    <cellStyle name="Comma 4 4" xfId="74"/>
    <cellStyle name="Comma 4 5" xfId="75"/>
    <cellStyle name="Comma 4 6" xfId="76"/>
    <cellStyle name="Comma 5" xfId="77"/>
    <cellStyle name="Comma 5 2" xfId="78"/>
    <cellStyle name="Comma 5 2 2" xfId="79"/>
    <cellStyle name="Comma 5 2 3" xfId="80"/>
    <cellStyle name="Comma 5 3" xfId="81"/>
    <cellStyle name="Comma 5 4" xfId="82"/>
    <cellStyle name="Comma 5 5" xfId="83"/>
    <cellStyle name="Comma 6" xfId="84"/>
    <cellStyle name="Comma 7" xfId="85"/>
    <cellStyle name="Comma 8" xfId="86"/>
    <cellStyle name="Comma 9" xfId="87"/>
    <cellStyle name="Currency" xfId="2" builtinId="4"/>
    <cellStyle name="Currency [0] 2" xfId="88"/>
    <cellStyle name="Currency 2" xfId="89"/>
    <cellStyle name="Currency 2 2" xfId="90"/>
    <cellStyle name="Currency 2 3" xfId="91"/>
    <cellStyle name="Currency 3" xfId="92"/>
    <cellStyle name="Currency 3 2" xfId="93"/>
    <cellStyle name="Currency 3 2 2" xfId="94"/>
    <cellStyle name="Currency 3 2 3" xfId="95"/>
    <cellStyle name="Currency 3 3" xfId="96"/>
    <cellStyle name="Currency 3 4" xfId="97"/>
    <cellStyle name="Currency 3 5" xfId="98"/>
    <cellStyle name="Currency 4" xfId="99"/>
    <cellStyle name="Currency 5" xfId="100"/>
    <cellStyle name="Currency0" xfId="101"/>
    <cellStyle name="Currency0nospace" xfId="102"/>
    <cellStyle name="Currency2" xfId="103"/>
    <cellStyle name="Explanatory Text 2" xfId="104"/>
    <cellStyle name="Good 2" xfId="105"/>
    <cellStyle name="Grey" xfId="106"/>
    <cellStyle name="HEADER" xfId="107"/>
    <cellStyle name="Heading 1 2" xfId="108"/>
    <cellStyle name="Heading 2 2" xfId="109"/>
    <cellStyle name="Heading 3 2" xfId="110"/>
    <cellStyle name="Heading 4 2" xfId="111"/>
    <cellStyle name="Input [yellow]" xfId="112"/>
    <cellStyle name="Input 2" xfId="113"/>
    <cellStyle name="LabelWithTotals" xfId="114"/>
    <cellStyle name="LineItemPrompt" xfId="115"/>
    <cellStyle name="LineItemValue" xfId="116"/>
    <cellStyle name="Linked Cell 2" xfId="117"/>
    <cellStyle name="Manual-Input" xfId="118"/>
    <cellStyle name="Model" xfId="119"/>
    <cellStyle name="MonthHeader" xfId="120"/>
    <cellStyle name="Neutral 2" xfId="121"/>
    <cellStyle name="Normal" xfId="0" builtinId="0"/>
    <cellStyle name="Normal - Style1" xfId="122"/>
    <cellStyle name="Normal 10" xfId="123"/>
    <cellStyle name="Normal 10 2" xfId="124"/>
    <cellStyle name="Normal 10 2 2" xfId="125"/>
    <cellStyle name="Normal 10 2 3" xfId="126"/>
    <cellStyle name="Normal 10 3" xfId="127"/>
    <cellStyle name="Normal 10 4" xfId="128"/>
    <cellStyle name="Normal 10 5" xfId="129"/>
    <cellStyle name="Normal 11" xfId="130"/>
    <cellStyle name="Normal 11 2" xfId="131"/>
    <cellStyle name="Normal 11 2 2" xfId="132"/>
    <cellStyle name="Normal 11 2 3" xfId="133"/>
    <cellStyle name="Normal 11 3" xfId="134"/>
    <cellStyle name="Normal 11 4" xfId="135"/>
    <cellStyle name="Normal 11 5" xfId="136"/>
    <cellStyle name="Normal 12" xfId="137"/>
    <cellStyle name="Normal 12 2" xfId="138"/>
    <cellStyle name="Normal 12 2 2" xfId="139"/>
    <cellStyle name="Normal 12 2 3" xfId="140"/>
    <cellStyle name="Normal 12 3" xfId="141"/>
    <cellStyle name="Normal 12 4" xfId="142"/>
    <cellStyle name="Normal 12 5" xfId="143"/>
    <cellStyle name="Normal 13" xfId="144"/>
    <cellStyle name="Normal 13 2" xfId="145"/>
    <cellStyle name="Normal 14" xfId="146"/>
    <cellStyle name="Normal 15" xfId="147"/>
    <cellStyle name="Normal 16" xfId="148"/>
    <cellStyle name="Normal 16 2" xfId="149"/>
    <cellStyle name="Normal 17" xfId="150"/>
    <cellStyle name="Normal 17 2" xfId="151"/>
    <cellStyle name="Normal 18" xfId="152"/>
    <cellStyle name="Normal 18 2" xfId="153"/>
    <cellStyle name="Normal 19" xfId="154"/>
    <cellStyle name="Normal 2" xfId="155"/>
    <cellStyle name="Normal 2 2" xfId="6"/>
    <cellStyle name="Normal 2 2 2" xfId="156"/>
    <cellStyle name="Normal 2 2 3" xfId="157"/>
    <cellStyle name="Normal 2 3" xfId="158"/>
    <cellStyle name="Normal 2 3 2" xfId="159"/>
    <cellStyle name="Normal 2 4" xfId="160"/>
    <cellStyle name="Normal 2 5" xfId="161"/>
    <cellStyle name="Normal 2 6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175"/>
    <cellStyle name="Normal 3 4" xfId="176"/>
    <cellStyle name="Normal 30" xfId="177"/>
    <cellStyle name="Normal 31" xfId="178"/>
    <cellStyle name="Normal 32" xfId="179"/>
    <cellStyle name="Normal 33" xfId="180"/>
    <cellStyle name="Normal 34" xfId="181"/>
    <cellStyle name="Normal 35" xfId="182"/>
    <cellStyle name="Normal 36" xfId="183"/>
    <cellStyle name="Normal 37" xfId="184"/>
    <cellStyle name="Normal 38" xfId="185"/>
    <cellStyle name="Normal 39" xfId="186"/>
    <cellStyle name="Normal 4" xfId="187"/>
    <cellStyle name="Normal 4 2" xfId="188"/>
    <cellStyle name="Normal 4 3" xfId="189"/>
    <cellStyle name="Normal 4 4" xfId="190"/>
    <cellStyle name="Normal 4 5" xfId="191"/>
    <cellStyle name="Normal 40" xfId="192"/>
    <cellStyle name="Normal 41" xfId="193"/>
    <cellStyle name="Normal 5" xfId="7"/>
    <cellStyle name="Normal 5 2" xfId="194"/>
    <cellStyle name="Normal 6" xfId="195"/>
    <cellStyle name="Normal 6 2" xfId="196"/>
    <cellStyle name="Normal 6 2 2" xfId="197"/>
    <cellStyle name="Normal 6 2 3" xfId="198"/>
    <cellStyle name="Normal 6 3" xfId="199"/>
    <cellStyle name="Normal 6 4" xfId="200"/>
    <cellStyle name="Normal 6 5" xfId="201"/>
    <cellStyle name="Normal 7" xfId="202"/>
    <cellStyle name="Normal 7 2" xfId="203"/>
    <cellStyle name="Normal 7 2 2" xfId="204"/>
    <cellStyle name="Normal 7 2 3" xfId="205"/>
    <cellStyle name="Normal 7 3" xfId="206"/>
    <cellStyle name="Normal 7 4" xfId="207"/>
    <cellStyle name="Normal 7 5" xfId="208"/>
    <cellStyle name="Normal 8" xfId="209"/>
    <cellStyle name="Normal 8 2" xfId="210"/>
    <cellStyle name="Normal 8 2 2" xfId="211"/>
    <cellStyle name="Normal 8 2 3" xfId="212"/>
    <cellStyle name="Normal 8 3" xfId="213"/>
    <cellStyle name="Normal 8 4" xfId="214"/>
    <cellStyle name="Normal 8 5" xfId="215"/>
    <cellStyle name="Normal 9" xfId="216"/>
    <cellStyle name="Normal_UE-070804 et al Exhibits KLE 3 and 4 CONFIDENTIAL 10-17-07" xfId="3"/>
    <cellStyle name="Note 2" xfId="217"/>
    <cellStyle name="Output 2" xfId="218"/>
    <cellStyle name="OUTPUT AMOUNTS" xfId="219"/>
    <cellStyle name="OUTPUT AMOUNTS 2" xfId="220"/>
    <cellStyle name="Output Amounts 3" xfId="221"/>
    <cellStyle name="Output Amounts 4" xfId="222"/>
    <cellStyle name="Output Column Headings" xfId="223"/>
    <cellStyle name="Output Line Items" xfId="224"/>
    <cellStyle name="Output Report Heading" xfId="225"/>
    <cellStyle name="Output Report Title" xfId="226"/>
    <cellStyle name="Percent [2]" xfId="227"/>
    <cellStyle name="Percent 10" xfId="4"/>
    <cellStyle name="Percent 11" xfId="228"/>
    <cellStyle name="Percent 12" xfId="229"/>
    <cellStyle name="Percent 13" xfId="230"/>
    <cellStyle name="Percent 2" xfId="231"/>
    <cellStyle name="Percent 2 2" xfId="5"/>
    <cellStyle name="Percent 2 3" xfId="232"/>
    <cellStyle name="Percent 3" xfId="233"/>
    <cellStyle name="Percent 3 2" xfId="234"/>
    <cellStyle name="Percent 3 3" xfId="235"/>
    <cellStyle name="Percent 4" xfId="236"/>
    <cellStyle name="Percent 4 2" xfId="237"/>
    <cellStyle name="Percent 4 2 2" xfId="238"/>
    <cellStyle name="Percent 4 2 3" xfId="239"/>
    <cellStyle name="Percent 4 3" xfId="240"/>
    <cellStyle name="Percent 4 4" xfId="241"/>
    <cellStyle name="Percent 4 5" xfId="242"/>
    <cellStyle name="Percent 5" xfId="243"/>
    <cellStyle name="Percent 6" xfId="244"/>
    <cellStyle name="Percent 7" xfId="245"/>
    <cellStyle name="Percent 8" xfId="246"/>
    <cellStyle name="Percent 9" xfId="247"/>
    <cellStyle name="QtrHeader" xfId="248"/>
    <cellStyle name="ReportTitlePrompt" xfId="249"/>
    <cellStyle name="ReportTitleValue" xfId="250"/>
    <cellStyle name="RowAcctAbovePrompt" xfId="251"/>
    <cellStyle name="RowAcctSOBAbovePrompt" xfId="252"/>
    <cellStyle name="RowAcctSOBValue" xfId="253"/>
    <cellStyle name="RowAcctValue" xfId="254"/>
    <cellStyle name="RowAttrAbovePrompt" xfId="255"/>
    <cellStyle name="RowAttrValue" xfId="256"/>
    <cellStyle name="RowColSetAbovePrompt" xfId="257"/>
    <cellStyle name="RowColSetLeftPrompt" xfId="258"/>
    <cellStyle name="RowColSetValue" xfId="259"/>
    <cellStyle name="RowLeftPrompt" xfId="260"/>
    <cellStyle name="SampleUsingFormatMask" xfId="261"/>
    <cellStyle name="SampleWithNoFormatMask" xfId="262"/>
    <cellStyle name="subhead" xfId="263"/>
    <cellStyle name="Thousands" xfId="264"/>
    <cellStyle name="Title 2" xfId="265"/>
    <cellStyle name="Total 2" xfId="266"/>
    <cellStyle name="UploadThisRowValue" xfId="267"/>
    <cellStyle name="Warning Text 2" xfId="268"/>
    <cellStyle name="YrHeader" xfId="269"/>
  </cellStyles>
  <dxfs count="1"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%20&amp;%20Trust\Journals\Treasury%20Analyst%20III\Database\2011\Debt%20Data%20Base%202011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4%20Apr/RA%20APR6%206-08-1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1%20Jan/RA%20JAN4%203-1-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vista\2012%20Rate%20Case%20-%20UE-120436\Debt\UE-12___Thies%20Exhibit%20MTT-2%20REDACTED%20(AVA-Apr1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vista\2012%20Rate%20Case%20-%20UE-120436\Debt\Staff%20revised%20cost%20of%20de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FAS 107-Market COD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</sheetNames>
    <sheetDataSet>
      <sheetData sheetId="0">
        <row r="1">
          <cell r="C1">
            <v>40908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APR6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JAN4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  MTT-2 Page 1"/>
      <sheetName val="Exhibit No.   MTT-2 Page 2"/>
      <sheetName val="Exhibit No.  MTT-2 Page 3"/>
      <sheetName val="Exhibit No.  MTT-2 Page 4"/>
      <sheetName val="Exhibit No.  MTT-2 Page 5"/>
      <sheetName val="Exhibit No. MTT-2 Page 6 Redact"/>
      <sheetName val="Sheet1"/>
    </sheetNames>
    <sheetDataSet>
      <sheetData sheetId="0" refreshError="1"/>
      <sheetData sheetId="1">
        <row r="4">
          <cell r="B4">
            <v>41274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revised cost of debt"/>
      <sheetName val="Staff cost of short-term debt"/>
    </sheetNames>
    <sheetDataSet>
      <sheetData sheetId="0"/>
      <sheetData sheetId="1">
        <row r="8">
          <cell r="P8">
            <v>105000000</v>
          </cell>
        </row>
        <row r="21">
          <cell r="P21">
            <v>2.1405854095238094E-2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view="pageLayout" topLeftCell="N40" zoomScaleNormal="100" workbookViewId="0">
      <selection activeCell="Z56" sqref="Z56"/>
    </sheetView>
  </sheetViews>
  <sheetFormatPr defaultRowHeight="12.75"/>
  <cols>
    <col min="1" max="1" width="2.42578125" customWidth="1"/>
    <col min="2" max="2" width="1.7109375" customWidth="1"/>
    <col min="3" max="3" width="11.140625" customWidth="1"/>
    <col min="4" max="4" width="2.28515625" customWidth="1"/>
    <col min="6" max="6" width="2.28515625" customWidth="1"/>
    <col min="8" max="8" width="2.28515625" customWidth="1"/>
    <col min="10" max="10" width="2.28515625" customWidth="1"/>
    <col min="11" max="11" width="11.42578125" customWidth="1"/>
    <col min="12" max="12" width="2.28515625" customWidth="1"/>
    <col min="13" max="13" width="9.7109375" customWidth="1"/>
    <col min="14" max="14" width="2.28515625" customWidth="1"/>
    <col min="15" max="15" width="11" customWidth="1"/>
    <col min="16" max="16" width="2.28515625" customWidth="1"/>
    <col min="18" max="18" width="2.28515625" customWidth="1"/>
    <col min="19" max="19" width="10.5703125" customWidth="1"/>
    <col min="20" max="20" width="2.42578125" customWidth="1"/>
    <col min="21" max="21" width="11.85546875" customWidth="1"/>
    <col min="22" max="22" width="2.42578125" customWidth="1"/>
    <col min="23" max="23" width="8.85546875" customWidth="1"/>
    <col min="24" max="24" width="3" customWidth="1"/>
    <col min="25" max="25" width="12.7109375" customWidth="1"/>
    <col min="26" max="26" width="2.85546875" customWidth="1"/>
    <col min="27" max="27" width="10.5703125" customWidth="1"/>
    <col min="28" max="28" width="2.5703125" customWidth="1"/>
    <col min="29" max="29" width="4.42578125" customWidth="1"/>
  </cols>
  <sheetData>
    <row r="1" spans="1:2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>
      <c r="A3" s="63">
        <f>+'[6]Exhibit No.   MTT-2 Page 2'!B4</f>
        <v>41274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1:29">
      <c r="A4" s="1"/>
      <c r="B4" s="1"/>
      <c r="C4" s="1"/>
      <c r="D4" s="1"/>
      <c r="E4" s="2"/>
      <c r="F4" s="1"/>
      <c r="G4" s="3"/>
      <c r="H4" s="1"/>
      <c r="I4" s="2"/>
      <c r="J4" s="1"/>
      <c r="K4" s="1"/>
      <c r="L4" s="1"/>
      <c r="M4" s="4"/>
      <c r="N4" s="4"/>
      <c r="O4" s="5"/>
      <c r="P4" s="4"/>
      <c r="Q4" s="5"/>
      <c r="R4" s="4"/>
      <c r="S4" s="5"/>
      <c r="T4" s="1"/>
      <c r="U4" s="2"/>
      <c r="V4" s="1"/>
      <c r="W4" s="6"/>
      <c r="X4" s="1"/>
      <c r="Y4" s="2"/>
      <c r="Z4" s="1"/>
      <c r="AA4" s="2"/>
      <c r="AB4" s="1"/>
      <c r="AC4" s="1"/>
    </row>
    <row r="5" spans="1:29">
      <c r="A5" s="7"/>
      <c r="B5" s="7"/>
      <c r="C5" s="7"/>
      <c r="D5" s="7"/>
      <c r="E5" s="4"/>
      <c r="F5" s="7"/>
      <c r="G5" s="8"/>
      <c r="H5" s="7"/>
      <c r="I5" s="4"/>
      <c r="J5" s="7"/>
      <c r="K5" s="4"/>
      <c r="L5" s="7"/>
      <c r="M5" s="4"/>
      <c r="N5" s="7"/>
      <c r="O5" s="4"/>
      <c r="P5" s="7"/>
      <c r="Q5" s="4"/>
      <c r="R5" s="7"/>
      <c r="S5" s="4"/>
      <c r="T5" s="7"/>
      <c r="U5" s="4"/>
      <c r="V5" s="7"/>
      <c r="W5" s="9"/>
      <c r="X5" s="7"/>
      <c r="Y5" s="4" t="s">
        <v>2</v>
      </c>
      <c r="Z5" s="7"/>
      <c r="AA5" s="4"/>
      <c r="AB5" s="7"/>
      <c r="AC5" s="7"/>
    </row>
    <row r="6" spans="1:29">
      <c r="A6" s="7" t="s">
        <v>3</v>
      </c>
      <c r="B6" s="7"/>
      <c r="C6" s="7"/>
      <c r="D6" s="7"/>
      <c r="E6" s="4" t="s">
        <v>4</v>
      </c>
      <c r="F6" s="7"/>
      <c r="G6" s="8" t="s">
        <v>5</v>
      </c>
      <c r="H6" s="7"/>
      <c r="I6" s="4" t="s">
        <v>6</v>
      </c>
      <c r="J6" s="7"/>
      <c r="K6" s="4" t="s">
        <v>2</v>
      </c>
      <c r="L6" s="7"/>
      <c r="M6" s="4" t="s">
        <v>7</v>
      </c>
      <c r="N6" s="7"/>
      <c r="O6" s="7" t="s">
        <v>8</v>
      </c>
      <c r="P6" s="7"/>
      <c r="Q6" s="7" t="s">
        <v>9</v>
      </c>
      <c r="R6" s="7"/>
      <c r="S6" s="7" t="s">
        <v>10</v>
      </c>
      <c r="T6" s="7"/>
      <c r="U6" s="4" t="s">
        <v>11</v>
      </c>
      <c r="V6" s="7"/>
      <c r="W6" s="9" t="s">
        <v>12</v>
      </c>
      <c r="X6" s="7"/>
      <c r="Y6" s="4" t="s">
        <v>13</v>
      </c>
      <c r="Z6" s="7"/>
      <c r="AA6" s="4" t="s">
        <v>14</v>
      </c>
      <c r="AB6" s="7"/>
      <c r="AC6" s="7" t="s">
        <v>3</v>
      </c>
    </row>
    <row r="7" spans="1:29">
      <c r="A7" s="10" t="s">
        <v>15</v>
      </c>
      <c r="B7" s="7"/>
      <c r="C7" s="10" t="s">
        <v>16</v>
      </c>
      <c r="D7" s="7"/>
      <c r="E7" s="11" t="s">
        <v>17</v>
      </c>
      <c r="F7" s="10"/>
      <c r="G7" s="12" t="s">
        <v>18</v>
      </c>
      <c r="H7" s="7"/>
      <c r="I7" s="11" t="s">
        <v>18</v>
      </c>
      <c r="J7" s="7"/>
      <c r="K7" s="11" t="s">
        <v>19</v>
      </c>
      <c r="L7" s="7"/>
      <c r="M7" s="11" t="s">
        <v>20</v>
      </c>
      <c r="N7" s="7"/>
      <c r="O7" s="10" t="s">
        <v>21</v>
      </c>
      <c r="P7" s="7"/>
      <c r="Q7" s="10" t="s">
        <v>22</v>
      </c>
      <c r="R7" s="7"/>
      <c r="S7" s="10" t="s">
        <v>23</v>
      </c>
      <c r="T7" s="7"/>
      <c r="U7" s="11" t="s">
        <v>24</v>
      </c>
      <c r="V7" s="7"/>
      <c r="W7" s="13" t="s">
        <v>5</v>
      </c>
      <c r="X7" s="7"/>
      <c r="Y7" s="14">
        <f>+A3</f>
        <v>41274</v>
      </c>
      <c r="Z7" s="7"/>
      <c r="AA7" s="11" t="s">
        <v>25</v>
      </c>
      <c r="AB7" s="7"/>
      <c r="AC7" s="10" t="s">
        <v>15</v>
      </c>
    </row>
    <row r="8" spans="1:29">
      <c r="A8" s="1"/>
      <c r="B8" s="1"/>
      <c r="C8" s="7" t="s">
        <v>26</v>
      </c>
      <c r="D8" s="7"/>
      <c r="E8" s="4" t="s">
        <v>27</v>
      </c>
      <c r="F8" s="7"/>
      <c r="G8" s="15" t="s">
        <v>28</v>
      </c>
      <c r="H8" s="7"/>
      <c r="I8" s="4" t="s">
        <v>29</v>
      </c>
      <c r="J8" s="7"/>
      <c r="K8" s="4" t="s">
        <v>30</v>
      </c>
      <c r="L8" s="7"/>
      <c r="M8" s="4" t="s">
        <v>31</v>
      </c>
      <c r="N8" s="7"/>
      <c r="O8" s="4" t="s">
        <v>32</v>
      </c>
      <c r="P8" s="7"/>
      <c r="Q8" s="4" t="s">
        <v>32</v>
      </c>
      <c r="R8" s="7"/>
      <c r="S8" s="4" t="s">
        <v>33</v>
      </c>
      <c r="T8" s="7"/>
      <c r="U8" s="9" t="s">
        <v>34</v>
      </c>
      <c r="V8" s="7"/>
      <c r="W8" s="4" t="s">
        <v>35</v>
      </c>
      <c r="X8" s="7"/>
      <c r="Y8" s="4" t="s">
        <v>36</v>
      </c>
      <c r="Z8" s="1"/>
      <c r="AA8" s="4" t="s">
        <v>37</v>
      </c>
      <c r="AB8" s="1"/>
      <c r="AC8" s="1"/>
    </row>
    <row r="9" spans="1:29">
      <c r="A9" s="1">
        <v>1</v>
      </c>
      <c r="B9" s="1"/>
      <c r="C9" s="1" t="s">
        <v>38</v>
      </c>
      <c r="D9" s="1"/>
      <c r="E9" s="16">
        <v>7.5300000000000006E-2</v>
      </c>
      <c r="F9" s="1"/>
      <c r="G9" s="17">
        <v>45051</v>
      </c>
      <c r="H9" s="18"/>
      <c r="I9" s="17">
        <v>34095</v>
      </c>
      <c r="J9" s="1"/>
      <c r="K9" s="19">
        <v>5500000</v>
      </c>
      <c r="L9" s="19"/>
      <c r="M9" s="19">
        <v>42711.86</v>
      </c>
      <c r="N9" s="19"/>
      <c r="O9" s="19">
        <v>0</v>
      </c>
      <c r="P9" s="19"/>
      <c r="Q9" s="19">
        <v>0</v>
      </c>
      <c r="R9" s="19"/>
      <c r="S9" s="19">
        <v>963011.16999999993</v>
      </c>
      <c r="T9" s="19"/>
      <c r="U9" s="19">
        <f>+K9-M9-O9-Q9-S9</f>
        <v>4494276.97</v>
      </c>
      <c r="V9" s="1"/>
      <c r="W9" s="20">
        <f t="shared" ref="W9:W23" si="0">IF(K9&gt;0,YIELD(I9,G9,E9,U9/K9*100,100,2,0),"")</f>
        <v>9.3589870845507697E-2</v>
      </c>
      <c r="X9" s="1"/>
      <c r="Y9" s="19">
        <f t="shared" ref="Y9:Y23" si="1">IF(G9&gt;$Y$7,K9,"")</f>
        <v>5500000</v>
      </c>
      <c r="Z9" s="19"/>
      <c r="AA9" s="19">
        <f t="shared" ref="AA9:AA23" si="2">IF(AND(G9&gt;$Y$7,K9&gt;0),Y9*W9,IF(G9&gt;$Y$7,M9/((YEAR(G9)-YEAR(I9))*12+MONTH(G9)-MONTH(I9))*12,0))</f>
        <v>514744.28965029231</v>
      </c>
      <c r="AB9" s="1"/>
      <c r="AC9" s="1">
        <f t="shared" ref="AC9:AC45" si="3">+A9</f>
        <v>1</v>
      </c>
    </row>
    <row r="10" spans="1:29">
      <c r="A10" s="1">
        <f>+A9+1</f>
        <v>2</v>
      </c>
      <c r="B10" s="1"/>
      <c r="C10" s="1" t="s">
        <v>38</v>
      </c>
      <c r="D10" s="1"/>
      <c r="E10" s="16">
        <v>7.5399999999999995E-2</v>
      </c>
      <c r="F10" s="1"/>
      <c r="G10" s="17">
        <v>45051</v>
      </c>
      <c r="H10" s="18"/>
      <c r="I10" s="17">
        <v>34096</v>
      </c>
      <c r="J10" s="1"/>
      <c r="K10" s="19">
        <v>1000000</v>
      </c>
      <c r="L10" s="19"/>
      <c r="M10" s="19">
        <v>7766.28</v>
      </c>
      <c r="N10" s="19"/>
      <c r="O10" s="19">
        <v>0</v>
      </c>
      <c r="P10" s="19"/>
      <c r="Q10" s="19">
        <v>0</v>
      </c>
      <c r="R10" s="19"/>
      <c r="S10" s="19">
        <v>175411.87</v>
      </c>
      <c r="T10" s="19"/>
      <c r="U10" s="19">
        <f t="shared" ref="U10:U26" si="4">+K10-M10-O10-Q10-S10</f>
        <v>816821.85</v>
      </c>
      <c r="V10" s="1"/>
      <c r="W10" s="20">
        <f t="shared" si="0"/>
        <v>9.3746718479689059E-2</v>
      </c>
      <c r="X10" s="1"/>
      <c r="Y10" s="21">
        <f t="shared" si="1"/>
        <v>1000000</v>
      </c>
      <c r="Z10" s="21"/>
      <c r="AA10" s="21">
        <f t="shared" si="2"/>
        <v>93746.718479689065</v>
      </c>
      <c r="AB10" s="1"/>
      <c r="AC10" s="1">
        <f t="shared" si="3"/>
        <v>2</v>
      </c>
    </row>
    <row r="11" spans="1:29">
      <c r="A11" s="1">
        <f t="shared" ref="A11:A45" si="5">+A10+1</f>
        <v>3</v>
      </c>
      <c r="B11" s="1"/>
      <c r="C11" s="1" t="s">
        <v>38</v>
      </c>
      <c r="D11" s="1"/>
      <c r="E11" s="16">
        <v>7.3899999999999993E-2</v>
      </c>
      <c r="F11" s="1"/>
      <c r="G11" s="17">
        <v>43231</v>
      </c>
      <c r="H11" s="18"/>
      <c r="I11" s="17">
        <v>34100</v>
      </c>
      <c r="J11" s="1"/>
      <c r="K11" s="19">
        <v>7000000</v>
      </c>
      <c r="L11" s="19"/>
      <c r="M11" s="19">
        <v>54363.94</v>
      </c>
      <c r="N11" s="19"/>
      <c r="O11" s="19">
        <v>0</v>
      </c>
      <c r="P11" s="19"/>
      <c r="Q11" s="19">
        <v>0</v>
      </c>
      <c r="R11" s="19"/>
      <c r="S11" s="19">
        <v>1227883.0900000001</v>
      </c>
      <c r="T11" s="19"/>
      <c r="U11" s="19">
        <f t="shared" si="4"/>
        <v>5717752.9699999997</v>
      </c>
      <c r="V11" s="1"/>
      <c r="W11" s="20">
        <f t="shared" si="0"/>
        <v>9.2873485642923595E-2</v>
      </c>
      <c r="X11" s="1"/>
      <c r="Y11" s="21">
        <f t="shared" si="1"/>
        <v>7000000</v>
      </c>
      <c r="Z11" s="21"/>
      <c r="AA11" s="21">
        <f t="shared" si="2"/>
        <v>650114.39950046514</v>
      </c>
      <c r="AB11" s="1"/>
      <c r="AC11" s="1">
        <f t="shared" si="3"/>
        <v>3</v>
      </c>
    </row>
    <row r="12" spans="1:29">
      <c r="A12" s="1">
        <f t="shared" si="5"/>
        <v>4</v>
      </c>
      <c r="B12" s="1"/>
      <c r="C12" s="1" t="s">
        <v>38</v>
      </c>
      <c r="D12" s="1"/>
      <c r="E12" s="16">
        <v>7.4499999999999997E-2</v>
      </c>
      <c r="F12" s="1"/>
      <c r="G12" s="17">
        <v>43262</v>
      </c>
      <c r="H12" s="18"/>
      <c r="I12" s="17">
        <v>34129</v>
      </c>
      <c r="J12" s="1"/>
      <c r="K12" s="19">
        <v>15500000</v>
      </c>
      <c r="L12" s="19"/>
      <c r="M12" s="19">
        <v>120377.3</v>
      </c>
      <c r="N12" s="19"/>
      <c r="O12" s="19">
        <v>0</v>
      </c>
      <c r="P12" s="19"/>
      <c r="Q12" s="19">
        <v>50220</v>
      </c>
      <c r="R12" s="19"/>
      <c r="S12" s="19">
        <v>2140439.59</v>
      </c>
      <c r="T12" s="19"/>
      <c r="U12" s="19">
        <f t="shared" si="4"/>
        <v>13188963.109999999</v>
      </c>
      <c r="V12" s="1"/>
      <c r="W12" s="20">
        <f t="shared" si="0"/>
        <v>8.9530005143456853E-2</v>
      </c>
      <c r="X12" s="1"/>
      <c r="Y12" s="21">
        <f t="shared" si="1"/>
        <v>15500000</v>
      </c>
      <c r="Z12" s="21"/>
      <c r="AA12" s="21">
        <f t="shared" si="2"/>
        <v>1387715.0797235812</v>
      </c>
      <c r="AB12" s="1"/>
      <c r="AC12" s="1">
        <f t="shared" si="3"/>
        <v>4</v>
      </c>
    </row>
    <row r="13" spans="1:29">
      <c r="A13" s="1">
        <f t="shared" si="5"/>
        <v>5</v>
      </c>
      <c r="B13" s="1"/>
      <c r="C13" s="1" t="s">
        <v>38</v>
      </c>
      <c r="D13" s="1"/>
      <c r="E13" s="16">
        <v>7.1800000000000003E-2</v>
      </c>
      <c r="F13" s="1"/>
      <c r="G13" s="17">
        <v>45149</v>
      </c>
      <c r="H13" s="18"/>
      <c r="I13" s="17">
        <v>34193</v>
      </c>
      <c r="J13" s="1"/>
      <c r="K13" s="19">
        <v>7000000</v>
      </c>
      <c r="L13" s="19"/>
      <c r="M13" s="19">
        <v>54363.94</v>
      </c>
      <c r="N13" s="19"/>
      <c r="O13" s="19">
        <v>0</v>
      </c>
      <c r="P13" s="19"/>
      <c r="Q13" s="19">
        <v>0</v>
      </c>
      <c r="R13" s="19"/>
      <c r="S13" s="19">
        <v>0</v>
      </c>
      <c r="T13" s="19"/>
      <c r="U13" s="19">
        <f t="shared" si="4"/>
        <v>6945636.0599999996</v>
      </c>
      <c r="V13" s="1"/>
      <c r="W13" s="20">
        <f t="shared" si="0"/>
        <v>7.2437767495133337E-2</v>
      </c>
      <c r="X13" s="1"/>
      <c r="Y13" s="21">
        <f t="shared" si="1"/>
        <v>7000000</v>
      </c>
      <c r="Z13" s="21"/>
      <c r="AA13" s="21">
        <f t="shared" si="2"/>
        <v>507064.37246593338</v>
      </c>
      <c r="AB13" s="1"/>
      <c r="AC13" s="1">
        <f t="shared" si="3"/>
        <v>5</v>
      </c>
    </row>
    <row r="14" spans="1:29">
      <c r="A14" s="1">
        <f t="shared" si="5"/>
        <v>6</v>
      </c>
      <c r="B14" s="1"/>
      <c r="C14" s="1" t="s">
        <v>39</v>
      </c>
      <c r="D14" s="22">
        <v>1</v>
      </c>
      <c r="E14" s="23">
        <v>1.7899999999999999E-2</v>
      </c>
      <c r="F14" s="22"/>
      <c r="G14" s="17">
        <v>50192</v>
      </c>
      <c r="H14" s="18"/>
      <c r="I14" s="17">
        <v>35584</v>
      </c>
      <c r="J14" s="1"/>
      <c r="K14" s="19">
        <v>40000000</v>
      </c>
      <c r="L14" s="19"/>
      <c r="M14" s="19">
        <v>1296086</v>
      </c>
      <c r="N14" s="19"/>
      <c r="O14" s="19">
        <v>0</v>
      </c>
      <c r="P14" s="19"/>
      <c r="Q14" s="19">
        <v>0</v>
      </c>
      <c r="R14" s="19"/>
      <c r="S14" s="19">
        <v>-1769125</v>
      </c>
      <c r="T14" s="19"/>
      <c r="U14" s="19">
        <f t="shared" si="4"/>
        <v>40473039</v>
      </c>
      <c r="V14" s="24"/>
      <c r="W14" s="20">
        <v>1.7510000000000001E-2</v>
      </c>
      <c r="X14" s="24"/>
      <c r="Y14" s="21">
        <f t="shared" si="1"/>
        <v>40000000</v>
      </c>
      <c r="Z14" s="21"/>
      <c r="AA14" s="21">
        <f t="shared" si="2"/>
        <v>700400</v>
      </c>
      <c r="AB14" s="1"/>
      <c r="AC14" s="1">
        <f t="shared" si="3"/>
        <v>6</v>
      </c>
    </row>
    <row r="15" spans="1:29">
      <c r="A15" s="1">
        <f t="shared" si="5"/>
        <v>7</v>
      </c>
      <c r="B15" s="1"/>
      <c r="C15" s="1" t="s">
        <v>40</v>
      </c>
      <c r="D15" s="1"/>
      <c r="E15" s="16" t="s">
        <v>41</v>
      </c>
      <c r="F15" s="25"/>
      <c r="G15" s="17">
        <v>41440</v>
      </c>
      <c r="H15" s="18"/>
      <c r="I15" s="17">
        <v>35961</v>
      </c>
      <c r="J15" s="1"/>
      <c r="K15" s="19">
        <v>0</v>
      </c>
      <c r="L15" s="19"/>
      <c r="M15" s="19">
        <v>666169.06000000006</v>
      </c>
      <c r="N15" s="19"/>
      <c r="O15" s="19">
        <v>0</v>
      </c>
      <c r="P15" s="19"/>
      <c r="Q15" s="19">
        <v>0</v>
      </c>
      <c r="R15" s="19"/>
      <c r="S15" s="19">
        <v>0</v>
      </c>
      <c r="T15" s="19"/>
      <c r="U15" s="19"/>
      <c r="V15" s="1"/>
      <c r="W15" s="20" t="str">
        <f t="shared" si="0"/>
        <v/>
      </c>
      <c r="X15" s="1"/>
      <c r="Y15" s="21">
        <f t="shared" si="1"/>
        <v>0</v>
      </c>
      <c r="Z15" s="21"/>
      <c r="AA15" s="21">
        <f t="shared" si="2"/>
        <v>44411.270666666671</v>
      </c>
      <c r="AB15" s="1"/>
      <c r="AC15" s="1">
        <f t="shared" si="3"/>
        <v>7</v>
      </c>
    </row>
    <row r="16" spans="1:29">
      <c r="A16" s="1">
        <f t="shared" si="5"/>
        <v>8</v>
      </c>
      <c r="B16" s="1"/>
      <c r="C16" s="1" t="s">
        <v>42</v>
      </c>
      <c r="D16" s="26"/>
      <c r="E16" s="16">
        <v>6.3700000000000007E-2</v>
      </c>
      <c r="F16" s="27"/>
      <c r="G16" s="17">
        <v>46923</v>
      </c>
      <c r="H16" s="28"/>
      <c r="I16" s="17">
        <v>35965</v>
      </c>
      <c r="J16" s="25"/>
      <c r="K16" s="19">
        <v>25000000</v>
      </c>
      <c r="L16" s="29"/>
      <c r="M16" s="19">
        <v>158303.79</v>
      </c>
      <c r="N16" s="29"/>
      <c r="O16" s="19">
        <v>0</v>
      </c>
      <c r="P16" s="29"/>
      <c r="Q16" s="19">
        <v>0</v>
      </c>
      <c r="R16" s="29"/>
      <c r="S16" s="19">
        <v>188649</v>
      </c>
      <c r="T16" s="29"/>
      <c r="U16" s="19">
        <f t="shared" si="4"/>
        <v>24653047.210000001</v>
      </c>
      <c r="V16" s="30"/>
      <c r="W16" s="20">
        <f t="shared" si="0"/>
        <v>6.4754538518065133E-2</v>
      </c>
      <c r="X16" s="30"/>
      <c r="Y16" s="21">
        <f t="shared" si="1"/>
        <v>25000000</v>
      </c>
      <c r="Z16" s="31"/>
      <c r="AA16" s="21">
        <f t="shared" si="2"/>
        <v>1618863.4629516283</v>
      </c>
      <c r="AB16" s="1"/>
      <c r="AC16" s="1">
        <f t="shared" si="3"/>
        <v>8</v>
      </c>
    </row>
    <row r="17" spans="1:29">
      <c r="A17" s="1">
        <f t="shared" si="5"/>
        <v>9</v>
      </c>
      <c r="B17" s="1"/>
      <c r="C17" s="1" t="s">
        <v>43</v>
      </c>
      <c r="D17" s="26"/>
      <c r="E17" s="16">
        <v>5.45E-2</v>
      </c>
      <c r="F17" s="27"/>
      <c r="G17" s="17">
        <v>43800</v>
      </c>
      <c r="H17" s="28"/>
      <c r="I17" s="17">
        <v>38309</v>
      </c>
      <c r="J17" s="25"/>
      <c r="K17" s="19">
        <v>90000000</v>
      </c>
      <c r="L17" s="29"/>
      <c r="M17" s="19">
        <v>1192681.1800000002</v>
      </c>
      <c r="N17" s="29"/>
      <c r="O17" s="19">
        <v>0</v>
      </c>
      <c r="P17" s="29"/>
      <c r="Q17" s="19">
        <v>239400</v>
      </c>
      <c r="R17" s="29"/>
      <c r="S17" s="19">
        <v>7244918</v>
      </c>
      <c r="T17" s="29"/>
      <c r="U17" s="19">
        <f t="shared" si="4"/>
        <v>81323000.819999993</v>
      </c>
      <c r="V17" s="30"/>
      <c r="W17" s="20">
        <f t="shared" si="0"/>
        <v>6.4615779708708465E-2</v>
      </c>
      <c r="X17" s="30"/>
      <c r="Y17" s="21">
        <f t="shared" si="1"/>
        <v>90000000</v>
      </c>
      <c r="Z17" s="31"/>
      <c r="AA17" s="21">
        <f t="shared" si="2"/>
        <v>5815420.1737837614</v>
      </c>
      <c r="AB17" s="1"/>
      <c r="AC17" s="1">
        <f t="shared" si="3"/>
        <v>9</v>
      </c>
    </row>
    <row r="18" spans="1:29">
      <c r="A18" s="1">
        <f t="shared" si="5"/>
        <v>10</v>
      </c>
      <c r="B18" s="1"/>
      <c r="C18" s="1" t="s">
        <v>44</v>
      </c>
      <c r="D18" s="26"/>
      <c r="E18" s="16">
        <v>6.25E-2</v>
      </c>
      <c r="F18" s="27"/>
      <c r="G18" s="17">
        <v>49644</v>
      </c>
      <c r="H18" s="28"/>
      <c r="I18" s="17">
        <v>38673</v>
      </c>
      <c r="J18" s="25"/>
      <c r="K18" s="19">
        <v>150000000</v>
      </c>
      <c r="L18" s="29"/>
      <c r="M18" s="19">
        <v>1812935.49</v>
      </c>
      <c r="N18" s="29"/>
      <c r="O18" s="19">
        <v>-4445000</v>
      </c>
      <c r="P18" s="29"/>
      <c r="Q18" s="19">
        <v>367500</v>
      </c>
      <c r="R18" s="29"/>
      <c r="S18" s="19">
        <v>1700376.3864715428</v>
      </c>
      <c r="T18" s="29"/>
      <c r="U18" s="19">
        <f t="shared" si="4"/>
        <v>150564188.12352845</v>
      </c>
      <c r="V18" s="30"/>
      <c r="W18" s="20">
        <f t="shared" si="0"/>
        <v>6.2219270186626811E-2</v>
      </c>
      <c r="X18" s="30"/>
      <c r="Y18" s="21">
        <f t="shared" si="1"/>
        <v>150000000</v>
      </c>
      <c r="Z18" s="31"/>
      <c r="AA18" s="21">
        <f t="shared" si="2"/>
        <v>9332890.5279940218</v>
      </c>
      <c r="AB18" s="1"/>
      <c r="AC18" s="1">
        <f t="shared" si="3"/>
        <v>10</v>
      </c>
    </row>
    <row r="19" spans="1:29">
      <c r="A19" s="1">
        <f t="shared" si="5"/>
        <v>11</v>
      </c>
      <c r="B19" s="1"/>
      <c r="C19" s="1" t="s">
        <v>45</v>
      </c>
      <c r="D19" s="26"/>
      <c r="E19" s="16">
        <v>5.7000000000000002E-2</v>
      </c>
      <c r="F19" s="27"/>
      <c r="G19" s="17">
        <v>50222</v>
      </c>
      <c r="H19" s="28"/>
      <c r="I19" s="17">
        <v>39066</v>
      </c>
      <c r="J19" s="25"/>
      <c r="K19" s="19">
        <v>150000000</v>
      </c>
      <c r="L19" s="29"/>
      <c r="M19" s="19">
        <v>4702304.129999999</v>
      </c>
      <c r="N19" s="29"/>
      <c r="O19" s="19">
        <v>3738000</v>
      </c>
      <c r="P19" s="29"/>
      <c r="Q19" s="19">
        <v>222000</v>
      </c>
      <c r="R19" s="29"/>
      <c r="S19" s="19">
        <v>0</v>
      </c>
      <c r="T19" s="29"/>
      <c r="U19" s="19">
        <f t="shared" si="4"/>
        <v>141337695.87</v>
      </c>
      <c r="V19" s="30"/>
      <c r="W19" s="20">
        <f t="shared" si="0"/>
        <v>6.1197829079802084E-2</v>
      </c>
      <c r="X19" s="30"/>
      <c r="Y19" s="21">
        <f t="shared" si="1"/>
        <v>150000000</v>
      </c>
      <c r="Z19" s="31"/>
      <c r="AA19" s="21">
        <f t="shared" si="2"/>
        <v>9179674.3619703129</v>
      </c>
      <c r="AB19" s="1"/>
      <c r="AC19" s="1">
        <f t="shared" si="3"/>
        <v>11</v>
      </c>
    </row>
    <row r="20" spans="1:29">
      <c r="A20" s="1">
        <f t="shared" si="5"/>
        <v>12</v>
      </c>
      <c r="B20" s="1"/>
      <c r="C20" s="1" t="s">
        <v>46</v>
      </c>
      <c r="D20" s="26"/>
      <c r="E20" s="16">
        <v>5.9500000000000004E-2</v>
      </c>
      <c r="F20" s="27"/>
      <c r="G20" s="17">
        <v>43252</v>
      </c>
      <c r="H20" s="28"/>
      <c r="I20" s="17">
        <v>39540</v>
      </c>
      <c r="J20" s="25"/>
      <c r="K20" s="19">
        <v>250000000</v>
      </c>
      <c r="L20" s="29"/>
      <c r="M20" s="19">
        <v>2246419.11</v>
      </c>
      <c r="N20" s="29"/>
      <c r="O20" s="19">
        <v>16395000</v>
      </c>
      <c r="P20" s="29"/>
      <c r="Q20" s="19">
        <v>835000</v>
      </c>
      <c r="R20" s="29"/>
      <c r="S20" s="19">
        <v>0</v>
      </c>
      <c r="T20" s="29"/>
      <c r="U20" s="19">
        <f t="shared" si="4"/>
        <v>230523580.88999999</v>
      </c>
      <c r="V20" s="30"/>
      <c r="W20" s="20">
        <f t="shared" si="0"/>
        <v>7.0341409530063237E-2</v>
      </c>
      <c r="X20" s="30"/>
      <c r="Y20" s="21">
        <f t="shared" si="1"/>
        <v>250000000</v>
      </c>
      <c r="Z20" s="31"/>
      <c r="AA20" s="21">
        <f t="shared" si="2"/>
        <v>17585352.38251581</v>
      </c>
      <c r="AB20" s="1"/>
      <c r="AC20" s="1">
        <f t="shared" si="3"/>
        <v>12</v>
      </c>
    </row>
    <row r="21" spans="1:29">
      <c r="A21" s="1">
        <f t="shared" si="5"/>
        <v>13</v>
      </c>
      <c r="B21" s="1"/>
      <c r="C21" s="1" t="s">
        <v>47</v>
      </c>
      <c r="D21" s="26"/>
      <c r="E21" s="16">
        <v>5.1249999999999997E-2</v>
      </c>
      <c r="F21" s="27"/>
      <c r="G21" s="17">
        <v>44652</v>
      </c>
      <c r="H21" s="28"/>
      <c r="I21" s="17">
        <v>40078</v>
      </c>
      <c r="J21" s="25"/>
      <c r="K21" s="19">
        <v>250000000</v>
      </c>
      <c r="L21" s="29"/>
      <c r="M21" s="19">
        <v>2284787.75</v>
      </c>
      <c r="N21" s="29"/>
      <c r="O21" s="19">
        <v>-10776222</v>
      </c>
      <c r="P21" s="29"/>
      <c r="Q21" s="19">
        <v>575000</v>
      </c>
      <c r="R21" s="29"/>
      <c r="S21" s="19">
        <v>2875816.7087100963</v>
      </c>
      <c r="T21" s="29"/>
      <c r="U21" s="19">
        <f t="shared" si="4"/>
        <v>255040617.5412899</v>
      </c>
      <c r="V21" s="30"/>
      <c r="W21" s="20">
        <f t="shared" si="0"/>
        <v>4.9074459492199983E-2</v>
      </c>
      <c r="X21" s="30"/>
      <c r="Y21" s="21">
        <f t="shared" si="1"/>
        <v>250000000</v>
      </c>
      <c r="Z21" s="31"/>
      <c r="AA21" s="21">
        <f t="shared" si="2"/>
        <v>12268614.873049995</v>
      </c>
      <c r="AB21" s="1"/>
      <c r="AC21" s="1">
        <f t="shared" si="3"/>
        <v>13</v>
      </c>
    </row>
    <row r="22" spans="1:29">
      <c r="A22" s="1">
        <f t="shared" si="5"/>
        <v>14</v>
      </c>
      <c r="B22" s="1"/>
      <c r="C22" s="1" t="s">
        <v>48</v>
      </c>
      <c r="D22" s="27"/>
      <c r="E22" s="16">
        <v>1.6799999999999999E-2</v>
      </c>
      <c r="F22" s="32"/>
      <c r="G22" s="17">
        <v>41638</v>
      </c>
      <c r="H22" s="18"/>
      <c r="I22" s="17">
        <v>40542</v>
      </c>
      <c r="J22" s="1"/>
      <c r="K22" s="19">
        <v>50000000</v>
      </c>
      <c r="L22" s="19"/>
      <c r="M22" s="19">
        <v>305789.91989032907</v>
      </c>
      <c r="N22" s="19"/>
      <c r="O22" s="19">
        <v>0</v>
      </c>
      <c r="P22" s="19"/>
      <c r="Q22" s="19">
        <v>0</v>
      </c>
      <c r="R22" s="19"/>
      <c r="S22" s="19">
        <v>0</v>
      </c>
      <c r="T22" s="19"/>
      <c r="U22" s="19">
        <f t="shared" si="4"/>
        <v>49694210.080109671</v>
      </c>
      <c r="V22" s="24"/>
      <c r="W22" s="20">
        <f t="shared" si="0"/>
        <v>1.8906578441808451E-2</v>
      </c>
      <c r="X22" s="24"/>
      <c r="Y22" s="21">
        <f t="shared" si="1"/>
        <v>50000000</v>
      </c>
      <c r="Z22" s="21"/>
      <c r="AA22" s="21">
        <f t="shared" si="2"/>
        <v>945328.92209042259</v>
      </c>
      <c r="AB22" s="1"/>
      <c r="AC22" s="1">
        <f t="shared" si="3"/>
        <v>14</v>
      </c>
    </row>
    <row r="23" spans="1:29">
      <c r="A23" s="1">
        <f t="shared" si="5"/>
        <v>15</v>
      </c>
      <c r="B23" s="1"/>
      <c r="C23" s="1" t="s">
        <v>49</v>
      </c>
      <c r="D23" s="1"/>
      <c r="E23" s="16">
        <v>3.8899999999999997E-2</v>
      </c>
      <c r="F23" s="1"/>
      <c r="G23" s="17">
        <v>44185</v>
      </c>
      <c r="H23" s="1"/>
      <c r="I23" s="17">
        <v>40532</v>
      </c>
      <c r="J23" s="1"/>
      <c r="K23" s="19">
        <v>52000000</v>
      </c>
      <c r="L23" s="19"/>
      <c r="M23" s="19">
        <v>383338.36948594218</v>
      </c>
      <c r="N23" s="19"/>
      <c r="O23" s="19">
        <v>0</v>
      </c>
      <c r="P23" s="19"/>
      <c r="Q23" s="19">
        <v>0</v>
      </c>
      <c r="R23" s="19"/>
      <c r="S23" s="19">
        <v>6273664.2221528422</v>
      </c>
      <c r="T23" s="19"/>
      <c r="U23" s="19">
        <f t="shared" si="4"/>
        <v>45342997.408361211</v>
      </c>
      <c r="V23" s="1"/>
      <c r="W23" s="20">
        <f t="shared" si="0"/>
        <v>5.5775483998088779E-2</v>
      </c>
      <c r="X23" s="1"/>
      <c r="Y23" s="33">
        <f t="shared" si="1"/>
        <v>52000000</v>
      </c>
      <c r="Z23" s="21"/>
      <c r="AA23" s="33">
        <f t="shared" si="2"/>
        <v>2900325.1679006163</v>
      </c>
      <c r="AB23" s="1"/>
      <c r="AC23" s="1">
        <f t="shared" si="3"/>
        <v>15</v>
      </c>
    </row>
    <row r="24" spans="1:29">
      <c r="A24" s="1">
        <f t="shared" si="5"/>
        <v>16</v>
      </c>
      <c r="B24" s="1"/>
      <c r="C24" s="1" t="s">
        <v>50</v>
      </c>
      <c r="D24" s="1"/>
      <c r="E24" s="16">
        <v>5.5500000000000001E-2</v>
      </c>
      <c r="F24" s="1"/>
      <c r="G24" s="17">
        <v>51490</v>
      </c>
      <c r="H24" s="1"/>
      <c r="I24" s="17">
        <v>40532</v>
      </c>
      <c r="J24" s="1"/>
      <c r="K24" s="19">
        <v>35000000</v>
      </c>
      <c r="L24" s="19"/>
      <c r="M24" s="19">
        <v>258833.51792323033</v>
      </c>
      <c r="N24" s="19"/>
      <c r="O24" s="19">
        <v>0</v>
      </c>
      <c r="P24" s="19"/>
      <c r="Q24" s="19">
        <v>0</v>
      </c>
      <c r="R24" s="19"/>
      <c r="S24" s="19">
        <v>5263821.6495898366</v>
      </c>
      <c r="T24" s="19"/>
      <c r="U24" s="19">
        <f t="shared" si="4"/>
        <v>29477344.832486935</v>
      </c>
      <c r="V24" s="1"/>
      <c r="W24" s="20">
        <f>IF(K24&gt;0,YIELD(I24,G24,E24,U24/K24*100,100,2,0),"")</f>
        <v>6.7882497516345841E-2</v>
      </c>
      <c r="X24" s="1"/>
      <c r="Y24" s="33">
        <f>IF(G24&gt;$Y$7,K24,"")</f>
        <v>35000000</v>
      </c>
      <c r="Z24" s="33"/>
      <c r="AA24" s="33">
        <f>IF(AND(G24&gt;$Y$7,K24&gt;0),Y24*W24,IF(G24&gt;$Y$7,M24/((YEAR(G24)-YEAR(I24))*12+MONTH(G24)-MONTH(I24))*12,0))</f>
        <v>2375887.4130721046</v>
      </c>
      <c r="AB24" s="1"/>
      <c r="AC24" s="1">
        <f t="shared" si="3"/>
        <v>16</v>
      </c>
    </row>
    <row r="25" spans="1:29">
      <c r="A25" s="1">
        <f t="shared" si="5"/>
        <v>17</v>
      </c>
      <c r="B25" s="1"/>
      <c r="C25" s="1" t="s">
        <v>51</v>
      </c>
      <c r="D25" s="1"/>
      <c r="E25" s="16">
        <v>4.4499999999999998E-2</v>
      </c>
      <c r="F25" s="1"/>
      <c r="G25" s="17">
        <v>51849</v>
      </c>
      <c r="H25" s="1"/>
      <c r="I25" s="17">
        <v>40891</v>
      </c>
      <c r="J25" s="1"/>
      <c r="K25" s="19">
        <v>85000000</v>
      </c>
      <c r="L25" s="19"/>
      <c r="M25" s="19">
        <v>682770.62000000023</v>
      </c>
      <c r="N25" s="19"/>
      <c r="O25" s="19">
        <v>10557000</v>
      </c>
      <c r="P25" s="19"/>
      <c r="Q25" s="19">
        <v>0</v>
      </c>
      <c r="R25" s="19"/>
      <c r="S25" s="19">
        <v>0</v>
      </c>
      <c r="T25" s="19"/>
      <c r="U25" s="19">
        <f t="shared" si="4"/>
        <v>73760229.379999995</v>
      </c>
      <c r="V25" s="1"/>
      <c r="W25" s="20">
        <f>IF(K25&gt;0,YIELD(I25,G25,E25,U25/K25*100,100,2,0),"")</f>
        <v>5.3389644894104533E-2</v>
      </c>
      <c r="X25" s="1"/>
      <c r="Y25" s="33">
        <f>IF(G25&gt;$Y$7,K25,"")</f>
        <v>85000000</v>
      </c>
      <c r="Z25" s="33"/>
      <c r="AA25" s="33">
        <f>IF(AND(G25&gt;$Y$7,K25&gt;0),Y25*W25,IF(G25&gt;$Y$7,M25/((YEAR(G25)-YEAR(I25))*12+MONTH(G25)-MONTH(I25))*12,0))</f>
        <v>4538119.8159988858</v>
      </c>
      <c r="AB25" s="1"/>
      <c r="AC25" s="1">
        <f t="shared" si="3"/>
        <v>17</v>
      </c>
    </row>
    <row r="26" spans="1:29" ht="14.25">
      <c r="A26" s="1">
        <f t="shared" si="5"/>
        <v>18</v>
      </c>
      <c r="B26" s="1"/>
      <c r="C26" s="1" t="s">
        <v>52</v>
      </c>
      <c r="D26" s="34"/>
      <c r="E26" s="16">
        <v>4.2299999999999997E-2</v>
      </c>
      <c r="F26" s="34"/>
      <c r="G26" s="17">
        <v>54025</v>
      </c>
      <c r="H26" s="34"/>
      <c r="I26" s="17">
        <v>41243</v>
      </c>
      <c r="J26" s="34"/>
      <c r="K26" s="19">
        <v>80000000</v>
      </c>
      <c r="L26" s="19"/>
      <c r="M26" s="19">
        <f>+K26*0.0075</f>
        <v>600000</v>
      </c>
      <c r="N26" s="35">
        <v>2</v>
      </c>
      <c r="O26" s="19">
        <v>18546870</v>
      </c>
      <c r="P26" s="19"/>
      <c r="Q26" s="19">
        <v>0</v>
      </c>
      <c r="R26" s="19"/>
      <c r="S26" s="19">
        <v>104292.36</v>
      </c>
      <c r="T26" s="19"/>
      <c r="U26" s="19">
        <f t="shared" si="4"/>
        <v>60748837.640000001</v>
      </c>
      <c r="V26" s="1"/>
      <c r="W26" s="20">
        <f>IF(K26&gt;0,YIELD(I26,G26,E26,U26/K26*100,100,2,0),"")</f>
        <v>5.854387999367016E-2</v>
      </c>
      <c r="X26" s="1"/>
      <c r="Y26" s="36">
        <f>IF(G26&gt;$Y$7,K26,"")</f>
        <v>80000000</v>
      </c>
      <c r="Z26" s="33"/>
      <c r="AA26" s="36">
        <f>IF(AND(G26&gt;$Y$7,K26&gt;0),Y26*W26,IF(G26&gt;$Y$7,M26/((YEAR(G26)-YEAR(I26))*12+MONTH(G26)-MONTH(I26))*12,0))</f>
        <v>4683510.3994936123</v>
      </c>
      <c r="AB26" s="1"/>
      <c r="AC26" s="1">
        <f t="shared" si="3"/>
        <v>18</v>
      </c>
    </row>
    <row r="27" spans="1:29">
      <c r="A27" s="1">
        <f t="shared" si="5"/>
        <v>19</v>
      </c>
      <c r="B27" s="1"/>
      <c r="C27" s="1"/>
      <c r="D27" s="1"/>
      <c r="E27" s="37"/>
      <c r="F27" s="1"/>
      <c r="G27" s="17"/>
      <c r="H27" s="1"/>
      <c r="I27" s="38"/>
      <c r="J27" s="1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"/>
      <c r="W27" s="39"/>
      <c r="X27" s="1"/>
      <c r="Y27" s="40">
        <f>+SUM(Y9:Y26)</f>
        <v>1293000000</v>
      </c>
      <c r="Z27" s="24"/>
      <c r="AA27" s="40">
        <f>+SUM(AA9:AA26)</f>
        <v>75142183.631307811</v>
      </c>
      <c r="AB27" s="1"/>
      <c r="AC27" s="1">
        <f t="shared" si="3"/>
        <v>19</v>
      </c>
    </row>
    <row r="28" spans="1:29">
      <c r="A28" s="1">
        <f t="shared" si="5"/>
        <v>20</v>
      </c>
      <c r="B28" s="1"/>
      <c r="C28" s="1"/>
      <c r="D28" s="1"/>
      <c r="E28" s="37"/>
      <c r="F28" s="1"/>
      <c r="G28" s="17"/>
      <c r="H28" s="1"/>
      <c r="I28" s="17"/>
      <c r="J28" s="1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"/>
      <c r="W28" s="39"/>
      <c r="X28" s="1"/>
      <c r="Y28" s="40"/>
      <c r="Z28" s="24"/>
      <c r="AA28" s="40"/>
      <c r="AB28" s="1"/>
      <c r="AC28" s="1">
        <f t="shared" si="3"/>
        <v>20</v>
      </c>
    </row>
    <row r="29" spans="1:29" ht="14.25">
      <c r="A29" s="1">
        <f t="shared" si="5"/>
        <v>21</v>
      </c>
      <c r="B29" s="1"/>
      <c r="C29" s="1" t="s">
        <v>53</v>
      </c>
      <c r="D29" s="27"/>
      <c r="E29" s="41">
        <v>8.8499999999999995E-2</v>
      </c>
      <c r="F29" s="34">
        <v>3</v>
      </c>
      <c r="G29" s="32">
        <v>46909</v>
      </c>
      <c r="H29" s="18"/>
      <c r="I29" s="17">
        <v>37400</v>
      </c>
      <c r="J29" s="1"/>
      <c r="K29" s="19">
        <v>10000000</v>
      </c>
      <c r="L29" s="19"/>
      <c r="M29" s="19"/>
      <c r="N29" s="19"/>
      <c r="O29" s="19"/>
      <c r="P29" s="19"/>
      <c r="Q29" s="19"/>
      <c r="R29" s="19"/>
      <c r="S29" s="19">
        <v>-2228153</v>
      </c>
      <c r="T29" s="19"/>
      <c r="U29" s="42">
        <f>+K29-SUM(M29:S29)</f>
        <v>12228153</v>
      </c>
      <c r="V29" s="24"/>
      <c r="W29" s="43">
        <f t="shared" ref="W29:W31" si="6">YIELD(I29,G29,E29,U29/K29*100,100,2,0)</f>
        <v>6.9809831044499712E-2</v>
      </c>
      <c r="X29" s="34">
        <v>4</v>
      </c>
      <c r="Y29" s="44"/>
      <c r="Z29" s="27"/>
      <c r="AA29" s="45">
        <f t="shared" ref="AA29:AA33" si="7">-PMT(W29,(YEAR(G29)-YEAR(I29)),S29)</f>
        <v>-188084.26632318582</v>
      </c>
      <c r="AB29" s="1"/>
      <c r="AC29" s="1">
        <f t="shared" si="3"/>
        <v>21</v>
      </c>
    </row>
    <row r="30" spans="1:29" ht="14.25">
      <c r="A30" s="1">
        <f t="shared" si="5"/>
        <v>22</v>
      </c>
      <c r="B30" s="1"/>
      <c r="C30" s="1" t="s">
        <v>53</v>
      </c>
      <c r="D30" s="27"/>
      <c r="E30" s="41">
        <v>8.8300000000000003E-2</v>
      </c>
      <c r="F30" s="34">
        <v>3</v>
      </c>
      <c r="G30" s="32">
        <v>46909</v>
      </c>
      <c r="H30" s="18"/>
      <c r="I30" s="17">
        <v>37714</v>
      </c>
      <c r="J30" s="1"/>
      <c r="K30" s="19">
        <v>10000000</v>
      </c>
      <c r="L30" s="19"/>
      <c r="M30" s="19"/>
      <c r="N30" s="19"/>
      <c r="O30" s="19"/>
      <c r="P30" s="19"/>
      <c r="Q30" s="19"/>
      <c r="R30" s="19"/>
      <c r="S30" s="19">
        <f>-407637-43132</f>
        <v>-450769</v>
      </c>
      <c r="T30" s="19"/>
      <c r="U30" s="42">
        <f t="shared" ref="U30:U33" si="8">+K30-SUM(M30:S30)</f>
        <v>10450769</v>
      </c>
      <c r="V30" s="24"/>
      <c r="W30" s="43">
        <f t="shared" si="6"/>
        <v>8.3949643464908075E-2</v>
      </c>
      <c r="X30" s="34">
        <v>4</v>
      </c>
      <c r="Y30" s="44"/>
      <c r="Z30" s="27"/>
      <c r="AA30" s="45">
        <f t="shared" si="7"/>
        <v>-43661.153827584989</v>
      </c>
      <c r="AB30" s="1"/>
      <c r="AC30" s="1">
        <f t="shared" si="3"/>
        <v>22</v>
      </c>
    </row>
    <row r="31" spans="1:29" ht="14.25">
      <c r="A31" s="1">
        <f t="shared" si="5"/>
        <v>23</v>
      </c>
      <c r="B31" s="1"/>
      <c r="C31" s="1" t="s">
        <v>53</v>
      </c>
      <c r="D31" s="27"/>
      <c r="E31" s="41">
        <v>8.8300000000000003E-2</v>
      </c>
      <c r="F31" s="34">
        <v>3</v>
      </c>
      <c r="G31" s="32">
        <v>44924</v>
      </c>
      <c r="H31" s="18"/>
      <c r="I31" s="17">
        <v>37693</v>
      </c>
      <c r="J31" s="1"/>
      <c r="K31" s="19">
        <v>5000000</v>
      </c>
      <c r="L31" s="19"/>
      <c r="M31" s="19"/>
      <c r="N31" s="19"/>
      <c r="O31" s="19"/>
      <c r="P31" s="19"/>
      <c r="Q31" s="19"/>
      <c r="R31" s="19"/>
      <c r="S31" s="19">
        <v>92363.000000000029</v>
      </c>
      <c r="T31" s="19"/>
      <c r="U31" s="42">
        <f t="shared" si="8"/>
        <v>4907637</v>
      </c>
      <c r="V31" s="24"/>
      <c r="W31" s="43">
        <f t="shared" si="6"/>
        <v>9.0293794300644353E-2</v>
      </c>
      <c r="X31" s="34">
        <v>4</v>
      </c>
      <c r="Y31" s="44"/>
      <c r="Z31" s="27"/>
      <c r="AA31" s="46">
        <f t="shared" si="7"/>
        <v>10340.691620190086</v>
      </c>
      <c r="AB31" s="1"/>
      <c r="AC31" s="1">
        <f t="shared" si="3"/>
        <v>23</v>
      </c>
    </row>
    <row r="32" spans="1:29" ht="14.25">
      <c r="A32" s="1">
        <f t="shared" si="5"/>
        <v>24</v>
      </c>
      <c r="B32" s="47"/>
      <c r="C32" s="1" t="s">
        <v>53</v>
      </c>
      <c r="D32" s="27"/>
      <c r="E32" s="48">
        <v>5.7169999999999999E-2</v>
      </c>
      <c r="F32" s="34">
        <v>3</v>
      </c>
      <c r="G32" s="49">
        <v>49004</v>
      </c>
      <c r="H32" s="47"/>
      <c r="I32" s="49">
        <v>40177</v>
      </c>
      <c r="J32" s="47"/>
      <c r="K32" s="19">
        <v>17000000</v>
      </c>
      <c r="L32" s="19"/>
      <c r="M32" s="19"/>
      <c r="N32" s="19"/>
      <c r="O32" s="19"/>
      <c r="P32" s="19"/>
      <c r="Q32" s="19"/>
      <c r="R32" s="19"/>
      <c r="S32" s="42">
        <v>1957495.551844348</v>
      </c>
      <c r="T32" s="19"/>
      <c r="U32" s="42">
        <f>+K32-SUM(M32:S32)</f>
        <v>15042504.448155653</v>
      </c>
      <c r="V32" s="47"/>
      <c r="W32" s="43">
        <f>YIELD(I32,G32,E32,U32/K32*100,100,2,0)</f>
        <v>6.6830570359520197E-2</v>
      </c>
      <c r="X32" s="34">
        <v>4</v>
      </c>
      <c r="Y32" s="50"/>
      <c r="Z32" s="27"/>
      <c r="AA32" s="46">
        <f t="shared" si="7"/>
        <v>163205.98196676839</v>
      </c>
      <c r="AB32" s="1"/>
      <c r="AC32" s="1">
        <f t="shared" si="3"/>
        <v>24</v>
      </c>
    </row>
    <row r="33" spans="1:29" ht="14.25">
      <c r="A33" s="1">
        <f t="shared" si="5"/>
        <v>25</v>
      </c>
      <c r="B33" s="47"/>
      <c r="C33" s="1" t="s">
        <v>53</v>
      </c>
      <c r="D33" s="27"/>
      <c r="E33" s="48">
        <v>6.5500000000000003E-2</v>
      </c>
      <c r="F33" s="34">
        <v>3</v>
      </c>
      <c r="G33" s="49">
        <v>48488</v>
      </c>
      <c r="H33" s="47"/>
      <c r="I33" s="49">
        <v>39813</v>
      </c>
      <c r="J33" s="47"/>
      <c r="K33" s="19">
        <v>66700000</v>
      </c>
      <c r="L33" s="19"/>
      <c r="M33" s="19"/>
      <c r="N33" s="19"/>
      <c r="O33" s="19"/>
      <c r="P33" s="19"/>
      <c r="Q33" s="47"/>
      <c r="R33" s="19"/>
      <c r="S33" s="42">
        <v>3709755.2800955386</v>
      </c>
      <c r="T33" s="19"/>
      <c r="U33" s="42">
        <f t="shared" si="8"/>
        <v>62990244.71990446</v>
      </c>
      <c r="V33" s="47"/>
      <c r="W33" s="43">
        <f>YIELD(I33,G33,E33,U33/K33*100,100,2,0)</f>
        <v>7.0339176509953624E-2</v>
      </c>
      <c r="X33" s="34">
        <v>4</v>
      </c>
      <c r="Y33" s="50"/>
      <c r="Z33" s="27"/>
      <c r="AA33" s="46">
        <f t="shared" si="7"/>
        <v>324413.51666800096</v>
      </c>
      <c r="AB33" s="1"/>
      <c r="AC33" s="1">
        <f t="shared" si="3"/>
        <v>25</v>
      </c>
    </row>
    <row r="34" spans="1:29" ht="14.25">
      <c r="A34" s="1">
        <f t="shared" si="5"/>
        <v>26</v>
      </c>
      <c r="B34" s="47"/>
      <c r="C34" s="1"/>
      <c r="D34" s="27"/>
      <c r="E34" s="48"/>
      <c r="F34" s="34"/>
      <c r="G34" s="49"/>
      <c r="H34" s="47"/>
      <c r="I34" s="49"/>
      <c r="J34" s="47"/>
      <c r="K34" s="19"/>
      <c r="L34" s="19"/>
      <c r="M34" s="19"/>
      <c r="N34" s="19"/>
      <c r="O34" s="19"/>
      <c r="P34" s="19"/>
      <c r="Q34" s="47"/>
      <c r="R34" s="19"/>
      <c r="S34" s="42"/>
      <c r="T34" s="19"/>
      <c r="U34" s="42"/>
      <c r="V34" s="47"/>
      <c r="W34" s="43"/>
      <c r="X34" s="34"/>
      <c r="Y34" s="50"/>
      <c r="Z34" s="27"/>
      <c r="AA34" s="46"/>
      <c r="AB34" s="1"/>
      <c r="AC34" s="1">
        <f t="shared" si="3"/>
        <v>26</v>
      </c>
    </row>
    <row r="35" spans="1:29">
      <c r="A35" s="1">
        <f t="shared" si="5"/>
        <v>27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1"/>
      <c r="P35" s="1"/>
      <c r="Q35" s="1"/>
      <c r="R35" s="1"/>
      <c r="S35" s="43"/>
      <c r="T35" s="1"/>
      <c r="U35" s="44"/>
      <c r="V35" s="51" t="str">
        <f>"COST OF LONG-TERM DEBT AS OF "&amp;TEXT(A3,"mmmm d, yyyy")</f>
        <v>COST OF LONG-TERM DEBT AS OF December 31, 2012</v>
      </c>
      <c r="W35" s="52">
        <f>+AA35/Y35</f>
        <v>5.832049373659088E-2</v>
      </c>
      <c r="X35" s="1"/>
      <c r="Y35" s="53">
        <f>+SUM(Y27:Y33)</f>
        <v>1293000000</v>
      </c>
      <c r="Z35" s="53"/>
      <c r="AA35" s="53">
        <f>+SUM(AA27:AA33)</f>
        <v>75408398.40141201</v>
      </c>
      <c r="AB35" s="1"/>
      <c r="AC35" s="1">
        <f t="shared" si="3"/>
        <v>27</v>
      </c>
    </row>
    <row r="36" spans="1:29" ht="6" customHeight="1">
      <c r="A36" s="1">
        <f t="shared" si="5"/>
        <v>28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  <c r="O36" s="2"/>
      <c r="P36" s="1"/>
      <c r="Q36" s="2"/>
      <c r="R36" s="1"/>
      <c r="S36" s="1"/>
      <c r="T36" s="1"/>
      <c r="U36" s="1"/>
      <c r="V36" s="1"/>
      <c r="W36" s="43"/>
      <c r="X36" s="1"/>
      <c r="Y36" s="44"/>
      <c r="Z36" s="54"/>
      <c r="AA36" s="55"/>
      <c r="AB36" s="1"/>
      <c r="AC36" s="1">
        <f t="shared" si="3"/>
        <v>28</v>
      </c>
    </row>
    <row r="37" spans="1:29">
      <c r="A37" s="1">
        <f t="shared" si="5"/>
        <v>29</v>
      </c>
      <c r="B37" s="1"/>
      <c r="C37" s="1" t="s">
        <v>54</v>
      </c>
      <c r="D37" s="1"/>
      <c r="E37" s="1"/>
      <c r="F37" s="1"/>
      <c r="G37" s="1"/>
      <c r="H37" s="1"/>
      <c r="I37" s="1"/>
      <c r="J37" s="1"/>
      <c r="K37" s="56">
        <f>'[7]Staff cost of short-term debt'!P8</f>
        <v>105000000</v>
      </c>
      <c r="L37" s="1"/>
      <c r="M37" s="2"/>
      <c r="N37" s="1"/>
      <c r="O37" s="2"/>
      <c r="P37" s="1"/>
      <c r="Q37" s="2"/>
      <c r="R37" s="1"/>
      <c r="S37" s="1"/>
      <c r="T37" s="1"/>
      <c r="U37" s="1"/>
      <c r="V37" s="51" t="str">
        <f>"COST OF SHORT-TERM DEBT AS OF "&amp;TEXT(A3,"mmmm d, yyyy")</f>
        <v>COST OF SHORT-TERM DEBT AS OF December 31, 2012</v>
      </c>
      <c r="W37" s="52">
        <f>'[7]Staff cost of short-term debt'!P21</f>
        <v>2.1405854095238094E-2</v>
      </c>
      <c r="X37" s="1"/>
      <c r="Y37" s="44">
        <v>48687120</v>
      </c>
      <c r="Z37" s="57"/>
      <c r="AA37" s="45">
        <f>+W37*Y37</f>
        <v>1042189.3870373485</v>
      </c>
      <c r="AB37" s="1"/>
      <c r="AC37" s="1">
        <f t="shared" si="3"/>
        <v>29</v>
      </c>
    </row>
    <row r="38" spans="1:29" ht="6" customHeight="1">
      <c r="A38" s="1">
        <f t="shared" si="5"/>
        <v>30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2"/>
      <c r="P38" s="1"/>
      <c r="Q38" s="2"/>
      <c r="R38" s="1"/>
      <c r="S38" s="1"/>
      <c r="T38" s="1"/>
      <c r="U38" s="1"/>
      <c r="V38" s="1"/>
      <c r="W38" s="43"/>
      <c r="X38" s="1"/>
      <c r="Y38" s="44"/>
      <c r="Z38" s="54"/>
      <c r="AA38" s="55"/>
      <c r="AB38" s="1"/>
      <c r="AC38" s="1">
        <f t="shared" si="3"/>
        <v>30</v>
      </c>
    </row>
    <row r="39" spans="1:29" ht="13.5" thickBot="1">
      <c r="A39" s="1">
        <f t="shared" si="5"/>
        <v>31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1"/>
      <c r="O39" s="2"/>
      <c r="P39" s="1"/>
      <c r="Q39" s="2"/>
      <c r="R39" s="1"/>
      <c r="S39" s="1"/>
      <c r="T39" s="1"/>
      <c r="U39" s="1"/>
      <c r="V39" s="18" t="str">
        <f>"PRO FORMA COST OF DEBT AS OF "&amp;TEXT(A3,"mmmm d, yyyy")</f>
        <v>PRO FORMA COST OF DEBT AS OF December 31, 2012</v>
      </c>
      <c r="W39" s="55">
        <f>+AA39/Y39</f>
        <v>5.6980935904377888E-2</v>
      </c>
      <c r="X39" s="1"/>
      <c r="Y39" s="58">
        <f>+Y35+Y37</f>
        <v>1341687120</v>
      </c>
      <c r="Z39" s="54"/>
      <c r="AA39" s="58">
        <f>+AA35+AA37</f>
        <v>76450587.788449362</v>
      </c>
      <c r="AB39" s="1"/>
      <c r="AC39" s="1">
        <f t="shared" si="3"/>
        <v>31</v>
      </c>
    </row>
    <row r="40" spans="1:29" ht="13.5" thickTop="1">
      <c r="A40" s="1">
        <f t="shared" si="5"/>
        <v>32</v>
      </c>
      <c r="B40" s="59">
        <v>1</v>
      </c>
      <c r="C40" s="2" t="s">
        <v>55</v>
      </c>
      <c r="D40" s="25"/>
      <c r="E40" s="2"/>
      <c r="F40" s="1"/>
      <c r="G40" s="3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6"/>
      <c r="X40" s="1"/>
      <c r="Y40" s="1"/>
      <c r="Z40" s="1"/>
      <c r="AA40" s="1"/>
      <c r="AB40" s="1"/>
      <c r="AC40" s="1">
        <f t="shared" si="3"/>
        <v>32</v>
      </c>
    </row>
    <row r="41" spans="1:29">
      <c r="A41" s="1">
        <f t="shared" si="5"/>
        <v>33</v>
      </c>
      <c r="B41" s="59">
        <v>2</v>
      </c>
      <c r="C41" s="1" t="s">
        <v>60</v>
      </c>
      <c r="D41" s="1"/>
      <c r="E41" s="1"/>
      <c r="F41" s="1"/>
      <c r="G41" s="3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2"/>
      <c r="T41" s="1"/>
      <c r="U41" s="2"/>
      <c r="V41" s="1"/>
      <c r="W41" s="6"/>
      <c r="X41" s="1"/>
      <c r="Y41" s="2"/>
      <c r="Z41" s="1"/>
      <c r="AA41" s="2"/>
      <c r="AB41" s="1"/>
      <c r="AC41" s="1">
        <f t="shared" si="3"/>
        <v>33</v>
      </c>
    </row>
    <row r="42" spans="1:29">
      <c r="A42" s="1">
        <f t="shared" si="5"/>
        <v>34</v>
      </c>
      <c r="B42" s="59">
        <v>3</v>
      </c>
      <c r="C42" s="1" t="s">
        <v>56</v>
      </c>
      <c r="D42" s="1"/>
      <c r="E42" s="1"/>
      <c r="F42" s="1"/>
      <c r="G42" s="3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2"/>
      <c r="T42" s="1"/>
      <c r="U42" s="2"/>
      <c r="V42" s="1"/>
      <c r="W42" s="6"/>
      <c r="X42" s="1"/>
      <c r="Y42" s="2"/>
      <c r="Z42" s="1"/>
      <c r="AA42" s="2"/>
      <c r="AB42" s="1"/>
      <c r="AC42" s="1">
        <f t="shared" si="3"/>
        <v>34</v>
      </c>
    </row>
    <row r="43" spans="1:29">
      <c r="A43" s="1">
        <f t="shared" si="5"/>
        <v>35</v>
      </c>
      <c r="B43" s="59">
        <v>4</v>
      </c>
      <c r="C43" s="1" t="s">
        <v>57</v>
      </c>
      <c r="D43" s="1"/>
      <c r="E43" s="1"/>
      <c r="F43" s="1"/>
      <c r="G43" s="3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6"/>
      <c r="X43" s="1"/>
      <c r="Y43" s="2"/>
      <c r="Z43" s="1"/>
      <c r="AA43" s="2"/>
      <c r="AB43" s="1"/>
      <c r="AC43" s="1">
        <f t="shared" si="3"/>
        <v>35</v>
      </c>
    </row>
    <row r="44" spans="1:29">
      <c r="A44" s="1">
        <f t="shared" si="5"/>
        <v>36</v>
      </c>
      <c r="B44" s="1"/>
      <c r="C44" s="1"/>
      <c r="D44" s="1"/>
      <c r="E44" s="1"/>
      <c r="F44" s="1"/>
      <c r="G44" s="3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2"/>
      <c r="T44" s="1"/>
      <c r="U44" s="2"/>
      <c r="V44" s="1"/>
      <c r="W44" s="6"/>
      <c r="X44" s="1"/>
      <c r="Y44" s="2"/>
      <c r="Z44" s="1"/>
      <c r="AA44" s="2"/>
      <c r="AB44" s="1"/>
      <c r="AC44" s="1">
        <f t="shared" si="3"/>
        <v>36</v>
      </c>
    </row>
    <row r="45" spans="1:29" ht="15">
      <c r="A45" s="1">
        <f t="shared" si="5"/>
        <v>37</v>
      </c>
      <c r="B45" s="60" t="s">
        <v>58</v>
      </c>
      <c r="C45" s="1" t="s">
        <v>59</v>
      </c>
      <c r="D45" s="1"/>
      <c r="E45" s="2"/>
      <c r="F45" s="1"/>
      <c r="G45" s="3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6"/>
      <c r="X45" s="1"/>
      <c r="Y45" s="2"/>
      <c r="Z45" s="1"/>
      <c r="AA45" s="2"/>
      <c r="AB45" s="1"/>
      <c r="AC45" s="1">
        <f t="shared" si="3"/>
        <v>37</v>
      </c>
    </row>
  </sheetData>
  <mergeCells count="3">
    <mergeCell ref="A1:AC1"/>
    <mergeCell ref="A2:AC2"/>
    <mergeCell ref="A3:AC3"/>
  </mergeCells>
  <conditionalFormatting sqref="G9:G26 I9:I26">
    <cfRule type="expression" dxfId="0" priority="1" stopIfTrue="1">
      <formula>(G9&lt;#REF!)</formula>
    </cfRule>
  </conditionalFormatting>
  <pageMargins left="0.7" right="0.7" top="0.75" bottom="0.75" header="0.3" footer="0.3"/>
  <pageSetup scale="71" orientation="landscape" r:id="rId1"/>
  <headerFooter>
    <oddFooter>&amp;RExhibit No. _ (KLE-4)
Docket Nos. UE-120436, et al.
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639CF-65B3-48EB-9CDE-616490E44C9C}"/>
</file>

<file path=customXml/itemProps2.xml><?xml version="1.0" encoding="utf-8"?>
<ds:datastoreItem xmlns:ds="http://schemas.openxmlformats.org/officeDocument/2006/customXml" ds:itemID="{B7963CA9-02BC-4ABB-9748-9E17AC1F71E4}"/>
</file>

<file path=customXml/itemProps3.xml><?xml version="1.0" encoding="utf-8"?>
<ds:datastoreItem xmlns:ds="http://schemas.openxmlformats.org/officeDocument/2006/customXml" ds:itemID="{12BE70DE-AC7A-49A9-AE67-B9EC2CDB0E97}"/>
</file>

<file path=customXml/itemProps4.xml><?xml version="1.0" encoding="utf-8"?>
<ds:datastoreItem xmlns:ds="http://schemas.openxmlformats.org/officeDocument/2006/customXml" ds:itemID="{B132E48D-A33C-4384-A94F-F4AD04913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revised cost of debt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2012-09-17T18:27:19Z</cp:lastPrinted>
  <dcterms:created xsi:type="dcterms:W3CDTF">2012-08-31T20:48:42Z</dcterms:created>
  <dcterms:modified xsi:type="dcterms:W3CDTF">2012-09-17T18:27:55Z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