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theme/theme1.xml" ContentType="application/vnd.openxmlformats-officedocument.theme+xml"/>
  <Override PartName="/xl/worksheets/sheet1.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4.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20" yWindow="30" windowWidth="15480" windowHeight="11640"/>
  </bookViews>
  <sheets>
    <sheet name="Lead Sheet" sheetId="9" r:id="rId1"/>
    <sheet name="Production Factor Adj" sheetId="1" r:id="rId2"/>
    <sheet name="9.1.4" sheetId="6"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Adjs2avg">[1]Inputs!$L$255:'[1]Inputs'!$T$505</definedName>
    <definedName name="ADJTOTAL">#REF!</definedName>
    <definedName name="MSPAverageInput">[1]Inputs!#REF!</definedName>
    <definedName name="MSPYearEndInput">[1]Inputs!#REF!</definedName>
    <definedName name="_xlnm.Print_Area" localSheetId="0">'Lead Sheet'!$A$1:$J$83</definedName>
    <definedName name="_xlnm.Print_Area" localSheetId="1">'Production Factor Adj'!$A$4:$W$77</definedName>
    <definedName name="_xlnm.Print_Titles" localSheetId="1">'Production Factor Adj'!$A:$C</definedName>
    <definedName name="PrintDetail">#REF!</definedName>
    <definedName name="PrintStateReport">#REF!</definedName>
    <definedName name="wrn.Factors._.Tab._.10." hidden="1">{"Factors Pages 1-2",#N/A,FALSE,"Factors";"Factors Page 3",#N/A,FALSE,"Factors";"Factors Page 4",#N/A,FALSE,"Factors";"Factors Page 5",#N/A,FALSE,"Factors";"Factors Pages 8-27",#N/A,FALSE,"Factors"}</definedName>
    <definedName name="wrn.YearEnd." hidden="1">{"Factors Pages 1-2",#N/A,FALSE,"Variables";"Factors Page 3",#N/A,FALSE,"Variables";"Factors Page 4",#N/A,FALSE,"Variables";"Factors Page 5",#N/A,FALSE,"Variables";"YE Pages 7-26",#N/A,FALSE,"Variables"}</definedName>
  </definedNames>
  <calcPr calcId="125725"/>
</workbook>
</file>

<file path=xl/calcChain.xml><?xml version="1.0" encoding="utf-8"?>
<calcChain xmlns="http://schemas.openxmlformats.org/spreadsheetml/2006/main">
  <c r="D68" i="1"/>
  <c r="D67"/>
  <c r="D52"/>
  <c r="D51"/>
  <c r="D50"/>
  <c r="D49"/>
  <c r="D48"/>
  <c r="D47"/>
  <c r="D46"/>
  <c r="D42"/>
  <c r="D41"/>
  <c r="D40"/>
  <c r="D39"/>
  <c r="D38"/>
  <c r="D37"/>
  <c r="D36"/>
  <c r="D35"/>
  <c r="D34"/>
  <c r="D33"/>
  <c r="D32"/>
  <c r="D31"/>
  <c r="D30"/>
  <c r="D29"/>
  <c r="D26"/>
  <c r="D25"/>
  <c r="D24"/>
  <c r="D23"/>
  <c r="D20"/>
  <c r="D19"/>
  <c r="D18"/>
  <c r="D17"/>
  <c r="D14"/>
  <c r="D13"/>
  <c r="D12"/>
  <c r="D11"/>
  <c r="D10"/>
  <c r="D9"/>
  <c r="R12"/>
  <c r="Q63"/>
  <c r="Q62"/>
  <c r="Q61"/>
  <c r="Q60"/>
  <c r="Q59"/>
  <c r="P19"/>
  <c r="O23"/>
  <c r="O17"/>
  <c r="O11"/>
  <c r="N56"/>
  <c r="M40"/>
  <c r="L52"/>
  <c r="L51"/>
  <c r="L50"/>
  <c r="L49"/>
  <c r="L48"/>
  <c r="L47"/>
  <c r="L46"/>
  <c r="K52"/>
  <c r="K51"/>
  <c r="K50"/>
  <c r="K49"/>
  <c r="K48"/>
  <c r="K47"/>
  <c r="K46"/>
  <c r="J40"/>
  <c r="J34"/>
  <c r="I42"/>
  <c r="I41"/>
  <c r="I40"/>
  <c r="I37"/>
  <c r="I36"/>
  <c r="I35"/>
  <c r="I34"/>
  <c r="I33"/>
  <c r="I32"/>
  <c r="I31"/>
  <c r="I29"/>
  <c r="H42"/>
  <c r="H41"/>
  <c r="H40"/>
  <c r="H37"/>
  <c r="H36"/>
  <c r="H35"/>
  <c r="H34"/>
  <c r="H33"/>
  <c r="H32"/>
  <c r="H31"/>
  <c r="H29"/>
  <c r="G40"/>
  <c r="F71"/>
  <c r="E68"/>
  <c r="E67"/>
  <c r="G32" i="6"/>
  <c r="C15"/>
  <c r="R64" i="1"/>
  <c r="P64"/>
  <c r="O64"/>
  <c r="N64"/>
  <c r="M64"/>
  <c r="L64"/>
  <c r="K64"/>
  <c r="J64"/>
  <c r="I64"/>
  <c r="H64"/>
  <c r="G64"/>
  <c r="F64"/>
  <c r="E64"/>
  <c r="D64"/>
  <c r="R53"/>
  <c r="Q53"/>
  <c r="P53"/>
  <c r="O53"/>
  <c r="N53"/>
  <c r="M53"/>
  <c r="J53"/>
  <c r="I53"/>
  <c r="H53"/>
  <c r="G53"/>
  <c r="F53"/>
  <c r="E53"/>
  <c r="R43"/>
  <c r="Q43"/>
  <c r="P43"/>
  <c r="O43"/>
  <c r="N43"/>
  <c r="L43"/>
  <c r="K43"/>
  <c r="F43"/>
  <c r="E43"/>
  <c r="R27"/>
  <c r="Q27"/>
  <c r="P27"/>
  <c r="N27"/>
  <c r="M27"/>
  <c r="L27"/>
  <c r="K27"/>
  <c r="J27"/>
  <c r="I27"/>
  <c r="H27"/>
  <c r="G27"/>
  <c r="F27"/>
  <c r="E27"/>
  <c r="R21"/>
  <c r="Q21"/>
  <c r="N21"/>
  <c r="M21"/>
  <c r="L21"/>
  <c r="K21"/>
  <c r="J21"/>
  <c r="I21"/>
  <c r="H21"/>
  <c r="G21"/>
  <c r="F21"/>
  <c r="E21"/>
  <c r="Q15"/>
  <c r="P15"/>
  <c r="N15"/>
  <c r="M15"/>
  <c r="L15"/>
  <c r="K15"/>
  <c r="J15"/>
  <c r="I15"/>
  <c r="H15"/>
  <c r="G15"/>
  <c r="F15"/>
  <c r="E15"/>
  <c r="G43" l="1"/>
  <c r="M43"/>
  <c r="L53" l="1"/>
  <c r="K53"/>
  <c r="J43"/>
  <c r="S32" l="1"/>
  <c r="P21"/>
  <c r="H43" l="1"/>
  <c r="I43"/>
  <c r="S56"/>
  <c r="O27" l="1"/>
  <c r="O21"/>
  <c r="O15"/>
  <c r="S63" l="1"/>
  <c r="S62"/>
  <c r="S61"/>
  <c r="S60"/>
  <c r="S59" l="1"/>
  <c r="Q64"/>
  <c r="R15"/>
  <c r="S52" l="1"/>
  <c r="S51"/>
  <c r="S50"/>
  <c r="S49"/>
  <c r="S48"/>
  <c r="S46"/>
  <c r="S42"/>
  <c r="S41"/>
  <c r="S40"/>
  <c r="S38"/>
  <c r="S37"/>
  <c r="S36"/>
  <c r="S35"/>
  <c r="S34"/>
  <c r="S33"/>
  <c r="S31"/>
  <c r="S30"/>
  <c r="S26"/>
  <c r="S25"/>
  <c r="S24"/>
  <c r="S20"/>
  <c r="S19"/>
  <c r="S18"/>
  <c r="S14"/>
  <c r="S13"/>
  <c r="S12"/>
  <c r="S11"/>
  <c r="S10"/>
  <c r="S68"/>
  <c r="S67"/>
  <c r="S39"/>
  <c r="S71"/>
  <c r="S64"/>
  <c r="S9" l="1"/>
  <c r="D15"/>
  <c r="S17"/>
  <c r="D21"/>
  <c r="S23"/>
  <c r="D27"/>
  <c r="S29"/>
  <c r="D43"/>
  <c r="S47"/>
  <c r="D53"/>
  <c r="S21" l="1"/>
  <c r="G30" i="6" l="1"/>
  <c r="G29"/>
  <c r="C23" l="1"/>
  <c r="D77" i="1" l="1"/>
  <c r="D76"/>
  <c r="D75"/>
  <c r="A2" i="6"/>
  <c r="T68" i="1" l="1"/>
  <c r="U68" s="1"/>
  <c r="V68" s="1"/>
  <c r="I68" i="9" s="1"/>
  <c r="F68" s="1"/>
  <c r="T63" i="1"/>
  <c r="U63" s="1"/>
  <c r="V63" s="1"/>
  <c r="I63" i="9" s="1"/>
  <c r="F63" s="1"/>
  <c r="T61" i="1"/>
  <c r="U61" s="1"/>
  <c r="V61" s="1"/>
  <c r="I61" i="9" s="1"/>
  <c r="F61" s="1"/>
  <c r="T59" i="1"/>
  <c r="U59" s="1"/>
  <c r="V59" s="1"/>
  <c r="T52"/>
  <c r="U52" s="1"/>
  <c r="V52" s="1"/>
  <c r="I52" i="9" s="1"/>
  <c r="F52" s="1"/>
  <c r="T50" i="1"/>
  <c r="U50" s="1"/>
  <c r="V50" s="1"/>
  <c r="I50" i="9" s="1"/>
  <c r="F50" s="1"/>
  <c r="T48" i="1"/>
  <c r="U48" s="1"/>
  <c r="V48" s="1"/>
  <c r="I48" i="9" s="1"/>
  <c r="F48" s="1"/>
  <c r="T46" i="1"/>
  <c r="U46" s="1"/>
  <c r="V46" s="1"/>
  <c r="I46" i="9" s="1"/>
  <c r="F46" s="1"/>
  <c r="T41" i="1"/>
  <c r="U41" s="1"/>
  <c r="V41" s="1"/>
  <c r="I41" i="9" s="1"/>
  <c r="F41" s="1"/>
  <c r="T39" i="1"/>
  <c r="U39" s="1"/>
  <c r="V39" s="1"/>
  <c r="I39" i="9" s="1"/>
  <c r="F39" s="1"/>
  <c r="T37" i="1"/>
  <c r="U37" s="1"/>
  <c r="V37" s="1"/>
  <c r="I37" i="9" s="1"/>
  <c r="F37" s="1"/>
  <c r="T35" i="1"/>
  <c r="U35" s="1"/>
  <c r="V35" s="1"/>
  <c r="I35" i="9" s="1"/>
  <c r="F35" s="1"/>
  <c r="T33" i="1"/>
  <c r="U33" s="1"/>
  <c r="V33" s="1"/>
  <c r="I33" i="9" s="1"/>
  <c r="F33" s="1"/>
  <c r="T31" i="1"/>
  <c r="T29"/>
  <c r="T25"/>
  <c r="U25" s="1"/>
  <c r="V25" s="1"/>
  <c r="I25" i="9" s="1"/>
  <c r="F25" s="1"/>
  <c r="T23" i="1"/>
  <c r="U23" s="1"/>
  <c r="V23" s="1"/>
  <c r="I23" i="9" s="1"/>
  <c r="F23" s="1"/>
  <c r="T19" i="1"/>
  <c r="U19" s="1"/>
  <c r="V19" s="1"/>
  <c r="I19" i="9" s="1"/>
  <c r="F19" s="1"/>
  <c r="T17" i="1"/>
  <c r="U17" s="1"/>
  <c r="T13"/>
  <c r="T11"/>
  <c r="T9"/>
  <c r="T71"/>
  <c r="U71" s="1"/>
  <c r="V71" s="1"/>
  <c r="I71" i="9" s="1"/>
  <c r="F71" s="1"/>
  <c r="T67" i="1"/>
  <c r="U67" s="1"/>
  <c r="V67" s="1"/>
  <c r="I67" i="9" s="1"/>
  <c r="F67" s="1"/>
  <c r="T62" i="1"/>
  <c r="U62" s="1"/>
  <c r="V62" s="1"/>
  <c r="I62" i="9" s="1"/>
  <c r="F62" s="1"/>
  <c r="T60" i="1"/>
  <c r="U60" s="1"/>
  <c r="V60" s="1"/>
  <c r="I60" i="9" s="1"/>
  <c r="F60" s="1"/>
  <c r="T56" i="1"/>
  <c r="U56" s="1"/>
  <c r="V56" s="1"/>
  <c r="I56" i="9" s="1"/>
  <c r="F56" s="1"/>
  <c r="T51" i="1"/>
  <c r="U51" s="1"/>
  <c r="V51" s="1"/>
  <c r="I51" i="9" s="1"/>
  <c r="F51" s="1"/>
  <c r="T49" i="1"/>
  <c r="U49" s="1"/>
  <c r="V49" s="1"/>
  <c r="I49" i="9" s="1"/>
  <c r="F49" s="1"/>
  <c r="T47" i="1"/>
  <c r="U47" s="1"/>
  <c r="V47" s="1"/>
  <c r="I47" i="9" s="1"/>
  <c r="F47" s="1"/>
  <c r="T42" i="1"/>
  <c r="U42" s="1"/>
  <c r="V42" s="1"/>
  <c r="I42" i="9" s="1"/>
  <c r="F42" s="1"/>
  <c r="T40" i="1"/>
  <c r="U40" s="1"/>
  <c r="V40" s="1"/>
  <c r="I40" i="9" s="1"/>
  <c r="F40" s="1"/>
  <c r="T38" i="1"/>
  <c r="U38" s="1"/>
  <c r="V38" s="1"/>
  <c r="I38" i="9" s="1"/>
  <c r="F38" s="1"/>
  <c r="T36" i="1"/>
  <c r="U36" s="1"/>
  <c r="V36" s="1"/>
  <c r="I36" i="9" s="1"/>
  <c r="F36" s="1"/>
  <c r="T34" i="1"/>
  <c r="U34" s="1"/>
  <c r="V34" s="1"/>
  <c r="I34" i="9" s="1"/>
  <c r="F34" s="1"/>
  <c r="T32" i="1"/>
  <c r="U32" s="1"/>
  <c r="V32" s="1"/>
  <c r="I32" i="9" s="1"/>
  <c r="F32" s="1"/>
  <c r="T30" i="1"/>
  <c r="U30" s="1"/>
  <c r="V30" s="1"/>
  <c r="I30" i="9" s="1"/>
  <c r="F30" s="1"/>
  <c r="T26" i="1"/>
  <c r="T24"/>
  <c r="T20"/>
  <c r="U20" s="1"/>
  <c r="V20" s="1"/>
  <c r="I20" i="9" s="1"/>
  <c r="F20" s="1"/>
  <c r="T18" i="1"/>
  <c r="U18" s="1"/>
  <c r="V18" s="1"/>
  <c r="I18" i="9" s="1"/>
  <c r="F18" s="1"/>
  <c r="T14" i="1"/>
  <c r="U14" s="1"/>
  <c r="V14" s="1"/>
  <c r="I14" i="9" s="1"/>
  <c r="F14" s="1"/>
  <c r="T12" i="1"/>
  <c r="U12" s="1"/>
  <c r="V12" s="1"/>
  <c r="I12" i="9" s="1"/>
  <c r="F12" s="1"/>
  <c r="T10" i="1"/>
  <c r="U10" s="1"/>
  <c r="V10" s="1"/>
  <c r="I10" i="9" s="1"/>
  <c r="F10" s="1"/>
  <c r="V17" i="1"/>
  <c r="U11"/>
  <c r="V11" s="1"/>
  <c r="I11" i="9" s="1"/>
  <c r="F11" s="1"/>
  <c r="U31" i="1"/>
  <c r="V31" s="1"/>
  <c r="I31" i="9" s="1"/>
  <c r="F31" s="1"/>
  <c r="U13" i="1"/>
  <c r="V13" s="1"/>
  <c r="I13" i="9" s="1"/>
  <c r="F13" s="1"/>
  <c r="U29" i="1"/>
  <c r="V29" s="1"/>
  <c r="I29" i="9" s="1"/>
  <c r="F29" s="1"/>
  <c r="U9" i="1"/>
  <c r="V9" s="1"/>
  <c r="I9" i="9" s="1"/>
  <c r="F9" s="1"/>
  <c r="U24" i="1"/>
  <c r="V24" s="1"/>
  <c r="I24" i="9" s="1"/>
  <c r="F24" s="1"/>
  <c r="U26" i="1"/>
  <c r="V26" s="1"/>
  <c r="I26" i="9" s="1"/>
  <c r="F26" s="1"/>
  <c r="S15" i="1"/>
  <c r="S27"/>
  <c r="U64" l="1"/>
  <c r="U21"/>
  <c r="I17" i="9"/>
  <c r="V21" i="1"/>
  <c r="I59" i="9"/>
  <c r="V64" i="1"/>
  <c r="I15" i="9"/>
  <c r="I27"/>
  <c r="V15" i="1"/>
  <c r="U15"/>
  <c r="F27" i="9"/>
  <c r="U27" i="1"/>
  <c r="V27"/>
  <c r="F15" i="9"/>
  <c r="F59" l="1"/>
  <c r="F64" s="1"/>
  <c r="I64"/>
  <c r="F17"/>
  <c r="F21" s="1"/>
  <c r="I21"/>
  <c r="S43" i="1" l="1"/>
  <c r="F43" i="9" l="1"/>
  <c r="I43"/>
  <c r="V43" i="1"/>
  <c r="U43" l="1"/>
  <c r="S53" l="1"/>
  <c r="F53" i="9" l="1"/>
  <c r="I53"/>
  <c r="U53" i="1"/>
  <c r="V53"/>
</calcChain>
</file>

<file path=xl/sharedStrings.xml><?xml version="1.0" encoding="utf-8"?>
<sst xmlns="http://schemas.openxmlformats.org/spreadsheetml/2006/main" count="366" uniqueCount="112">
  <si>
    <t>Production Factor</t>
  </si>
  <si>
    <t>Steam Production</t>
  </si>
  <si>
    <t>Hydro Production</t>
  </si>
  <si>
    <t>FERC Function</t>
  </si>
  <si>
    <t>Depreciation Expense</t>
  </si>
  <si>
    <t>Electric Plant In Service</t>
  </si>
  <si>
    <t>Depreciation Reserve</t>
  </si>
  <si>
    <t>CAGW</t>
  </si>
  <si>
    <t>Purchased Power</t>
  </si>
  <si>
    <t>CAEW</t>
  </si>
  <si>
    <t>WA</t>
  </si>
  <si>
    <t>Wheeling Expenses</t>
  </si>
  <si>
    <t>Fuel Expenses</t>
  </si>
  <si>
    <t>Sales for Resale</t>
  </si>
  <si>
    <t>Production Factor Adjustment</t>
  </si>
  <si>
    <t>Before Production Factor</t>
  </si>
  <si>
    <t>After Production Factor</t>
  </si>
  <si>
    <t>MWh</t>
  </si>
  <si>
    <t>PacifiCorp</t>
  </si>
  <si>
    <t>Production Factor Adjustment Detail</t>
  </si>
  <si>
    <t>Ref.</t>
  </si>
  <si>
    <t>Washington Historical Temperature Adjusted Load (@ Sales)</t>
  </si>
  <si>
    <t>Washington</t>
  </si>
  <si>
    <t>Temperature Normalization</t>
  </si>
  <si>
    <t>Normalized Energy</t>
  </si>
  <si>
    <t>SE</t>
  </si>
  <si>
    <t>SG</t>
  </si>
  <si>
    <t>Energy</t>
  </si>
  <si>
    <t>Washington Historical Normalized Load for Revenues (CY 2009)</t>
  </si>
  <si>
    <t>Normalizing Adjustments</t>
  </si>
  <si>
    <t>Remove Transalta</t>
  </si>
  <si>
    <t>Numerator in Production Factor Calculation</t>
  </si>
  <si>
    <t>Forecast Loads Used for Production Factor (12 Months Ending March 2012)</t>
  </si>
  <si>
    <t>Denominator in Production Factor Calculation</t>
  </si>
  <si>
    <t>Washington General Rate Case - December 2009</t>
  </si>
  <si>
    <t>Ref. 3.1.2</t>
  </si>
  <si>
    <t>Other Electric Revenue</t>
  </si>
  <si>
    <t>James River Royalty Offset</t>
  </si>
  <si>
    <t>Jim Bridger Mine Rate Base</t>
  </si>
  <si>
    <t>Net Power Costs</t>
  </si>
  <si>
    <t>447NPC</t>
  </si>
  <si>
    <t>555NPC</t>
  </si>
  <si>
    <t>565NPC</t>
  </si>
  <si>
    <t>501NPC</t>
  </si>
  <si>
    <t>547NPC</t>
  </si>
  <si>
    <t>Actual MWH</t>
  </si>
  <si>
    <t>JBG</t>
  </si>
  <si>
    <t>403SP</t>
  </si>
  <si>
    <t>Other Production</t>
  </si>
  <si>
    <t>403HP</t>
  </si>
  <si>
    <t>403OP</t>
  </si>
  <si>
    <t>108SP</t>
  </si>
  <si>
    <t>108HP</t>
  </si>
  <si>
    <t>108OP</t>
  </si>
  <si>
    <t>Steam Production - Fuel</t>
  </si>
  <si>
    <t>JBE</t>
  </si>
  <si>
    <t>Steam Production - Other</t>
  </si>
  <si>
    <t>Other Production - Other</t>
  </si>
  <si>
    <t>System Control &amp; Load Dispatch</t>
  </si>
  <si>
    <t>Other Power Supply</t>
  </si>
  <si>
    <t>SO2 Emission Allowance Sales</t>
  </si>
  <si>
    <t>Gain from Emission Allowance Sales</t>
  </si>
  <si>
    <t>Renewable Energy Credit Sales</t>
  </si>
  <si>
    <t>Regulatory Deferred Sales</t>
  </si>
  <si>
    <t>Operating Expenses (excluding Net Power Costs)</t>
  </si>
  <si>
    <t>Washington Allocated Production Factor Adjustment</t>
  </si>
  <si>
    <t>TOTAL</t>
  </si>
  <si>
    <t>ACCOUNT</t>
  </si>
  <si>
    <t>Type</t>
  </si>
  <si>
    <t>COMPANY</t>
  </si>
  <si>
    <t>FACTOR</t>
  </si>
  <si>
    <t>FACTOR %</t>
  </si>
  <si>
    <t>ALLOCATED</t>
  </si>
  <si>
    <t>REF#</t>
  </si>
  <si>
    <t>Description of Adjustment:</t>
  </si>
  <si>
    <t>108MP</t>
  </si>
  <si>
    <t>186M</t>
  </si>
  <si>
    <t>9.1.1</t>
  </si>
  <si>
    <t>9.1.3</t>
  </si>
  <si>
    <t>Washington Proforma 12 month Ending March 2012</t>
  </si>
  <si>
    <t>Washington Proforma 12 Month Ending March 2012</t>
  </si>
  <si>
    <t>Coal Mine</t>
  </si>
  <si>
    <t>Materials and Supplies</t>
  </si>
  <si>
    <t>Fuel Stock</t>
  </si>
  <si>
    <t>Misc. Deferred Debits</t>
  </si>
  <si>
    <t>Mining Plant Accumulated Depr.</t>
  </si>
  <si>
    <t>Situs</t>
  </si>
  <si>
    <t>Washington Allocated Results</t>
  </si>
  <si>
    <t>Unadjusted / 
Per Books</t>
  </si>
  <si>
    <t>Normalized</t>
  </si>
  <si>
    <t xml:space="preserve"> 3.4
SO2 Emission Allowances</t>
  </si>
  <si>
    <t xml:space="preserve"> 3.5
Green Tag Revenues</t>
  </si>
  <si>
    <t xml:space="preserve"> 4.1
Misc. General Expense</t>
  </si>
  <si>
    <t xml:space="preserve"> 4.2
General Wage Increase  - Annualization</t>
  </si>
  <si>
    <t xml:space="preserve"> 4.3
General Wage Increase  - Proforma</t>
  </si>
  <si>
    <t xml:space="preserve"> 4.7
Remove Non-Recurring Entries</t>
  </si>
  <si>
    <t xml:space="preserve"> 5.1
Net Power Costs - Restating</t>
  </si>
  <si>
    <t xml:space="preserve"> 5.2
Net Power Costs - Proforma</t>
  </si>
  <si>
    <t xml:space="preserve"> 5.3
Electric Lake Settlement</t>
  </si>
  <si>
    <t xml:space="preserve"> 5.5
James River Royalty Offset</t>
  </si>
  <si>
    <t xml:space="preserve"> 5.6
Removal of Colstrip #3</t>
  </si>
  <si>
    <t xml:space="preserve"> 6.1
Hydro Decomm.</t>
  </si>
  <si>
    <t xml:space="preserve"> 8.2
Jim Bridger Mine</t>
  </si>
  <si>
    <t xml:space="preserve"> 8.6
Removal of Colstrip #4 AFUDC</t>
  </si>
  <si>
    <t>FERC Acct.</t>
  </si>
  <si>
    <t>WCA
Fact.</t>
  </si>
  <si>
    <t>System Control</t>
  </si>
  <si>
    <t>Mining Plant Accum. Depr.</t>
  </si>
  <si>
    <t>Gain from Emission Sales</t>
  </si>
  <si>
    <t>Ref. 9.1.3</t>
  </si>
  <si>
    <t>Page 9.1.4 - Revised 11/23/10</t>
  </si>
  <si>
    <t>Page 9.1 - Revised 11/23/10</t>
  </si>
</sst>
</file>

<file path=xl/styles.xml><?xml version="1.0" encoding="utf-8"?>
<styleSheet xmlns="http://schemas.openxmlformats.org/spreadsheetml/2006/main">
  <numFmts count="5">
    <numFmt numFmtId="41" formatCode="_(* #,##0_);_(* \(#,##0\);_(* &quot;-&quot;_);_(@_)"/>
    <numFmt numFmtId="43" formatCode="_(* #,##0.00_);_(* \(#,##0.00\);_(* &quot;-&quot;??_);_(@_)"/>
    <numFmt numFmtId="164" formatCode="_(* #,##0_);_(* \(#,##0\);_(* &quot;-&quot;??_);_(@_)"/>
    <numFmt numFmtId="165" formatCode="0.000%"/>
    <numFmt numFmtId="166" formatCode="0.0000%"/>
  </numFmts>
  <fonts count="20">
    <font>
      <sz val="10"/>
      <name val="Arial"/>
    </font>
    <font>
      <sz val="10"/>
      <name val="Arial"/>
      <family val="2"/>
    </font>
    <font>
      <sz val="9"/>
      <name val="Arial"/>
      <family val="2"/>
    </font>
    <font>
      <sz val="8"/>
      <name val="Arial"/>
      <family val="2"/>
    </font>
    <font>
      <b/>
      <sz val="9"/>
      <name val="Arial"/>
      <family val="2"/>
    </font>
    <font>
      <b/>
      <sz val="9"/>
      <name val="Arial"/>
      <family val="2"/>
    </font>
    <font>
      <sz val="9"/>
      <name val="Arial"/>
      <family val="2"/>
    </font>
    <font>
      <b/>
      <sz val="10"/>
      <name val="Arial"/>
      <family val="2"/>
    </font>
    <font>
      <sz val="10"/>
      <color indexed="8"/>
      <name val="Arial"/>
      <family val="2"/>
    </font>
    <font>
      <i/>
      <sz val="9"/>
      <name val="Arial"/>
      <family val="2"/>
    </font>
    <font>
      <b/>
      <sz val="12"/>
      <name val="Arial"/>
      <family val="2"/>
    </font>
    <font>
      <b/>
      <sz val="10"/>
      <name val="Calabri"/>
    </font>
    <font>
      <sz val="10"/>
      <name val="Calabri"/>
    </font>
    <font>
      <b/>
      <u/>
      <sz val="10"/>
      <name val="Calabri"/>
    </font>
    <font>
      <i/>
      <sz val="10"/>
      <name val="Calabri"/>
    </font>
    <font>
      <i/>
      <sz val="8"/>
      <name val="Calabri"/>
    </font>
    <font>
      <b/>
      <i/>
      <sz val="8"/>
      <name val="Calabri"/>
    </font>
    <font>
      <sz val="8"/>
      <name val="Calabri"/>
    </font>
    <font>
      <u/>
      <sz val="10"/>
      <name val="Arial"/>
      <family val="2"/>
    </font>
    <font>
      <b/>
      <i/>
      <sz val="9"/>
      <name val="Arial"/>
      <family val="2"/>
    </font>
  </fonts>
  <fills count="2">
    <fill>
      <patternFill patternType="none"/>
    </fill>
    <fill>
      <patternFill patternType="gray125"/>
    </fill>
  </fills>
  <borders count="20">
    <border>
      <left/>
      <right/>
      <top/>
      <bottom/>
      <diagonal/>
    </border>
    <border>
      <left style="thin">
        <color indexed="48"/>
      </left>
      <right style="thin">
        <color indexed="48"/>
      </right>
      <top style="thin">
        <color indexed="48"/>
      </top>
      <bottom style="thin">
        <color indexed="48"/>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 fontId="8" fillId="0" borderId="1" applyNumberFormat="0" applyProtection="0">
      <alignment horizontal="left" vertical="center" indent="1"/>
    </xf>
  </cellStyleXfs>
  <cellXfs count="131">
    <xf numFmtId="0" fontId="0" fillId="0" borderId="0" xfId="0"/>
    <xf numFmtId="0" fontId="2" fillId="0" borderId="0" xfId="0" applyFont="1" applyAlignment="1">
      <alignment horizontal="left"/>
    </xf>
    <xf numFmtId="0" fontId="2" fillId="0" borderId="0" xfId="0" applyFont="1" applyFill="1" applyBorder="1" applyAlignment="1">
      <alignment horizontal="center"/>
    </xf>
    <xf numFmtId="0" fontId="2" fillId="0" borderId="0" xfId="0" applyFont="1"/>
    <xf numFmtId="164" fontId="2" fillId="0" borderId="0" xfId="1" applyNumberFormat="1" applyFont="1"/>
    <xf numFmtId="164" fontId="2" fillId="0" borderId="2" xfId="1" applyNumberFormat="1" applyFont="1" applyBorder="1"/>
    <xf numFmtId="0" fontId="5" fillId="0" borderId="2" xfId="0" applyFont="1" applyBorder="1" applyAlignment="1">
      <alignment horizontal="center" wrapText="1"/>
    </xf>
    <xf numFmtId="0" fontId="2" fillId="0" borderId="0" xfId="0" applyFont="1" applyAlignment="1">
      <alignment horizontal="center" wrapText="1"/>
    </xf>
    <xf numFmtId="0" fontId="5" fillId="0" borderId="0" xfId="0" applyFont="1" applyAlignment="1">
      <alignment horizontal="left"/>
    </xf>
    <xf numFmtId="0" fontId="5" fillId="0" borderId="0" xfId="0" applyFont="1" applyBorder="1" applyAlignment="1">
      <alignment horizontal="center" wrapText="1"/>
    </xf>
    <xf numFmtId="164" fontId="5" fillId="0" borderId="3" xfId="0" applyNumberFormat="1" applyFont="1" applyBorder="1"/>
    <xf numFmtId="164" fontId="5" fillId="0" borderId="3" xfId="1" applyNumberFormat="1" applyFont="1" applyBorder="1"/>
    <xf numFmtId="0" fontId="2" fillId="0" borderId="0" xfId="0" applyFont="1" applyAlignment="1">
      <alignment horizontal="center"/>
    </xf>
    <xf numFmtId="0" fontId="5" fillId="0" borderId="0" xfId="0" applyFont="1"/>
    <xf numFmtId="41" fontId="2" fillId="0" borderId="0" xfId="0" applyNumberFormat="1" applyFont="1"/>
    <xf numFmtId="1" fontId="2" fillId="0" borderId="0" xfId="0" applyNumberFormat="1" applyFont="1" applyAlignment="1">
      <alignment horizontal="center"/>
    </xf>
    <xf numFmtId="0" fontId="4" fillId="0" borderId="0" xfId="0" applyFont="1"/>
    <xf numFmtId="164" fontId="2" fillId="0" borderId="0" xfId="1" applyNumberFormat="1" applyFont="1" applyAlignment="1">
      <alignment horizontal="right"/>
    </xf>
    <xf numFmtId="0" fontId="0" fillId="0" borderId="0" xfId="0" applyAlignment="1">
      <alignment horizontal="center"/>
    </xf>
    <xf numFmtId="0" fontId="9" fillId="0" borderId="0" xfId="0" applyFont="1" applyAlignment="1">
      <alignment horizontal="center" wrapText="1"/>
    </xf>
    <xf numFmtId="165" fontId="2" fillId="0" borderId="0" xfId="0" applyNumberFormat="1" applyFont="1" applyAlignment="1">
      <alignment horizontal="center"/>
    </xf>
    <xf numFmtId="0" fontId="5" fillId="0" borderId="0" xfId="0" applyFont="1" applyBorder="1" applyAlignment="1">
      <alignment horizontal="center"/>
    </xf>
    <xf numFmtId="0" fontId="9" fillId="0" borderId="0" xfId="0" applyFont="1"/>
    <xf numFmtId="0" fontId="0" fillId="0" borderId="0" xfId="0" applyBorder="1"/>
    <xf numFmtId="38" fontId="0" fillId="0" borderId="0" xfId="0" applyNumberFormat="1"/>
    <xf numFmtId="0" fontId="7" fillId="0" borderId="0" xfId="0" applyFont="1"/>
    <xf numFmtId="164" fontId="2" fillId="0" borderId="0" xfId="1" applyNumberFormat="1" applyFont="1" applyAlignment="1">
      <alignment horizontal="center"/>
    </xf>
    <xf numFmtId="165" fontId="1" fillId="0" borderId="6" xfId="2" applyNumberFormat="1" applyBorder="1"/>
    <xf numFmtId="0" fontId="9" fillId="0" borderId="0" xfId="0" applyFont="1" applyAlignment="1">
      <alignment horizontal="center"/>
    </xf>
    <xf numFmtId="164" fontId="2" fillId="0" borderId="0" xfId="0" applyNumberFormat="1" applyFont="1"/>
    <xf numFmtId="0" fontId="12" fillId="0" borderId="0" xfId="0" applyFont="1"/>
    <xf numFmtId="0" fontId="11" fillId="0" borderId="0" xfId="0" applyFont="1"/>
    <xf numFmtId="0" fontId="13" fillId="0" borderId="0" xfId="0" applyFont="1"/>
    <xf numFmtId="0" fontId="14" fillId="0" borderId="0" xfId="0" applyFont="1"/>
    <xf numFmtId="0" fontId="11" fillId="0" borderId="0" xfId="0" applyFont="1" applyAlignment="1">
      <alignment horizontal="center"/>
    </xf>
    <xf numFmtId="164" fontId="12" fillId="0" borderId="0" xfId="1" applyNumberFormat="1" applyFont="1"/>
    <xf numFmtId="0" fontId="15" fillId="0" borderId="0" xfId="0" applyFont="1"/>
    <xf numFmtId="164" fontId="12" fillId="0" borderId="2" xfId="1" applyNumberFormat="1" applyFont="1" applyBorder="1"/>
    <xf numFmtId="0" fontId="16" fillId="0" borderId="0" xfId="0" applyFont="1"/>
    <xf numFmtId="165" fontId="11" fillId="0" borderId="0" xfId="2" applyNumberFormat="1" applyFont="1"/>
    <xf numFmtId="0" fontId="17" fillId="0" borderId="0" xfId="0" applyFont="1"/>
    <xf numFmtId="0" fontId="2" fillId="0" borderId="0" xfId="0" applyFont="1" applyFill="1"/>
    <xf numFmtId="164" fontId="4" fillId="0" borderId="3" xfId="0" applyNumberFormat="1" applyFont="1" applyFill="1" applyBorder="1"/>
    <xf numFmtId="164" fontId="4" fillId="0" borderId="0" xfId="0" applyNumberFormat="1" applyFont="1" applyFill="1" applyBorder="1"/>
    <xf numFmtId="0" fontId="6" fillId="0" borderId="0" xfId="0" applyFont="1" applyAlignment="1">
      <alignment horizontal="right"/>
    </xf>
    <xf numFmtId="0" fontId="4" fillId="0" borderId="0" xfId="0" applyFont="1" applyFill="1"/>
    <xf numFmtId="0" fontId="1" fillId="0" borderId="0" xfId="0" applyFont="1"/>
    <xf numFmtId="0" fontId="4" fillId="0" borderId="2" xfId="0" applyFont="1" applyBorder="1" applyAlignment="1">
      <alignment horizontal="center" wrapText="1"/>
    </xf>
    <xf numFmtId="164" fontId="2" fillId="0" borderId="0" xfId="1" applyNumberFormat="1" applyFont="1" applyFill="1"/>
    <xf numFmtId="164" fontId="5" fillId="0" borderId="3" xfId="1" applyNumberFormat="1" applyFont="1" applyFill="1" applyBorder="1"/>
    <xf numFmtId="0" fontId="5" fillId="0" borderId="0" xfId="0" applyFont="1" applyFill="1"/>
    <xf numFmtId="41" fontId="2" fillId="0" borderId="0" xfId="0" applyNumberFormat="1" applyFont="1" applyFill="1"/>
    <xf numFmtId="0" fontId="2" fillId="0" borderId="0" xfId="0" applyFont="1" applyAlignment="1">
      <alignment horizontal="right"/>
    </xf>
    <xf numFmtId="0" fontId="1" fillId="0" borderId="0" xfId="0" applyFont="1" applyAlignment="1">
      <alignment horizontal="center"/>
    </xf>
    <xf numFmtId="0" fontId="1" fillId="0" borderId="0" xfId="0" applyNumberFormat="1" applyFont="1" applyAlignment="1">
      <alignment horizontal="center"/>
    </xf>
    <xf numFmtId="0" fontId="18" fillId="0" borderId="0" xfId="0" applyFont="1" applyAlignment="1">
      <alignment horizontal="center"/>
    </xf>
    <xf numFmtId="0" fontId="18" fillId="0" borderId="0" xfId="0" applyNumberFormat="1" applyFont="1" applyAlignment="1">
      <alignment horizontal="center"/>
    </xf>
    <xf numFmtId="0" fontId="1" fillId="0" borderId="0" xfId="0" applyFont="1" applyBorder="1"/>
    <xf numFmtId="0" fontId="1" fillId="0" borderId="0" xfId="0" applyFont="1" applyBorder="1" applyAlignment="1">
      <alignment horizontal="center"/>
    </xf>
    <xf numFmtId="41" fontId="1" fillId="0" borderId="0" xfId="1" applyNumberFormat="1" applyFont="1" applyBorder="1" applyAlignment="1">
      <alignment horizontal="center"/>
    </xf>
    <xf numFmtId="166" fontId="1" fillId="0" borderId="0" xfId="2" applyNumberFormat="1" applyFont="1" applyAlignment="1">
      <alignment horizontal="center"/>
    </xf>
    <xf numFmtId="0" fontId="7" fillId="0" borderId="0" xfId="0" applyFont="1" applyAlignment="1">
      <alignment horizontal="left"/>
    </xf>
    <xf numFmtId="41" fontId="1" fillId="0" borderId="0" xfId="1" applyNumberFormat="1" applyFont="1" applyFill="1" applyBorder="1" applyAlignment="1">
      <alignment horizontal="center"/>
    </xf>
    <xf numFmtId="41" fontId="1" fillId="0" borderId="0" xfId="1" applyNumberFormat="1" applyFont="1" applyAlignment="1">
      <alignment horizontal="center"/>
    </xf>
    <xf numFmtId="0" fontId="1" fillId="0" borderId="0" xfId="0" applyFont="1" applyAlignment="1">
      <alignment horizontal="left"/>
    </xf>
    <xf numFmtId="0" fontId="7" fillId="0" borderId="0" xfId="0" applyFont="1" applyBorder="1"/>
    <xf numFmtId="41" fontId="1" fillId="0" borderId="0" xfId="0" applyNumberFormat="1" applyFont="1" applyBorder="1" applyAlignment="1">
      <alignment horizontal="center"/>
    </xf>
    <xf numFmtId="0" fontId="1" fillId="0" borderId="7" xfId="0" applyFont="1" applyBorder="1"/>
    <xf numFmtId="0" fontId="1" fillId="0" borderId="8" xfId="0" applyFont="1" applyBorder="1"/>
    <xf numFmtId="0" fontId="1" fillId="0" borderId="8" xfId="0" applyFont="1" applyBorder="1" applyAlignment="1">
      <alignment horizontal="center"/>
    </xf>
    <xf numFmtId="0" fontId="1" fillId="0" borderId="9" xfId="0" applyFont="1" applyBorder="1" applyAlignment="1">
      <alignment horizontal="center"/>
    </xf>
    <xf numFmtId="0" fontId="1" fillId="0" borderId="10" xfId="0" applyFont="1" applyBorder="1"/>
    <xf numFmtId="0" fontId="1" fillId="0" borderId="0" xfId="0" quotePrefix="1" applyFont="1" applyBorder="1" applyAlignment="1">
      <alignment horizontal="left"/>
    </xf>
    <xf numFmtId="0" fontId="1" fillId="0" borderId="11" xfId="0" applyNumberFormat="1" applyFont="1" applyBorder="1" applyAlignment="1">
      <alignment horizontal="center"/>
    </xf>
    <xf numFmtId="3" fontId="1" fillId="0" borderId="0" xfId="0" applyNumberFormat="1" applyFont="1" applyBorder="1" applyAlignment="1">
      <alignment horizontal="center"/>
    </xf>
    <xf numFmtId="0" fontId="1" fillId="0" borderId="12" xfId="0" applyFont="1" applyBorder="1"/>
    <xf numFmtId="0" fontId="1" fillId="0" borderId="13" xfId="0" applyFont="1" applyBorder="1"/>
    <xf numFmtId="0" fontId="1" fillId="0" borderId="13" xfId="0" applyFont="1" applyBorder="1" applyAlignment="1">
      <alignment horizontal="center"/>
    </xf>
    <xf numFmtId="0" fontId="1" fillId="0" borderId="14" xfId="0" applyFont="1" applyBorder="1" applyAlignment="1">
      <alignment horizontal="center"/>
    </xf>
    <xf numFmtId="0" fontId="1" fillId="0" borderId="0" xfId="0" applyNumberFormat="1" applyFont="1" applyBorder="1" applyAlignment="1">
      <alignment horizontal="center"/>
    </xf>
    <xf numFmtId="166" fontId="1" fillId="0" borderId="0" xfId="2" applyNumberFormat="1" applyFont="1" applyBorder="1" applyAlignment="1">
      <alignment horizontal="center"/>
    </xf>
    <xf numFmtId="0" fontId="7" fillId="0" borderId="0" xfId="0" applyFont="1" applyFill="1"/>
    <xf numFmtId="0" fontId="1" fillId="0" borderId="0" xfId="0" applyFont="1" applyFill="1"/>
    <xf numFmtId="0" fontId="1" fillId="0" borderId="0" xfId="0" applyFont="1" applyFill="1" applyBorder="1" applyAlignment="1">
      <alignment horizontal="center"/>
    </xf>
    <xf numFmtId="1" fontId="1" fillId="0" borderId="0" xfId="0" applyNumberFormat="1" applyFont="1" applyAlignment="1">
      <alignment horizontal="center"/>
    </xf>
    <xf numFmtId="41" fontId="7" fillId="0" borderId="3" xfId="1" applyNumberFormat="1" applyFont="1" applyBorder="1" applyAlignment="1">
      <alignment horizontal="center"/>
    </xf>
    <xf numFmtId="41" fontId="7" fillId="0" borderId="3" xfId="0" applyNumberFormat="1" applyFont="1" applyBorder="1" applyAlignment="1">
      <alignment horizontal="center"/>
    </xf>
    <xf numFmtId="164" fontId="7" fillId="0" borderId="3" xfId="1" applyNumberFormat="1" applyFont="1" applyFill="1" applyBorder="1"/>
    <xf numFmtId="0" fontId="4" fillId="0" borderId="0" xfId="0" applyFont="1" applyAlignment="1">
      <alignment horizontal="center" wrapText="1"/>
    </xf>
    <xf numFmtId="164" fontId="2" fillId="0" borderId="0" xfId="0" applyNumberFormat="1" applyFont="1" applyFill="1"/>
    <xf numFmtId="164" fontId="5" fillId="0" borderId="0" xfId="0" applyNumberFormat="1" applyFont="1" applyBorder="1"/>
    <xf numFmtId="164" fontId="5" fillId="0" borderId="0" xfId="1" applyNumberFormat="1" applyFont="1" applyFill="1" applyBorder="1"/>
    <xf numFmtId="164" fontId="5" fillId="0" borderId="0" xfId="1" applyNumberFormat="1" applyFont="1" applyBorder="1"/>
    <xf numFmtId="0" fontId="2" fillId="0" borderId="0" xfId="0" applyFont="1" applyBorder="1" applyAlignment="1">
      <alignment horizontal="left"/>
    </xf>
    <xf numFmtId="0" fontId="2" fillId="0" borderId="0" xfId="0" applyFont="1" applyBorder="1" applyAlignment="1">
      <alignment horizontal="center"/>
    </xf>
    <xf numFmtId="164" fontId="4" fillId="0" borderId="3" xfId="1" applyNumberFormat="1" applyFont="1" applyFill="1" applyBorder="1"/>
    <xf numFmtId="0" fontId="2" fillId="0" borderId="0" xfId="0" applyFont="1" applyFill="1" applyAlignment="1">
      <alignment horizontal="left"/>
    </xf>
    <xf numFmtId="0" fontId="2" fillId="0" borderId="0" xfId="0" applyFont="1" applyFill="1" applyAlignment="1">
      <alignment horizontal="center"/>
    </xf>
    <xf numFmtId="165" fontId="2" fillId="0" borderId="0" xfId="0" applyNumberFormat="1" applyFont="1" applyFill="1" applyAlignment="1">
      <alignment horizontal="center"/>
    </xf>
    <xf numFmtId="1" fontId="2" fillId="0" borderId="0" xfId="0" applyNumberFormat="1" applyFont="1" applyFill="1" applyAlignment="1">
      <alignment horizontal="center"/>
    </xf>
    <xf numFmtId="0" fontId="2" fillId="0" borderId="2" xfId="0" applyFont="1" applyFill="1" applyBorder="1" applyAlignment="1">
      <alignment horizontal="center" wrapText="1"/>
    </xf>
    <xf numFmtId="0" fontId="9" fillId="0" borderId="15" xfId="0" applyFont="1" applyBorder="1" applyAlignment="1">
      <alignment horizontal="center" wrapText="1"/>
    </xf>
    <xf numFmtId="0" fontId="4" fillId="0" borderId="16" xfId="0" applyFont="1" applyFill="1" applyBorder="1" applyAlignment="1">
      <alignment horizontal="center" wrapText="1"/>
    </xf>
    <xf numFmtId="0" fontId="5" fillId="0" borderId="17" xfId="0" applyFont="1" applyBorder="1" applyAlignment="1">
      <alignment horizontal="center" wrapText="1"/>
    </xf>
    <xf numFmtId="164" fontId="2" fillId="0" borderId="17" xfId="1" applyNumberFormat="1" applyFont="1" applyFill="1" applyBorder="1"/>
    <xf numFmtId="164" fontId="5" fillId="0" borderId="18" xfId="0" applyNumberFormat="1" applyFont="1" applyBorder="1"/>
    <xf numFmtId="0" fontId="5" fillId="0" borderId="17" xfId="0" applyFont="1" applyFill="1" applyBorder="1"/>
    <xf numFmtId="164" fontId="5" fillId="0" borderId="18" xfId="1" applyNumberFormat="1" applyFont="1" applyFill="1" applyBorder="1"/>
    <xf numFmtId="0" fontId="2" fillId="0" borderId="17" xfId="0" applyFont="1" applyFill="1" applyBorder="1"/>
    <xf numFmtId="164" fontId="5" fillId="0" borderId="18" xfId="1" applyNumberFormat="1" applyFont="1" applyBorder="1"/>
    <xf numFmtId="41" fontId="2" fillId="0" borderId="17" xfId="0" applyNumberFormat="1" applyFont="1" applyFill="1" applyBorder="1"/>
    <xf numFmtId="164" fontId="4" fillId="0" borderId="18" xfId="0" applyNumberFormat="1" applyFont="1" applyFill="1" applyBorder="1"/>
    <xf numFmtId="41" fontId="2" fillId="0" borderId="17" xfId="0" applyNumberFormat="1" applyFont="1" applyBorder="1"/>
    <xf numFmtId="0" fontId="2" fillId="0" borderId="17" xfId="0" applyFont="1" applyBorder="1"/>
    <xf numFmtId="164" fontId="4" fillId="0" borderId="18" xfId="1" applyNumberFormat="1" applyFont="1" applyFill="1" applyBorder="1"/>
    <xf numFmtId="41" fontId="2" fillId="0" borderId="19" xfId="0" applyNumberFormat="1" applyFont="1" applyBorder="1"/>
    <xf numFmtId="164" fontId="2" fillId="0" borderId="17" xfId="1" applyNumberFormat="1" applyFont="1" applyBorder="1"/>
    <xf numFmtId="0" fontId="5" fillId="0" borderId="17" xfId="0" applyFont="1" applyBorder="1"/>
    <xf numFmtId="0" fontId="19" fillId="0" borderId="0" xfId="0" applyFont="1" applyAlignment="1">
      <alignment horizontal="centerContinuous" wrapText="1"/>
    </xf>
    <xf numFmtId="0" fontId="9" fillId="0" borderId="17" xfId="0" applyFont="1" applyBorder="1" applyAlignment="1">
      <alignment horizontal="center" wrapText="1"/>
    </xf>
    <xf numFmtId="0" fontId="19" fillId="0" borderId="0" xfId="0" applyFont="1" applyAlignment="1">
      <alignment horizontal="center" wrapText="1"/>
    </xf>
    <xf numFmtId="164" fontId="2" fillId="0" borderId="0" xfId="1" applyNumberFormat="1" applyFont="1" applyAlignment="1">
      <alignment horizontal="left"/>
    </xf>
    <xf numFmtId="164" fontId="4" fillId="0" borderId="0" xfId="1" applyNumberFormat="1" applyFont="1" applyBorder="1" applyAlignment="1">
      <alignment horizontal="left"/>
    </xf>
    <xf numFmtId="164" fontId="4" fillId="0" borderId="0" xfId="1" applyNumberFormat="1" applyFont="1" applyBorder="1" applyAlignment="1">
      <alignment horizontal="right"/>
    </xf>
    <xf numFmtId="165" fontId="4" fillId="0" borderId="0" xfId="2" applyNumberFormat="1" applyFont="1" applyBorder="1"/>
    <xf numFmtId="0" fontId="2" fillId="0" borderId="0" xfId="0" applyFont="1" applyBorder="1"/>
    <xf numFmtId="0" fontId="1" fillId="0" borderId="0" xfId="0" applyFont="1" applyAlignment="1">
      <alignment horizontal="right"/>
    </xf>
    <xf numFmtId="0" fontId="1" fillId="0" borderId="0" xfId="0" applyNumberFormat="1" applyFont="1" applyAlignment="1">
      <alignment horizontal="right"/>
    </xf>
    <xf numFmtId="0" fontId="10" fillId="0" borderId="4" xfId="0" applyFont="1" applyBorder="1" applyAlignment="1">
      <alignment horizontal="center"/>
    </xf>
    <xf numFmtId="0" fontId="10" fillId="0" borderId="3" xfId="0" applyFont="1" applyBorder="1" applyAlignment="1">
      <alignment horizontal="center"/>
    </xf>
    <xf numFmtId="0" fontId="10" fillId="0" borderId="5" xfId="0" applyFont="1" applyBorder="1" applyAlignment="1">
      <alignment horizontal="center"/>
    </xf>
  </cellXfs>
  <cellStyles count="4">
    <cellStyle name="Comma" xfId="1" builtinId="3"/>
    <cellStyle name="Normal" xfId="0" builtinId="0"/>
    <cellStyle name="Percent" xfId="2" builtinId="5"/>
    <cellStyle name="SAPBEXstdItem" xfId="3"/>
  </cellStyles>
  <dxfs count="5">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customXml" Target="../customXml/item3.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customXml" Target="../customXml/item2.xml"/><Relationship Id="rId10" Type="http://schemas.openxmlformats.org/officeDocument/2006/relationships/externalLink" Target="externalLinks/externalLink7.xml"/><Relationship Id="rId19"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9525</xdr:colOff>
      <xdr:row>73</xdr:row>
      <xdr:rowOff>95250</xdr:rowOff>
    </xdr:from>
    <xdr:to>
      <xdr:col>9</xdr:col>
      <xdr:colOff>171450</xdr:colOff>
      <xdr:row>81</xdr:row>
      <xdr:rowOff>85725</xdr:rowOff>
    </xdr:to>
    <xdr:sp macro="" textlink="">
      <xdr:nvSpPr>
        <xdr:cNvPr id="2" name="Text 12"/>
        <xdr:cNvSpPr txBox="1">
          <a:spLocks noChangeArrowheads="1"/>
        </xdr:cNvSpPr>
      </xdr:nvSpPr>
      <xdr:spPr bwMode="auto">
        <a:xfrm>
          <a:off x="180975" y="6953250"/>
          <a:ext cx="6429375" cy="1209675"/>
        </a:xfrm>
        <a:prstGeom prst="rect">
          <a:avLst/>
        </a:prstGeom>
        <a:solidFill>
          <a:srgbClr val="FFFFFF"/>
        </a:solidFill>
        <a:ln w="1">
          <a:noFill/>
          <a:miter lim="800000"/>
          <a:headEnd/>
          <a:tailEnd/>
        </a:ln>
      </xdr:spPr>
      <xdr:txBody>
        <a:bodyPr vertOverflow="clip" wrap="square" lIns="27432" tIns="22860" rIns="0" bIns="0" anchor="t" upright="1"/>
        <a:lstStyle/>
        <a:p>
          <a:pPr rtl="0" eaLnBrk="1" fontAlgn="auto" latinLnBrk="0" hangingPunct="1"/>
          <a:r>
            <a:rPr lang="en-US" sz="1100" b="0" i="0" baseline="0">
              <a:latin typeface="+mn-lt"/>
              <a:ea typeface="+mn-ea"/>
              <a:cs typeface="+mn-cs"/>
            </a:rPr>
            <a:t>The production factor is a means of adjusting the production component of the revenue requirement to test year expense and balance levels.  The production factor has been calculated by dividing Washington’s normalized historical retail load by the Washington pro forma load for the rate effective period.  This calculation is detailed on page 9.1.4.  This factor is then applied to all of the generation related components of the revenue requirement. </a:t>
          </a:r>
          <a:endParaRPr lang="en-US" sz="1100">
            <a:latin typeface="+mn-lt"/>
            <a:ea typeface="+mn-ea"/>
            <a:cs typeface="+mn-cs"/>
          </a:endParaRPr>
        </a:p>
        <a:p>
          <a:endParaRPr lang="en-US" sz="1100">
            <a:latin typeface="+mn-lt"/>
            <a:ea typeface="+mn-ea"/>
            <a:cs typeface="+mn-cs"/>
          </a:endParaRPr>
        </a:p>
        <a:p>
          <a:pPr algn="l" rtl="0">
            <a:defRPr sz="1000"/>
          </a:pPr>
          <a:endParaRPr lang="en-US" sz="900" b="0" i="0" u="none" strike="noStrike" baseline="0">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A%20JAM%20JUNE%202008%20GRC.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R.%20Bryce%20Dalley%20Supplemental%20Workpapers/5%20-%20NPC/5.6%20Remove%20Colstrip%203.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R.%20Bryce%20Dalley%20Supplemental%20Workpapers/6%20-%20Depr/6.1%20Hydro%20Decommissioning.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R.%20Bryce%20Dalley%20Supplemental%20Workpapers/8%20-%20Rate%20Base/8.2%20Jim%20Bridger%20Mine%20-%20Revised%2011-23-1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R.%20Bryce%20Dalley%20Supplemental%20Workpapers/8%20-%20Rate%20Base/8.6%20Removal%20of%20Colstrip%20%234%20AFUDC.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R.%20Bryce%20Dalley%20Supplemental%20Workpapers/Rev.%20Req.%20Models/WA%20JAM%20Dec%202009%20GRC%20-%20Supplement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20Bryce%20Dalley%20Supplemental%20Workpapers/3%20-%20Revenue/3.4%20SO2%20Sal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20Bryce%20Dalley%20Supplemental%20Workpapers/3%20-%20Revenue/3.5%20REC%20Revenue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20Bryce%20Dalley%20Supplemental%20Workpapers/4%20-%20O&amp;M/4.1%20Misc%20General%20Expens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20Bryce%20Dalley%20Supplemental%20Workpapers/4%20-%20O&amp;M/4.2-3%20General%20Wage%20Increas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R.%20Bryce%20Dalley%20Supplemental%20Workpapers/4%20-%20O&amp;M/4.7%20Remove%20Non-Recurring.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R.%20Bryce%20Dalley%20Supplemental%20Workpapers/5%20-%20NPC/5.1-%205.2%20Net%20Power%20Costs%20-%20Revised%2011-23-1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R.%20Bryce%20Dalley%20Supplemental%20Workpapers/5%20-%20NPC/5.3%20Electric%20Lake%20Settlemen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R.%20Bryce%20Dalley%20Supplemental%20Workpapers/5%20-%20NPC/5.5%20James%20River.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xhibit"/>
      <sheetName val="Results"/>
      <sheetName val="Function"/>
      <sheetName val="Function1149"/>
      <sheetName val="Report"/>
      <sheetName val="NRO"/>
      <sheetName val="ADJ"/>
      <sheetName val="UTCR"/>
      <sheetName val="URO"/>
      <sheetName val="ECD"/>
      <sheetName val="Unadj Data for RAM"/>
      <sheetName val="Variables"/>
      <sheetName val="Inputs"/>
      <sheetName val="Factors"/>
      <sheetName val="Check"/>
      <sheetName val="CWC"/>
      <sheetName val="WelcomeDialog"/>
      <sheetName val="Macro"/>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ow r="255">
          <cell r="L255" t="str">
            <v>SCHMATSNPD</v>
          </cell>
        </row>
      </sheetData>
      <sheetData sheetId="13" refreshError="1"/>
      <sheetData sheetId="14" refreshError="1"/>
      <sheetData sheetId="15" refreshError="1"/>
      <sheetData sheetId="16" refreshError="1"/>
      <sheetData sheetId="17"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Lead Sheet"/>
      <sheetName val="5.6.1 Property Tax Calc."/>
      <sheetName val="5.6.2 Summary"/>
      <sheetName val="5.6.3 Plant Ledger Balances"/>
      <sheetName val="5.6.4 Summary Pre-Merger"/>
      <sheetName val="5.6.5 Summary Post-Merger"/>
      <sheetName val="5.6.6 Summary Total"/>
      <sheetName val="5.6.7 ITC"/>
      <sheetName val="5.6.8 Base Data"/>
      <sheetName val="V1983"/>
      <sheetName val="V1984"/>
      <sheetName val="V1985"/>
      <sheetName val="V1986"/>
      <sheetName val="V1987"/>
      <sheetName val="V1988"/>
      <sheetName val="V1989"/>
      <sheetName val="V1990"/>
      <sheetName val="V1991"/>
      <sheetName val="V1992"/>
      <sheetName val="V1993"/>
      <sheetName val="V1994"/>
      <sheetName val="V1995"/>
      <sheetName val="V1996"/>
      <sheetName val="V1997"/>
      <sheetName val="V1998"/>
      <sheetName val="V1999"/>
      <sheetName val="V2000"/>
      <sheetName val="V2000.2"/>
      <sheetName val="V2001"/>
      <sheetName val="V2001.2"/>
      <sheetName val="V2002"/>
      <sheetName val="V2003"/>
      <sheetName val="V2003.2"/>
      <sheetName val="V2004"/>
      <sheetName val="V2004.2"/>
      <sheetName val="V2005"/>
      <sheetName val="V2005.2"/>
      <sheetName val="V2005.3"/>
      <sheetName val="V2006"/>
      <sheetName val="V2006.2"/>
      <sheetName val="V2006.3"/>
      <sheetName val="V2007"/>
      <sheetName val="V2007.2"/>
      <sheetName val="V2008"/>
      <sheetName val="V2008.2"/>
      <sheetName val="V2009"/>
      <sheetName val="Break"/>
      <sheetName val="Depr Rate"/>
    </sheetNames>
    <sheetDataSet>
      <sheetData sheetId="0">
        <row r="9">
          <cell r="I9">
            <v>-370246.10036195512</v>
          </cell>
        </row>
        <row r="10">
          <cell r="I10">
            <v>-26985.901168847417</v>
          </cell>
        </row>
        <row r="18">
          <cell r="I18">
            <v>-24358296.07644441</v>
          </cell>
        </row>
        <row r="19">
          <cell r="I19">
            <v>-1767631.8934282884</v>
          </cell>
        </row>
        <row r="20">
          <cell r="I20">
            <v>15693985.060380375</v>
          </cell>
        </row>
        <row r="21">
          <cell r="I21">
            <v>316777.27904775692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Lead Sheet"/>
      <sheetName val="6.1.1"/>
      <sheetName val="6.1.2"/>
      <sheetName val="Dec 2009 Balance Check"/>
      <sheetName val="HYDRO CENTRAL"/>
      <sheetName val="Exp Actuals"/>
      <sheetName val="Reserve Actuals"/>
    </sheetNames>
    <sheetDataSet>
      <sheetData sheetId="0">
        <row r="10">
          <cell r="I10">
            <v>-8005.3957926276607</v>
          </cell>
        </row>
        <row r="14">
          <cell r="I14">
            <v>-256078.4788596172</v>
          </cell>
        </row>
      </sheetData>
      <sheetData sheetId="1"/>
      <sheetData sheetId="2"/>
      <sheetData sheetId="3"/>
      <sheetData sheetId="4"/>
      <sheetData sheetId="5"/>
      <sheetData sheetId="6"/>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Lead Sheet"/>
      <sheetName val="8.2.1"/>
      <sheetName val="Testimony"/>
    </sheetNames>
    <sheetDataSet>
      <sheetData sheetId="0">
        <row r="10">
          <cell r="I10">
            <v>53613851.168249354</v>
          </cell>
        </row>
        <row r="11">
          <cell r="I11">
            <v>2005617.942152187</v>
          </cell>
        </row>
        <row r="12">
          <cell r="I12">
            <v>2033952.2560125524</v>
          </cell>
        </row>
        <row r="13">
          <cell r="I13">
            <v>514243.44230495289</v>
          </cell>
        </row>
        <row r="14">
          <cell r="I14">
            <v>-23449722.352869298</v>
          </cell>
        </row>
      </sheetData>
      <sheetData sheetId="1"/>
      <sheetData sheetId="2"/>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Lead Sheet"/>
      <sheetName val="8.6.1"/>
      <sheetName val="Depr Sch"/>
    </sheetNames>
    <sheetDataSet>
      <sheetData sheetId="0">
        <row r="17">
          <cell r="I17">
            <v>-441006.12659999984</v>
          </cell>
        </row>
      </sheetData>
      <sheetData sheetId="1"/>
      <sheetData sheetId="2"/>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Exhibit"/>
      <sheetName val="Function"/>
      <sheetName val="Function1149"/>
      <sheetName val="NPC"/>
      <sheetName val="Report"/>
      <sheetName val="Results"/>
      <sheetName val="UTCR"/>
      <sheetName val="NRO"/>
      <sheetName val="ADJ"/>
      <sheetName val="URO"/>
      <sheetName val="ECD"/>
      <sheetName val="Unadj Data for RAM"/>
      <sheetName val="Variables"/>
      <sheetName val="Inputs"/>
      <sheetName val="Factors"/>
      <sheetName val="Check"/>
      <sheetName val="CWC"/>
      <sheetName val="WelcomeDialog"/>
      <sheetName val="Macro"/>
    </sheetNames>
    <sheetDataSet>
      <sheetData sheetId="0" refreshError="1"/>
      <sheetData sheetId="1" refreshError="1"/>
      <sheetData sheetId="2" refreshError="1"/>
      <sheetData sheetId="3" refreshError="1"/>
      <sheetData sheetId="4">
        <row r="232">
          <cell r="K232">
            <v>78723890.002297029</v>
          </cell>
        </row>
        <row r="327">
          <cell r="K327">
            <v>-299113.29608875979</v>
          </cell>
        </row>
        <row r="359">
          <cell r="K359">
            <v>0.76863545562076996</v>
          </cell>
        </row>
        <row r="360">
          <cell r="K360">
            <v>3799.9586822032702</v>
          </cell>
        </row>
        <row r="362">
          <cell r="K362">
            <v>3813925.7696061148</v>
          </cell>
        </row>
        <row r="367">
          <cell r="K367">
            <v>2328.8464963318656</v>
          </cell>
        </row>
        <row r="370">
          <cell r="K370">
            <v>170359.14155335134</v>
          </cell>
        </row>
        <row r="374">
          <cell r="K374">
            <v>158737.61342993481</v>
          </cell>
        </row>
        <row r="385">
          <cell r="K385">
            <v>35851280.58592236</v>
          </cell>
        </row>
        <row r="396">
          <cell r="K396">
            <v>174106.61470381677</v>
          </cell>
        </row>
        <row r="398">
          <cell r="K398">
            <v>837923.45145368483</v>
          </cell>
        </row>
        <row r="416">
          <cell r="K416">
            <v>4590.2521274777391</v>
          </cell>
        </row>
        <row r="418">
          <cell r="K418">
            <v>1427.7482314107961</v>
          </cell>
        </row>
        <row r="423">
          <cell r="K423">
            <v>3793.6745014355965</v>
          </cell>
        </row>
        <row r="425">
          <cell r="K425">
            <v>321811.47189133079</v>
          </cell>
        </row>
        <row r="427">
          <cell r="K427">
            <v>-3150653.8116811737</v>
          </cell>
        </row>
        <row r="433">
          <cell r="K433">
            <v>4787.891750040817</v>
          </cell>
        </row>
        <row r="435">
          <cell r="K435">
            <v>34398.062402575422</v>
          </cell>
        </row>
        <row r="441">
          <cell r="K441">
            <v>57660.223502435641</v>
          </cell>
        </row>
        <row r="443">
          <cell r="K443">
            <v>119683.63143116454</v>
          </cell>
        </row>
        <row r="451">
          <cell r="K451">
            <v>75370.972872408631</v>
          </cell>
        </row>
        <row r="453">
          <cell r="K453">
            <v>1697495.4409564845</v>
          </cell>
        </row>
        <row r="459">
          <cell r="K459">
            <v>569337.50679118221</v>
          </cell>
        </row>
        <row r="461">
          <cell r="K461">
            <v>5085211.6896094689</v>
          </cell>
        </row>
        <row r="467">
          <cell r="K467">
            <v>67351.330281086004</v>
          </cell>
        </row>
        <row r="469">
          <cell r="K469">
            <v>1763735.961369921</v>
          </cell>
        </row>
        <row r="475">
          <cell r="K475">
            <v>87429.536489251899</v>
          </cell>
        </row>
        <row r="477">
          <cell r="K477">
            <v>615238.43752000388</v>
          </cell>
        </row>
        <row r="535">
          <cell r="K535">
            <v>1788100.0283183763</v>
          </cell>
        </row>
        <row r="543">
          <cell r="K543">
            <v>55747.146522012139</v>
          </cell>
        </row>
        <row r="551">
          <cell r="K551">
            <v>694705.40135932376</v>
          </cell>
        </row>
        <row r="567">
          <cell r="K567">
            <v>2572458.5557147572</v>
          </cell>
        </row>
        <row r="575">
          <cell r="K575">
            <v>39845.972902857822</v>
          </cell>
        </row>
        <row r="583">
          <cell r="K583">
            <v>18632.299714400997</v>
          </cell>
        </row>
        <row r="591">
          <cell r="K591">
            <v>241279.09263385259</v>
          </cell>
        </row>
        <row r="602">
          <cell r="K602">
            <v>254379.64745047319</v>
          </cell>
        </row>
        <row r="610">
          <cell r="K610">
            <v>258646.14051138819</v>
          </cell>
        </row>
        <row r="618">
          <cell r="K618">
            <v>425243.26599926554</v>
          </cell>
        </row>
        <row r="627">
          <cell r="K627">
            <v>18439.647354837707</v>
          </cell>
        </row>
        <row r="641">
          <cell r="K641">
            <v>40562599.875692278</v>
          </cell>
        </row>
        <row r="648">
          <cell r="K648">
            <v>2110547.5882216198</v>
          </cell>
        </row>
        <row r="654">
          <cell r="K654">
            <v>114655.77798996717</v>
          </cell>
        </row>
        <row r="655">
          <cell r="K655">
            <v>2217612.1955944337</v>
          </cell>
        </row>
        <row r="664">
          <cell r="K664">
            <v>-549.70701708265779</v>
          </cell>
        </row>
        <row r="665">
          <cell r="K665">
            <v>312415.00457101053</v>
          </cell>
        </row>
        <row r="678">
          <cell r="K678">
            <v>2411.2776078633542</v>
          </cell>
        </row>
        <row r="685">
          <cell r="K685">
            <v>650768.25379235938</v>
          </cell>
        </row>
        <row r="692">
          <cell r="K692">
            <v>40158.216930889299</v>
          </cell>
        </row>
        <row r="709">
          <cell r="K709">
            <v>77304802.070632443</v>
          </cell>
        </row>
        <row r="711">
          <cell r="K711">
            <v>4518794.0772338118</v>
          </cell>
        </row>
        <row r="714">
          <cell r="K714">
            <v>2503683</v>
          </cell>
        </row>
        <row r="720">
          <cell r="K720">
            <v>125573.71977595623</v>
          </cell>
        </row>
        <row r="729">
          <cell r="K729">
            <v>-97006.2</v>
          </cell>
        </row>
        <row r="730">
          <cell r="K730">
            <v>2408612.8427052838</v>
          </cell>
        </row>
        <row r="735">
          <cell r="K735">
            <v>36632.321381902701</v>
          </cell>
        </row>
        <row r="737">
          <cell r="K737">
            <v>500856.03844505805</v>
          </cell>
        </row>
        <row r="824">
          <cell r="K824">
            <v>20422750.559093829</v>
          </cell>
        </row>
        <row r="1178">
          <cell r="K1178">
            <v>1116411.7964552136</v>
          </cell>
        </row>
        <row r="1180">
          <cell r="K1180">
            <v>4058105.259985717</v>
          </cell>
        </row>
        <row r="1191">
          <cell r="K1191">
            <v>2412273.7330297157</v>
          </cell>
        </row>
        <row r="1200">
          <cell r="K1200">
            <v>9351153.8924306501</v>
          </cell>
        </row>
        <row r="1710">
          <cell r="K1710">
            <v>0</v>
          </cell>
        </row>
        <row r="1711">
          <cell r="K1711">
            <v>204937627.27505687</v>
          </cell>
        </row>
        <row r="1713">
          <cell r="K1713">
            <v>229678.99938179294</v>
          </cell>
        </row>
        <row r="1714">
          <cell r="K1714">
            <v>54145913.995983727</v>
          </cell>
        </row>
        <row r="1848">
          <cell r="K1848">
            <v>101737773.24545936</v>
          </cell>
        </row>
        <row r="1930">
          <cell r="K1930">
            <v>269181969.48663914</v>
          </cell>
        </row>
        <row r="2670">
          <cell r="K2670">
            <v>0</v>
          </cell>
        </row>
        <row r="2766">
          <cell r="K2766">
            <v>-29842625.181041777</v>
          </cell>
        </row>
        <row r="2768">
          <cell r="K2768">
            <v>-104219087.13241561</v>
          </cell>
        </row>
        <row r="2783">
          <cell r="K2783">
            <v>-44937526.832938358</v>
          </cell>
        </row>
        <row r="2794">
          <cell r="K2794">
            <v>-27913590.878846396</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Lead Sheet"/>
      <sheetName val="Summary"/>
      <sheetName val="Per Books Data"/>
      <sheetName val="SAP301947"/>
      <sheetName val="Inputs"/>
      <sheetName val="Tax Proof"/>
      <sheetName val="Sep 1994"/>
      <sheetName val="Dec 1994"/>
      <sheetName val="Apr 1995"/>
      <sheetName val="May 1995"/>
      <sheetName val="Jun 1995"/>
      <sheetName val="Jul 1995"/>
      <sheetName val="Sep 1995"/>
      <sheetName val="Oct 1995"/>
      <sheetName val="Dec 1995"/>
      <sheetName val="Feb 1996"/>
      <sheetName val="Mar 1996"/>
      <sheetName val="Apr 1996"/>
      <sheetName val="Jun 1996"/>
      <sheetName val="Jul 1996"/>
      <sheetName val="Aug 1996"/>
      <sheetName val="Sep 1996"/>
      <sheetName val="Dec 1996"/>
      <sheetName val="Feb 1997"/>
      <sheetName val="Apr 1997"/>
      <sheetName val="May 1997"/>
      <sheetName val="Jun 1997"/>
      <sheetName val="Jul 1997"/>
      <sheetName val="Sep 1997"/>
      <sheetName val="Oct 1997"/>
      <sheetName val="Nov 1997"/>
      <sheetName val="Dec 1997"/>
      <sheetName val="Jan 1998"/>
      <sheetName val="Feb 1998"/>
      <sheetName val="Mar 1998"/>
      <sheetName val="Apr 1998"/>
      <sheetName val="May 1998"/>
      <sheetName val="Jul 1998"/>
      <sheetName val="Aug 1998"/>
      <sheetName val="Jun 1999"/>
      <sheetName val="Jul 1999"/>
      <sheetName val="Aug 1999"/>
      <sheetName val="Sep 1999"/>
      <sheetName val="Jun 2000"/>
      <sheetName val="Aug 2000"/>
      <sheetName val="Sep 2000"/>
      <sheetName val="Oct 2000"/>
      <sheetName val="Nov 2000"/>
      <sheetName val="Dec 2000"/>
      <sheetName val="Jan 2001"/>
      <sheetName val="Mar 2001"/>
      <sheetName val="May 2001"/>
      <sheetName val="Jun 2001"/>
      <sheetName val="Jul 2001"/>
      <sheetName val="Dec 2001"/>
      <sheetName val="May 2002"/>
      <sheetName val="Jun 2002"/>
      <sheetName val="Jul 2002"/>
      <sheetName val="Nov 2002"/>
      <sheetName val="July 2003"/>
      <sheetName val="Oct 2003"/>
      <sheetName val="May 2004"/>
      <sheetName val="June 2004"/>
      <sheetName val="May 2005"/>
      <sheetName val="June 2005"/>
      <sheetName val="Dec 2005"/>
      <sheetName val="Feb 2006"/>
      <sheetName val="May 2006"/>
      <sheetName val="June 2006"/>
      <sheetName val="Mar 2007"/>
      <sheetName val="Apr 2007"/>
      <sheetName val="May 2007"/>
      <sheetName val="Oct 2007"/>
      <sheetName val="Dec 2007"/>
      <sheetName val="Apr 2008"/>
      <sheetName val="Oct 2008"/>
      <sheetName val="Nov 2008"/>
      <sheetName val="Dec 2008"/>
      <sheetName val="Jan 2009"/>
      <sheetName val="Apr 2009"/>
      <sheetName val="Jun 2009"/>
      <sheetName val="Aug 2009"/>
      <sheetName val="Sep 2009"/>
      <sheetName val="Feb 2010"/>
    </sheetNames>
    <sheetDataSet>
      <sheetData sheetId="0">
        <row r="12">
          <cell r="I12">
            <v>-237950.87274093495</v>
          </cell>
        </row>
        <row r="16">
          <cell r="I16">
            <v>-4218445.3037073184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Lead Sheet "/>
      <sheetName val="3.5 REC Revenues"/>
    </sheetNames>
    <sheetDataSet>
      <sheetData sheetId="0">
        <row r="9">
          <cell r="I9">
            <v>-4211638.5008969298</v>
          </cell>
        </row>
      </sheetData>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Lead Sheet"/>
      <sheetName val="4.1.1"/>
      <sheetName val="LTIP"/>
      <sheetName val="FY2006 Three Factor Formula"/>
      <sheetName val="FY2006 Senders Receivers "/>
    </sheetNames>
    <sheetDataSet>
      <sheetData sheetId="0">
        <row r="9">
          <cell r="I9">
            <v>-398.79035040746351</v>
          </cell>
        </row>
      </sheetData>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Lead Sheet 4.2"/>
      <sheetName val="Lead Sheet 4.3"/>
      <sheetName val="Description"/>
      <sheetName val="Summary"/>
      <sheetName val="Escalation"/>
      <sheetName val="Labor Increases"/>
      <sheetName val="Payroll Tax"/>
      <sheetName val="WCA RAM Input Annualization"/>
      <sheetName val="WCA RAM Input Proforma"/>
      <sheetName val="WCA FERC Spread RAM Indicator"/>
    </sheetNames>
    <sheetDataSet>
      <sheetData sheetId="0">
        <row r="11">
          <cell r="I11">
            <v>-1.1386698157198312</v>
          </cell>
        </row>
        <row r="12">
          <cell r="I12">
            <v>1570.6990973295158</v>
          </cell>
        </row>
        <row r="13">
          <cell r="I13">
            <v>1.267349501741261</v>
          </cell>
        </row>
        <row r="15">
          <cell r="I15">
            <v>-285.58128768236969</v>
          </cell>
        </row>
        <row r="16">
          <cell r="I16">
            <v>5.3474122692439199</v>
          </cell>
        </row>
        <row r="18">
          <cell r="I18">
            <v>-11.571414283786176</v>
          </cell>
        </row>
        <row r="19">
          <cell r="I19">
            <v>3289.3039630802841</v>
          </cell>
        </row>
        <row r="21">
          <cell r="I21">
            <v>1687.6589231684209</v>
          </cell>
        </row>
        <row r="23">
          <cell r="I23">
            <v>277.17602847876208</v>
          </cell>
        </row>
        <row r="25">
          <cell r="I25">
            <v>348.61360576371493</v>
          </cell>
        </row>
        <row r="26">
          <cell r="I26">
            <v>73.228796819369649</v>
          </cell>
        </row>
        <row r="28">
          <cell r="I28">
            <v>108.51122946125389</v>
          </cell>
        </row>
        <row r="30">
          <cell r="I30">
            <v>27.278807630342413</v>
          </cell>
        </row>
        <row r="31">
          <cell r="I31">
            <v>350.40493073336393</v>
          </cell>
        </row>
        <row r="32">
          <cell r="I32">
            <v>1486.1211996747884</v>
          </cell>
        </row>
      </sheetData>
      <sheetData sheetId="1">
        <row r="11">
          <cell r="I11">
            <v>-14.719571245904099</v>
          </cell>
        </row>
        <row r="12">
          <cell r="I12">
            <v>20304.408661613041</v>
          </cell>
        </row>
        <row r="13">
          <cell r="I13">
            <v>16.383012025789544</v>
          </cell>
        </row>
        <row r="15">
          <cell r="I15">
            <v>-3691.7059295896684</v>
          </cell>
        </row>
        <row r="16">
          <cell r="I16">
            <v>69.125935184817905</v>
          </cell>
        </row>
        <row r="18">
          <cell r="I18">
            <v>-149.58353564363881</v>
          </cell>
        </row>
        <row r="19">
          <cell r="I19">
            <v>42520.793442993971</v>
          </cell>
        </row>
        <row r="21">
          <cell r="I21">
            <v>21816.346947476846</v>
          </cell>
        </row>
        <row r="23">
          <cell r="I23">
            <v>3583.0512432356791</v>
          </cell>
        </row>
        <row r="25">
          <cell r="I25">
            <v>4506.5239602286192</v>
          </cell>
        </row>
        <row r="26">
          <cell r="I26">
            <v>946.62779073768183</v>
          </cell>
        </row>
        <row r="28">
          <cell r="I28">
            <v>1402.7233803733093</v>
          </cell>
        </row>
        <row r="30">
          <cell r="I30">
            <v>352.63282373415814</v>
          </cell>
        </row>
        <row r="31">
          <cell r="I31">
            <v>4529.6803969333614</v>
          </cell>
        </row>
        <row r="32">
          <cell r="I32">
            <v>19211.071178551261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Lead Sheet"/>
      <sheetName val="4.7.1"/>
    </sheetNames>
    <sheetDataSet>
      <sheetData sheetId="0">
        <row r="13">
          <cell r="I13">
            <v>-82916.446129532909</v>
          </cell>
        </row>
        <row r="16">
          <cell r="I16">
            <v>-91.506246302488393</v>
          </cell>
        </row>
      </sheetData>
      <sheetData sheetId="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Lead Sheet - 5.1"/>
      <sheetName val="Lead Sheet - 5.2"/>
      <sheetName val="Summary "/>
      <sheetName val="2009 Unadjusted Results"/>
      <sheetName val="2009 Normalized Results"/>
      <sheetName val="Pro Forma 3 2012"/>
    </sheetNames>
    <sheetDataSet>
      <sheetData sheetId="0">
        <row r="11">
          <cell r="I11">
            <v>3803644.2032988709</v>
          </cell>
        </row>
        <row r="17">
          <cell r="I17">
            <v>0</v>
          </cell>
        </row>
        <row r="18">
          <cell r="I18">
            <v>0</v>
          </cell>
        </row>
        <row r="19">
          <cell r="I19">
            <v>-4768096.7642698511</v>
          </cell>
        </row>
        <row r="20">
          <cell r="I20">
            <v>532750.87474604358</v>
          </cell>
        </row>
        <row r="24">
          <cell r="I24">
            <v>0</v>
          </cell>
        </row>
        <row r="25">
          <cell r="I25">
            <v>0</v>
          </cell>
        </row>
        <row r="30">
          <cell r="I30">
            <v>-1306516.3102050694</v>
          </cell>
        </row>
        <row r="31">
          <cell r="I31">
            <v>-1654574.4183215983</v>
          </cell>
        </row>
      </sheetData>
      <sheetData sheetId="1">
        <row r="10">
          <cell r="I10">
            <v>870792.86398024356</v>
          </cell>
        </row>
        <row r="11">
          <cell r="I11">
            <v>-44358319.407602489</v>
          </cell>
        </row>
        <row r="16">
          <cell r="I16">
            <v>-6833137.013348842</v>
          </cell>
        </row>
        <row r="17">
          <cell r="I17">
            <v>-2748483.8391599618</v>
          </cell>
        </row>
        <row r="18">
          <cell r="I18">
            <v>550719.50999999978</v>
          </cell>
        </row>
        <row r="19">
          <cell r="I19">
            <v>-301685.84692791809</v>
          </cell>
        </row>
        <row r="20">
          <cell r="I20">
            <v>696666.10364940239</v>
          </cell>
        </row>
        <row r="24">
          <cell r="I24">
            <v>-276744.97536404675</v>
          </cell>
        </row>
        <row r="25">
          <cell r="I25">
            <v>3613275.3696641289</v>
          </cell>
        </row>
        <row r="30">
          <cell r="I30">
            <v>4196528.7116824677</v>
          </cell>
        </row>
        <row r="31">
          <cell r="I31">
            <v>-4953979.2930746647</v>
          </cell>
        </row>
      </sheetData>
      <sheetData sheetId="2"/>
      <sheetData sheetId="3"/>
      <sheetData sheetId="4"/>
      <sheetData sheetId="5"/>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Lead Sheet WCA"/>
      <sheetName val="BW Acct 557 Dec 2009 "/>
      <sheetName val="Dec 09 AMA 254"/>
    </sheetNames>
    <sheetDataSet>
      <sheetData sheetId="0">
        <row r="13">
          <cell r="I13">
            <v>152282.21898382137</v>
          </cell>
        </row>
      </sheetData>
      <sheetData sheetId="1" refreshError="1"/>
      <sheetData sheetId="2"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Lead Sheet WA"/>
      <sheetName val="FORECAST2"/>
    </sheetNames>
    <sheetDataSet>
      <sheetData sheetId="0">
        <row r="11">
          <cell r="H11">
            <v>1178569.3667911782</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J83"/>
  <sheetViews>
    <sheetView tabSelected="1" zoomScale="85" zoomScaleNormal="85" workbookViewId="0">
      <selection activeCell="L24" sqref="L24"/>
    </sheetView>
  </sheetViews>
  <sheetFormatPr defaultColWidth="10" defaultRowHeight="12.75"/>
  <cols>
    <col min="1" max="1" width="2.5703125" style="46" customWidth="1"/>
    <col min="2" max="2" width="7.140625" style="46" customWidth="1"/>
    <col min="3" max="3" width="23.5703125" style="46" customWidth="1"/>
    <col min="4" max="4" width="9.7109375" style="46" customWidth="1"/>
    <col min="5" max="5" width="4.7109375" style="46" customWidth="1"/>
    <col min="6" max="6" width="14.42578125" style="46" customWidth="1"/>
    <col min="7" max="7" width="11.140625" style="46" customWidth="1"/>
    <col min="8" max="8" width="10.28515625" style="46" customWidth="1"/>
    <col min="9" max="9" width="13" style="46" customWidth="1"/>
    <col min="10" max="10" width="8.28515625" style="46" customWidth="1"/>
    <col min="11" max="16384" width="10" style="46"/>
  </cols>
  <sheetData>
    <row r="1" spans="1:10" ht="12" customHeight="1">
      <c r="B1" s="25" t="s">
        <v>18</v>
      </c>
      <c r="D1" s="53"/>
      <c r="E1" s="53"/>
      <c r="F1" s="53"/>
      <c r="G1" s="53"/>
      <c r="H1" s="53"/>
      <c r="I1" s="53" t="s">
        <v>111</v>
      </c>
      <c r="J1" s="127"/>
    </row>
    <row r="2" spans="1:10" ht="12" customHeight="1">
      <c r="B2" s="25" t="s">
        <v>34</v>
      </c>
      <c r="D2" s="53"/>
      <c r="E2" s="53"/>
      <c r="F2" s="53"/>
      <c r="G2" s="53"/>
      <c r="H2" s="53"/>
      <c r="I2" s="53"/>
      <c r="J2" s="54"/>
    </row>
    <row r="3" spans="1:10" ht="12" customHeight="1">
      <c r="B3" s="25" t="s">
        <v>14</v>
      </c>
      <c r="D3" s="53"/>
      <c r="E3" s="53"/>
      <c r="F3" s="53"/>
      <c r="G3" s="53"/>
      <c r="H3" s="53"/>
      <c r="I3" s="53"/>
      <c r="J3" s="54"/>
    </row>
    <row r="4" spans="1:10" ht="12" customHeight="1">
      <c r="B4" s="25"/>
      <c r="D4" s="53"/>
      <c r="E4" s="53"/>
      <c r="F4" s="53"/>
      <c r="G4" s="53"/>
      <c r="H4" s="53"/>
      <c r="I4" s="53"/>
      <c r="J4" s="54"/>
    </row>
    <row r="5" spans="1:10" ht="12" customHeight="1">
      <c r="D5" s="53"/>
      <c r="E5" s="53"/>
      <c r="F5" s="53"/>
      <c r="G5" s="53"/>
      <c r="H5" s="53"/>
      <c r="I5" s="53"/>
      <c r="J5" s="54"/>
    </row>
    <row r="6" spans="1:10" ht="12" customHeight="1">
      <c r="D6" s="53"/>
      <c r="E6" s="53"/>
      <c r="F6" s="53" t="s">
        <v>66</v>
      </c>
      <c r="G6" s="53"/>
      <c r="H6" s="53"/>
      <c r="I6" s="53" t="s">
        <v>22</v>
      </c>
      <c r="J6" s="54"/>
    </row>
    <row r="7" spans="1:10" ht="12" customHeight="1">
      <c r="D7" s="55" t="s">
        <v>67</v>
      </c>
      <c r="E7" s="55" t="s">
        <v>68</v>
      </c>
      <c r="F7" s="55" t="s">
        <v>69</v>
      </c>
      <c r="G7" s="55" t="s">
        <v>70</v>
      </c>
      <c r="H7" s="55" t="s">
        <v>71</v>
      </c>
      <c r="I7" s="55" t="s">
        <v>72</v>
      </c>
      <c r="J7" s="56" t="s">
        <v>73</v>
      </c>
    </row>
    <row r="8" spans="1:10" ht="12" customHeight="1">
      <c r="A8" s="57"/>
      <c r="B8" s="61" t="s">
        <v>5</v>
      </c>
      <c r="C8" s="57"/>
      <c r="D8" s="58"/>
      <c r="E8" s="58"/>
      <c r="F8" s="59"/>
      <c r="G8" s="58"/>
      <c r="H8" s="80"/>
      <c r="I8" s="59"/>
      <c r="J8" s="79"/>
    </row>
    <row r="9" spans="1:10" ht="12" customHeight="1">
      <c r="A9" s="57"/>
      <c r="B9" s="64" t="s">
        <v>1</v>
      </c>
      <c r="C9" s="57"/>
      <c r="D9" s="83">
        <v>312</v>
      </c>
      <c r="E9" s="58">
        <v>3</v>
      </c>
      <c r="F9" s="59">
        <f>I9/H9</f>
        <v>-1710265.3258666673</v>
      </c>
      <c r="G9" s="53" t="s">
        <v>46</v>
      </c>
      <c r="H9" s="80">
        <v>0.21181511146151435</v>
      </c>
      <c r="I9" s="59">
        <f>'Production Factor Adj'!V9</f>
        <v>-362260.04062721133</v>
      </c>
      <c r="J9" s="79" t="s">
        <v>78</v>
      </c>
    </row>
    <row r="10" spans="1:10" ht="12" customHeight="1">
      <c r="A10" s="57"/>
      <c r="B10" s="64" t="s">
        <v>1</v>
      </c>
      <c r="C10" s="57"/>
      <c r="D10" s="83">
        <v>312</v>
      </c>
      <c r="E10" s="58">
        <v>3</v>
      </c>
      <c r="F10" s="59">
        <f t="shared" ref="F10:F14" si="0">I10/H10</f>
        <v>-4896.4275812650303</v>
      </c>
      <c r="G10" s="53" t="s">
        <v>26</v>
      </c>
      <c r="H10" s="80">
        <v>8.2916446129532903E-2</v>
      </c>
      <c r="I10" s="59">
        <f>'Production Factor Adj'!V10</f>
        <v>-405.99437376912101</v>
      </c>
      <c r="J10" s="79" t="s">
        <v>78</v>
      </c>
    </row>
    <row r="11" spans="1:10" ht="12" customHeight="1">
      <c r="A11" s="57"/>
      <c r="B11" s="64" t="s">
        <v>1</v>
      </c>
      <c r="C11" s="57"/>
      <c r="D11" s="83">
        <v>312</v>
      </c>
      <c r="E11" s="58">
        <v>3</v>
      </c>
      <c r="F11" s="59">
        <f t="shared" si="0"/>
        <v>-224247.86073201106</v>
      </c>
      <c r="G11" s="53" t="s">
        <v>7</v>
      </c>
      <c r="H11" s="80">
        <v>0.220870814871235</v>
      </c>
      <c r="I11" s="59">
        <f>'Production Factor Adj'!V11</f>
        <v>-49529.807733010501</v>
      </c>
      <c r="J11" s="79" t="s">
        <v>78</v>
      </c>
    </row>
    <row r="12" spans="1:10" ht="12" customHeight="1">
      <c r="A12" s="57"/>
      <c r="B12" s="64" t="s">
        <v>1</v>
      </c>
      <c r="C12" s="57"/>
      <c r="D12" s="83">
        <v>312</v>
      </c>
      <c r="E12" s="58">
        <v>3</v>
      </c>
      <c r="F12" s="59">
        <f>I12</f>
        <v>779.54887769120978</v>
      </c>
      <c r="G12" s="53" t="s">
        <v>10</v>
      </c>
      <c r="H12" s="58" t="s">
        <v>86</v>
      </c>
      <c r="I12" s="59">
        <f>'Production Factor Adj'!V12</f>
        <v>779.54887769120978</v>
      </c>
      <c r="J12" s="79" t="s">
        <v>78</v>
      </c>
    </row>
    <row r="13" spans="1:10" ht="12" customHeight="1">
      <c r="A13" s="57"/>
      <c r="B13" s="64" t="s">
        <v>2</v>
      </c>
      <c r="C13" s="57"/>
      <c r="D13" s="83">
        <v>332</v>
      </c>
      <c r="E13" s="58">
        <v>3</v>
      </c>
      <c r="F13" s="59">
        <f t="shared" si="0"/>
        <v>-814221.60541666776</v>
      </c>
      <c r="G13" s="53" t="s">
        <v>7</v>
      </c>
      <c r="H13" s="80">
        <v>0.220870814871235</v>
      </c>
      <c r="I13" s="59">
        <f>'Production Factor Adj'!V13</f>
        <v>-179837.78947414458</v>
      </c>
      <c r="J13" s="79" t="s">
        <v>78</v>
      </c>
    </row>
    <row r="14" spans="1:10" ht="12" customHeight="1">
      <c r="A14" s="57"/>
      <c r="B14" s="64" t="s">
        <v>48</v>
      </c>
      <c r="C14" s="57"/>
      <c r="D14" s="83">
        <v>343</v>
      </c>
      <c r="E14" s="58">
        <v>3</v>
      </c>
      <c r="F14" s="59">
        <f t="shared" si="0"/>
        <v>-2154300.888971224</v>
      </c>
      <c r="G14" s="53" t="s">
        <v>7</v>
      </c>
      <c r="H14" s="80">
        <v>0.220870814871235</v>
      </c>
      <c r="I14" s="59">
        <f>'Production Factor Adj'!V14</f>
        <v>-475822.19282490015</v>
      </c>
      <c r="J14" s="79" t="s">
        <v>78</v>
      </c>
    </row>
    <row r="15" spans="1:10" ht="12" customHeight="1">
      <c r="A15" s="57"/>
      <c r="C15" s="57"/>
      <c r="D15" s="53"/>
      <c r="E15" s="58"/>
      <c r="F15" s="85">
        <f>SUM(F9:F14)</f>
        <v>-4907152.5596901439</v>
      </c>
      <c r="G15" s="53"/>
      <c r="H15" s="80"/>
      <c r="I15" s="85">
        <f>SUM(I9:I14)</f>
        <v>-1067076.2761553444</v>
      </c>
      <c r="J15" s="79"/>
    </row>
    <row r="16" spans="1:10" ht="12" customHeight="1">
      <c r="A16" s="57"/>
      <c r="B16" s="25" t="s">
        <v>6</v>
      </c>
      <c r="C16" s="57"/>
      <c r="D16" s="53"/>
      <c r="E16" s="58"/>
      <c r="F16" s="59"/>
      <c r="G16" s="53"/>
      <c r="H16" s="80"/>
      <c r="I16" s="59"/>
      <c r="J16" s="79"/>
    </row>
    <row r="17" spans="1:10" ht="12" customHeight="1">
      <c r="A17" s="57"/>
      <c r="B17" s="46" t="s">
        <v>1</v>
      </c>
      <c r="C17" s="57"/>
      <c r="D17" s="53" t="s">
        <v>51</v>
      </c>
      <c r="E17" s="58">
        <v>3</v>
      </c>
      <c r="F17" s="59">
        <f t="shared" ref="F17:F20" si="1">I17/H17</f>
        <v>110698.32973078899</v>
      </c>
      <c r="G17" s="53" t="s">
        <v>7</v>
      </c>
      <c r="H17" s="80">
        <v>0.220870814871235</v>
      </c>
      <c r="I17" s="59">
        <f>'Production Factor Adj'!V17</f>
        <v>24450.030292524025</v>
      </c>
      <c r="J17" s="79" t="s">
        <v>78</v>
      </c>
    </row>
    <row r="18" spans="1:10" ht="12" customHeight="1">
      <c r="A18" s="57"/>
      <c r="B18" s="46" t="s">
        <v>1</v>
      </c>
      <c r="C18" s="57"/>
      <c r="D18" s="53" t="s">
        <v>51</v>
      </c>
      <c r="E18" s="58">
        <v>3</v>
      </c>
      <c r="F18" s="59">
        <f t="shared" si="1"/>
        <v>869739.21473595523</v>
      </c>
      <c r="G18" s="53" t="s">
        <v>46</v>
      </c>
      <c r="H18" s="80">
        <v>0.21181511146151435</v>
      </c>
      <c r="I18" s="59">
        <f>'Production Factor Adj'!V18</f>
        <v>184223.90871174634</v>
      </c>
      <c r="J18" s="79" t="s">
        <v>78</v>
      </c>
    </row>
    <row r="19" spans="1:10" ht="12" customHeight="1">
      <c r="A19" s="57"/>
      <c r="B19" s="46" t="s">
        <v>2</v>
      </c>
      <c r="C19" s="57"/>
      <c r="D19" s="53" t="s">
        <v>52</v>
      </c>
      <c r="E19" s="58">
        <v>3</v>
      </c>
      <c r="F19" s="59">
        <f t="shared" si="1"/>
        <v>361754.80221057724</v>
      </c>
      <c r="G19" s="53" t="s">
        <v>7</v>
      </c>
      <c r="H19" s="80">
        <v>0.220870814871235</v>
      </c>
      <c r="I19" s="59">
        <f>'Production Factor Adj'!V19</f>
        <v>79901.077947832644</v>
      </c>
      <c r="J19" s="79" t="s">
        <v>78</v>
      </c>
    </row>
    <row r="20" spans="1:10" ht="12" customHeight="1">
      <c r="A20" s="57"/>
      <c r="B20" s="46" t="s">
        <v>48</v>
      </c>
      <c r="C20" s="57"/>
      <c r="D20" s="53" t="s">
        <v>53</v>
      </c>
      <c r="E20" s="58">
        <v>3</v>
      </c>
      <c r="F20" s="59">
        <f t="shared" si="1"/>
        <v>223396.36551199027</v>
      </c>
      <c r="G20" s="53" t="s">
        <v>7</v>
      </c>
      <c r="H20" s="80">
        <v>0.220870814871235</v>
      </c>
      <c r="I20" s="59">
        <f>'Production Factor Adj'!V20</f>
        <v>49341.737289905548</v>
      </c>
      <c r="J20" s="79" t="s">
        <v>78</v>
      </c>
    </row>
    <row r="21" spans="1:10" ht="12" customHeight="1">
      <c r="A21" s="57"/>
      <c r="C21" s="57"/>
      <c r="D21" s="53"/>
      <c r="E21" s="58"/>
      <c r="F21" s="85">
        <f>SUM(F17:F20)</f>
        <v>1565588.7121893116</v>
      </c>
      <c r="G21" s="53"/>
      <c r="H21" s="80"/>
      <c r="I21" s="85">
        <f>SUM(I17:I20)</f>
        <v>337916.75424200855</v>
      </c>
      <c r="J21" s="79"/>
    </row>
    <row r="22" spans="1:10" ht="12" customHeight="1">
      <c r="A22" s="57"/>
      <c r="B22" s="61" t="s">
        <v>4</v>
      </c>
      <c r="C22" s="57"/>
      <c r="D22" s="53"/>
      <c r="E22" s="57"/>
      <c r="F22" s="57"/>
      <c r="G22" s="53"/>
      <c r="H22" s="58"/>
      <c r="I22" s="57"/>
      <c r="J22" s="57"/>
    </row>
    <row r="23" spans="1:10" ht="12" customHeight="1">
      <c r="A23" s="57"/>
      <c r="B23" s="46" t="s">
        <v>1</v>
      </c>
      <c r="C23" s="57"/>
      <c r="D23" s="53" t="s">
        <v>47</v>
      </c>
      <c r="E23" s="58">
        <v>3</v>
      </c>
      <c r="F23" s="59">
        <f t="shared" ref="F23:F26" si="2">I23/H23</f>
        <v>-5755.6963213043018</v>
      </c>
      <c r="G23" s="53" t="s">
        <v>7</v>
      </c>
      <c r="H23" s="58">
        <v>0.220870814871235</v>
      </c>
      <c r="I23" s="59">
        <f>'Production Factor Adj'!V23</f>
        <v>-1271.2653366378509</v>
      </c>
      <c r="J23" s="79" t="s">
        <v>78</v>
      </c>
    </row>
    <row r="24" spans="1:10" ht="12" customHeight="1">
      <c r="A24" s="57"/>
      <c r="B24" s="46" t="s">
        <v>1</v>
      </c>
      <c r="C24" s="57"/>
      <c r="D24" s="53" t="s">
        <v>47</v>
      </c>
      <c r="E24" s="58">
        <v>3</v>
      </c>
      <c r="F24" s="59">
        <f t="shared" si="2"/>
        <v>-33866.092855442577</v>
      </c>
      <c r="G24" s="53" t="s">
        <v>46</v>
      </c>
      <c r="H24" s="80">
        <v>0.21181511146151435</v>
      </c>
      <c r="I24" s="59">
        <f>'Production Factor Adj'!V24</f>
        <v>-7173.3502329415642</v>
      </c>
      <c r="J24" s="79" t="s">
        <v>78</v>
      </c>
    </row>
    <row r="25" spans="1:10" ht="12" customHeight="1">
      <c r="A25" s="57"/>
      <c r="B25" s="46" t="s">
        <v>2</v>
      </c>
      <c r="C25" s="57"/>
      <c r="D25" s="53" t="s">
        <v>49</v>
      </c>
      <c r="E25" s="58">
        <v>3</v>
      </c>
      <c r="F25" s="59">
        <f t="shared" si="2"/>
        <v>-19305.763522789137</v>
      </c>
      <c r="G25" s="53" t="s">
        <v>7</v>
      </c>
      <c r="H25" s="80">
        <v>0.220870814871235</v>
      </c>
      <c r="I25" s="59">
        <f>'Production Factor Adj'!V25</f>
        <v>-4264.079720989801</v>
      </c>
      <c r="J25" s="79" t="s">
        <v>78</v>
      </c>
    </row>
    <row r="26" spans="1:10" ht="12" customHeight="1">
      <c r="A26" s="57"/>
      <c r="B26" s="46" t="s">
        <v>48</v>
      </c>
      <c r="C26" s="57"/>
      <c r="D26" s="53" t="s">
        <v>50</v>
      </c>
      <c r="E26" s="58">
        <v>3</v>
      </c>
      <c r="F26" s="59">
        <f t="shared" si="2"/>
        <v>-74838.590347597652</v>
      </c>
      <c r="G26" s="53" t="s">
        <v>7</v>
      </c>
      <c r="H26" s="80">
        <v>0.220870814871235</v>
      </c>
      <c r="I26" s="59">
        <f>'Production Factor Adj'!V26</f>
        <v>-16529.660433888435</v>
      </c>
      <c r="J26" s="79" t="s">
        <v>78</v>
      </c>
    </row>
    <row r="27" spans="1:10" ht="12" customHeight="1">
      <c r="A27" s="57"/>
      <c r="C27" s="57"/>
      <c r="D27" s="53"/>
      <c r="E27" s="58"/>
      <c r="F27" s="86">
        <f>SUM(F23:F26)</f>
        <v>-133766.14304713366</v>
      </c>
      <c r="G27" s="53"/>
      <c r="H27" s="58"/>
      <c r="I27" s="86">
        <f>SUM(I23:I26)</f>
        <v>-29238.355724457651</v>
      </c>
      <c r="J27" s="79"/>
    </row>
    <row r="28" spans="1:10" ht="15" customHeight="1">
      <c r="A28" s="57"/>
      <c r="B28" s="81" t="s">
        <v>64</v>
      </c>
      <c r="C28" s="57"/>
      <c r="D28" s="53"/>
      <c r="E28" s="58"/>
      <c r="F28" s="62"/>
      <c r="G28" s="53"/>
      <c r="H28" s="80"/>
      <c r="I28" s="59"/>
      <c r="J28" s="79"/>
    </row>
    <row r="29" spans="1:10" ht="12" customHeight="1">
      <c r="A29" s="57"/>
      <c r="B29" s="82" t="s">
        <v>54</v>
      </c>
      <c r="C29" s="57"/>
      <c r="D29" s="84">
        <v>501</v>
      </c>
      <c r="E29" s="58">
        <v>3</v>
      </c>
      <c r="F29" s="59">
        <f t="shared" ref="F29:F42" si="3">I29/H29</f>
        <v>-53.841345310408904</v>
      </c>
      <c r="G29" s="53" t="s">
        <v>25</v>
      </c>
      <c r="H29" s="80">
        <v>7.8903160106448891E-2</v>
      </c>
      <c r="I29" s="59">
        <f>'Production Factor Adj'!V29</f>
        <v>-4.2482522893737951</v>
      </c>
      <c r="J29" s="79" t="s">
        <v>78</v>
      </c>
    </row>
    <row r="30" spans="1:10" ht="12" customHeight="1">
      <c r="A30" s="57"/>
      <c r="B30" s="82" t="s">
        <v>54</v>
      </c>
      <c r="C30" s="57"/>
      <c r="D30" s="84">
        <v>501</v>
      </c>
      <c r="E30" s="58">
        <v>3</v>
      </c>
      <c r="F30" s="59">
        <f t="shared" si="3"/>
        <v>-1363.4079979155558</v>
      </c>
      <c r="G30" s="53" t="s">
        <v>7</v>
      </c>
      <c r="H30" s="80">
        <v>0.220870814871235</v>
      </c>
      <c r="I30" s="59">
        <f>'Production Factor Adj'!V30</f>
        <v>-301.13703550156788</v>
      </c>
      <c r="J30" s="79" t="s">
        <v>78</v>
      </c>
    </row>
    <row r="31" spans="1:10" ht="12" customHeight="1">
      <c r="A31" s="57"/>
      <c r="B31" s="82" t="s">
        <v>54</v>
      </c>
      <c r="C31" s="57"/>
      <c r="D31" s="84">
        <v>501</v>
      </c>
      <c r="E31" s="58">
        <v>3</v>
      </c>
      <c r="F31" s="59">
        <f t="shared" si="3"/>
        <v>-1280.8811230191793</v>
      </c>
      <c r="G31" s="53" t="s">
        <v>55</v>
      </c>
      <c r="H31" s="80">
        <v>0.21357456916688267</v>
      </c>
      <c r="I31" s="59">
        <f>'Production Factor Adj'!V31</f>
        <v>-273.56363400281407</v>
      </c>
      <c r="J31" s="79" t="s">
        <v>78</v>
      </c>
    </row>
    <row r="32" spans="1:10" ht="12" customHeight="1">
      <c r="A32" s="57"/>
      <c r="B32" s="82" t="s">
        <v>56</v>
      </c>
      <c r="C32" s="57"/>
      <c r="D32" s="84">
        <v>512</v>
      </c>
      <c r="E32" s="58">
        <v>3</v>
      </c>
      <c r="F32" s="59">
        <f t="shared" si="3"/>
        <v>-81.268378033080864</v>
      </c>
      <c r="G32" s="53" t="s">
        <v>26</v>
      </c>
      <c r="H32" s="80">
        <v>8.2916446129532903E-2</v>
      </c>
      <c r="I32" s="59">
        <f>'Production Factor Adj'!V32</f>
        <v>-6.7384850892144641</v>
      </c>
      <c r="J32" s="79" t="s">
        <v>78</v>
      </c>
    </row>
    <row r="33" spans="1:10" ht="12" customHeight="1">
      <c r="A33" s="57"/>
      <c r="B33" s="82" t="s">
        <v>56</v>
      </c>
      <c r="C33" s="57"/>
      <c r="D33" s="84">
        <v>512</v>
      </c>
      <c r="E33" s="58">
        <v>3</v>
      </c>
      <c r="F33" s="59">
        <f t="shared" si="3"/>
        <v>-10932.838924171359</v>
      </c>
      <c r="G33" s="53" t="s">
        <v>7</v>
      </c>
      <c r="H33" s="80">
        <v>0.220870814871235</v>
      </c>
      <c r="I33" s="59">
        <f>'Production Factor Adj'!V33</f>
        <v>-2414.7450420376845</v>
      </c>
      <c r="J33" s="79" t="s">
        <v>78</v>
      </c>
    </row>
    <row r="34" spans="1:10" ht="12" customHeight="1">
      <c r="A34" s="57"/>
      <c r="B34" s="82" t="s">
        <v>56</v>
      </c>
      <c r="C34" s="57"/>
      <c r="D34" s="84">
        <v>512</v>
      </c>
      <c r="E34" s="58">
        <v>3</v>
      </c>
      <c r="F34" s="59">
        <f t="shared" si="3"/>
        <v>-90846.734765802626</v>
      </c>
      <c r="G34" s="53" t="s">
        <v>46</v>
      </c>
      <c r="H34" s="80">
        <v>0.21181511146151435</v>
      </c>
      <c r="I34" s="59">
        <f>'Production Factor Adj'!V34</f>
        <v>-19242.711250333115</v>
      </c>
      <c r="J34" s="79" t="s">
        <v>78</v>
      </c>
    </row>
    <row r="35" spans="1:10" ht="12" customHeight="1">
      <c r="A35" s="57"/>
      <c r="B35" s="82" t="s">
        <v>2</v>
      </c>
      <c r="C35" s="57"/>
      <c r="D35" s="84">
        <v>539</v>
      </c>
      <c r="E35" s="58">
        <v>3</v>
      </c>
      <c r="F35" s="59">
        <f t="shared" si="3"/>
        <v>-51031.233847071759</v>
      </c>
      <c r="G35" s="53" t="s">
        <v>7</v>
      </c>
      <c r="H35" s="60">
        <v>0.220870814871235</v>
      </c>
      <c r="I35" s="59">
        <f>'Production Factor Adj'!V35</f>
        <v>-11271.310203687288</v>
      </c>
      <c r="J35" s="79" t="s">
        <v>78</v>
      </c>
    </row>
    <row r="36" spans="1:10" ht="12" customHeight="1">
      <c r="B36" s="82" t="s">
        <v>57</v>
      </c>
      <c r="C36" s="57"/>
      <c r="D36" s="84">
        <v>549</v>
      </c>
      <c r="E36" s="58">
        <v>3</v>
      </c>
      <c r="F36" s="59">
        <f t="shared" si="3"/>
        <v>-2454.3200229143768</v>
      </c>
      <c r="G36" s="53" t="s">
        <v>26</v>
      </c>
      <c r="H36" s="60">
        <v>8.2916446129532903E-2</v>
      </c>
      <c r="I36" s="59">
        <f>'Production Factor Adj'!V36</f>
        <v>-203.50349396461388</v>
      </c>
      <c r="J36" s="79" t="s">
        <v>78</v>
      </c>
    </row>
    <row r="37" spans="1:10" ht="12" customHeight="1">
      <c r="B37" s="82" t="s">
        <v>57</v>
      </c>
      <c r="C37" s="57"/>
      <c r="D37" s="84">
        <v>549</v>
      </c>
      <c r="E37" s="58">
        <v>3</v>
      </c>
      <c r="F37" s="59">
        <f t="shared" si="3"/>
        <v>-42886.572869235097</v>
      </c>
      <c r="G37" s="53" t="s">
        <v>7</v>
      </c>
      <c r="H37" s="60">
        <v>0.220870814871235</v>
      </c>
      <c r="I37" s="59">
        <f>'Production Factor Adj'!V37</f>
        <v>-9472.3922966625541</v>
      </c>
      <c r="J37" s="79" t="s">
        <v>78</v>
      </c>
    </row>
    <row r="38" spans="1:10" ht="12" customHeight="1">
      <c r="B38" s="82" t="s">
        <v>58</v>
      </c>
      <c r="C38" s="57"/>
      <c r="D38" s="84">
        <v>556</v>
      </c>
      <c r="E38" s="58">
        <v>3</v>
      </c>
      <c r="F38" s="59">
        <f t="shared" si="3"/>
        <v>-2677.0520014804106</v>
      </c>
      <c r="G38" s="53" t="s">
        <v>26</v>
      </c>
      <c r="H38" s="60">
        <v>8.2916446129532903E-2</v>
      </c>
      <c r="I38" s="59">
        <f>'Production Factor Adj'!V38</f>
        <v>-221.97163806670869</v>
      </c>
      <c r="J38" s="79" t="s">
        <v>78</v>
      </c>
    </row>
    <row r="39" spans="1:10" ht="12" customHeight="1">
      <c r="B39" s="82" t="s">
        <v>59</v>
      </c>
      <c r="C39" s="57"/>
      <c r="D39" s="84">
        <v>557</v>
      </c>
      <c r="E39" s="58">
        <v>3</v>
      </c>
      <c r="F39" s="59">
        <f>I39</f>
        <v>171.47397684041061</v>
      </c>
      <c r="G39" s="53" t="s">
        <v>10</v>
      </c>
      <c r="H39" s="60" t="s">
        <v>86</v>
      </c>
      <c r="I39" s="59">
        <f>'Production Factor Adj'!V39</f>
        <v>171.47397684041061</v>
      </c>
      <c r="J39" s="79" t="s">
        <v>78</v>
      </c>
    </row>
    <row r="40" spans="1:10" ht="12" customHeight="1">
      <c r="B40" s="82" t="s">
        <v>59</v>
      </c>
      <c r="C40" s="57"/>
      <c r="D40" s="84">
        <v>557</v>
      </c>
      <c r="E40" s="58">
        <v>3</v>
      </c>
      <c r="F40" s="59">
        <f t="shared" si="3"/>
        <v>-53259.690818411291</v>
      </c>
      <c r="G40" s="53" t="s">
        <v>26</v>
      </c>
      <c r="H40" s="60">
        <v>8.2916446129532903E-2</v>
      </c>
      <c r="I40" s="59">
        <f>'Production Factor Adj'!V40</f>
        <v>-4416.1042846203782</v>
      </c>
      <c r="J40" s="79" t="s">
        <v>78</v>
      </c>
    </row>
    <row r="41" spans="1:10" ht="12" customHeight="1">
      <c r="B41" s="82" t="s">
        <v>59</v>
      </c>
      <c r="C41" s="57"/>
      <c r="D41" s="84">
        <v>557</v>
      </c>
      <c r="E41" s="58">
        <v>3</v>
      </c>
      <c r="F41" s="59">
        <f t="shared" si="3"/>
        <v>-296.21406900079927</v>
      </c>
      <c r="G41" s="53" t="s">
        <v>7</v>
      </c>
      <c r="H41" s="60">
        <v>0.220870814871235</v>
      </c>
      <c r="I41" s="59">
        <f>'Production Factor Adj'!V41</f>
        <v>-65.425042796530761</v>
      </c>
      <c r="J41" s="79" t="s">
        <v>78</v>
      </c>
    </row>
    <row r="42" spans="1:10" ht="12" customHeight="1">
      <c r="B42" s="82" t="s">
        <v>59</v>
      </c>
      <c r="C42" s="57"/>
      <c r="D42" s="84">
        <v>557</v>
      </c>
      <c r="E42" s="58">
        <v>3</v>
      </c>
      <c r="F42" s="59">
        <f t="shared" si="3"/>
        <v>-4220.5180572615218</v>
      </c>
      <c r="G42" s="53" t="s">
        <v>46</v>
      </c>
      <c r="H42" s="60">
        <v>0.21181511146151435</v>
      </c>
      <c r="I42" s="59">
        <f>'Production Factor Adj'!V42</f>
        <v>-893.96950272418326</v>
      </c>
      <c r="J42" s="79" t="s">
        <v>78</v>
      </c>
    </row>
    <row r="43" spans="1:10" ht="12" customHeight="1">
      <c r="B43" s="82"/>
      <c r="C43" s="57"/>
      <c r="D43" s="53"/>
      <c r="E43" s="58"/>
      <c r="F43" s="85">
        <f>SUM(F29:F42)</f>
        <v>-261213.1002427871</v>
      </c>
      <c r="G43" s="53"/>
      <c r="H43" s="60"/>
      <c r="I43" s="85">
        <f>SUM(I29:I42)</f>
        <v>-48616.346184935617</v>
      </c>
      <c r="J43" s="54"/>
    </row>
    <row r="44" spans="1:10" ht="12" customHeight="1">
      <c r="C44" s="57"/>
      <c r="D44" s="53"/>
      <c r="E44" s="58"/>
      <c r="F44" s="59"/>
      <c r="G44" s="53"/>
      <c r="H44" s="60"/>
      <c r="I44" s="63"/>
      <c r="J44" s="54"/>
    </row>
    <row r="45" spans="1:10" ht="12" customHeight="1">
      <c r="B45" s="25" t="s">
        <v>39</v>
      </c>
      <c r="C45" s="57"/>
      <c r="D45" s="53"/>
      <c r="E45" s="58"/>
      <c r="F45" s="59"/>
      <c r="G45" s="53"/>
      <c r="H45" s="60"/>
      <c r="I45" s="63"/>
      <c r="J45" s="54"/>
    </row>
    <row r="46" spans="1:10" ht="12" customHeight="1">
      <c r="B46" s="46" t="s">
        <v>13</v>
      </c>
      <c r="C46" s="57"/>
      <c r="D46" s="53" t="s">
        <v>40</v>
      </c>
      <c r="E46" s="58">
        <v>3</v>
      </c>
      <c r="F46" s="59">
        <f t="shared" ref="F46:F52" si="4">I46/H46</f>
        <v>-312442.63266231568</v>
      </c>
      <c r="G46" s="53" t="s">
        <v>7</v>
      </c>
      <c r="H46" s="60">
        <v>0.220870814871235</v>
      </c>
      <c r="I46" s="59">
        <f>'Production Factor Adj'!V46</f>
        <v>-69009.458876639605</v>
      </c>
      <c r="J46" s="79" t="s">
        <v>78</v>
      </c>
    </row>
    <row r="47" spans="1:10" ht="12" customHeight="1">
      <c r="B47" s="46" t="s">
        <v>8</v>
      </c>
      <c r="C47" s="57"/>
      <c r="D47" s="53" t="s">
        <v>41</v>
      </c>
      <c r="E47" s="58">
        <v>3</v>
      </c>
      <c r="F47" s="59">
        <f t="shared" si="4"/>
        <v>-533259.59334207978</v>
      </c>
      <c r="G47" s="53" t="s">
        <v>7</v>
      </c>
      <c r="H47" s="60">
        <v>0.220870814871235</v>
      </c>
      <c r="I47" s="59">
        <f>'Production Factor Adj'!V47</f>
        <v>-117781.48091936857</v>
      </c>
      <c r="J47" s="79" t="s">
        <v>78</v>
      </c>
    </row>
    <row r="48" spans="1:10" ht="12" customHeight="1">
      <c r="B48" s="46" t="s">
        <v>8</v>
      </c>
      <c r="C48" s="57"/>
      <c r="D48" s="53" t="s">
        <v>41</v>
      </c>
      <c r="E48" s="58">
        <v>3</v>
      </c>
      <c r="F48" s="59">
        <f t="shared" si="4"/>
        <v>-14051.321701461105</v>
      </c>
      <c r="G48" s="53" t="s">
        <v>9</v>
      </c>
      <c r="H48" s="60">
        <v>0.22270549443887661</v>
      </c>
      <c r="I48" s="59">
        <f>'Production Factor Adj'!V48</f>
        <v>-3129.3065470436122</v>
      </c>
      <c r="J48" s="79" t="s">
        <v>78</v>
      </c>
    </row>
    <row r="49" spans="2:10" ht="12" customHeight="1">
      <c r="B49" s="46" t="s">
        <v>8</v>
      </c>
      <c r="C49" s="57"/>
      <c r="D49" s="53" t="s">
        <v>41</v>
      </c>
      <c r="E49" s="58">
        <v>3</v>
      </c>
      <c r="F49" s="59">
        <f>I49</f>
        <v>-5399.1450573368929</v>
      </c>
      <c r="G49" s="53" t="s">
        <v>10</v>
      </c>
      <c r="H49" s="60" t="s">
        <v>86</v>
      </c>
      <c r="I49" s="59">
        <f>'Production Factor Adj'!V49</f>
        <v>-5399.1450573368929</v>
      </c>
      <c r="J49" s="79" t="s">
        <v>78</v>
      </c>
    </row>
    <row r="50" spans="2:10" ht="12" customHeight="1">
      <c r="B50" s="46" t="s">
        <v>11</v>
      </c>
      <c r="C50" s="57"/>
      <c r="D50" s="53" t="s">
        <v>42</v>
      </c>
      <c r="E50" s="58">
        <v>3</v>
      </c>
      <c r="F50" s="59">
        <f t="shared" si="4"/>
        <v>-190148.84309237119</v>
      </c>
      <c r="G50" s="53" t="s">
        <v>7</v>
      </c>
      <c r="H50" s="60">
        <v>0.220870814871235</v>
      </c>
      <c r="I50" s="59">
        <f>'Production Factor Adj'!V50</f>
        <v>-41998.329920634627</v>
      </c>
      <c r="J50" s="79" t="s">
        <v>78</v>
      </c>
    </row>
    <row r="51" spans="2:10" ht="12" customHeight="1">
      <c r="B51" s="46" t="s">
        <v>12</v>
      </c>
      <c r="C51" s="57"/>
      <c r="D51" s="53" t="s">
        <v>43</v>
      </c>
      <c r="E51" s="58">
        <v>3</v>
      </c>
      <c r="F51" s="59">
        <f t="shared" si="4"/>
        <v>-307497.72508169321</v>
      </c>
      <c r="G51" s="53" t="s">
        <v>9</v>
      </c>
      <c r="H51" s="60">
        <v>0.22270549443887661</v>
      </c>
      <c r="I51" s="59">
        <f>'Production Factor Adj'!V51</f>
        <v>-68481.432903148234</v>
      </c>
      <c r="J51" s="79" t="s">
        <v>78</v>
      </c>
    </row>
    <row r="52" spans="2:10" ht="12" customHeight="1">
      <c r="B52" s="46" t="s">
        <v>12</v>
      </c>
      <c r="C52" s="57"/>
      <c r="D52" s="53" t="s">
        <v>44</v>
      </c>
      <c r="E52" s="58">
        <v>3</v>
      </c>
      <c r="F52" s="59">
        <f t="shared" si="4"/>
        <v>-269500.3482778683</v>
      </c>
      <c r="G52" s="53" t="s">
        <v>9</v>
      </c>
      <c r="H52" s="60">
        <v>0.22270549443887661</v>
      </c>
      <c r="I52" s="59">
        <f>'Production Factor Adj'!V52</f>
        <v>-60019.208314672112</v>
      </c>
      <c r="J52" s="79" t="s">
        <v>78</v>
      </c>
    </row>
    <row r="53" spans="2:10" ht="12" customHeight="1">
      <c r="B53" s="82"/>
      <c r="C53" s="57"/>
      <c r="D53" s="82"/>
      <c r="E53" s="58"/>
      <c r="F53" s="87">
        <f>SUM(F47:F52)-F46</f>
        <v>-1007414.3438904947</v>
      </c>
      <c r="G53" s="82"/>
      <c r="H53" s="60"/>
      <c r="I53" s="87">
        <f>SUM(I47:I52)-I46</f>
        <v>-227799.44478556444</v>
      </c>
      <c r="J53" s="54"/>
    </row>
    <row r="54" spans="2:10" ht="12" customHeight="1">
      <c r="C54" s="57"/>
      <c r="D54" s="53"/>
      <c r="E54" s="58"/>
      <c r="F54" s="59"/>
      <c r="G54" s="53"/>
      <c r="H54" s="60"/>
      <c r="I54" s="63"/>
      <c r="J54" s="54"/>
    </row>
    <row r="55" spans="2:10" ht="12" customHeight="1">
      <c r="B55" s="25" t="s">
        <v>37</v>
      </c>
      <c r="C55" s="57"/>
      <c r="D55" s="53"/>
      <c r="E55" s="58"/>
      <c r="F55" s="59"/>
      <c r="G55" s="53"/>
      <c r="H55" s="60"/>
      <c r="I55" s="63"/>
      <c r="J55" s="54"/>
    </row>
    <row r="56" spans="2:10" ht="12" customHeight="1">
      <c r="B56" s="46" t="s">
        <v>36</v>
      </c>
      <c r="C56" s="57"/>
      <c r="D56" s="53">
        <v>456</v>
      </c>
      <c r="E56" s="58">
        <v>3</v>
      </c>
      <c r="F56" s="59">
        <f>I56/H56</f>
        <v>-9432.2552117233863</v>
      </c>
      <c r="G56" s="53" t="s">
        <v>7</v>
      </c>
      <c r="H56" s="60">
        <v>0.220870814871235</v>
      </c>
      <c r="I56" s="59">
        <f>'Production Factor Adj'!V56</f>
        <v>-2083.3098946867976</v>
      </c>
      <c r="J56" s="79" t="s">
        <v>78</v>
      </c>
    </row>
    <row r="57" spans="2:10" ht="12" customHeight="1">
      <c r="C57" s="57"/>
      <c r="D57" s="53"/>
      <c r="E57" s="58"/>
      <c r="F57" s="59"/>
      <c r="G57" s="53"/>
      <c r="H57" s="60"/>
      <c r="I57" s="63"/>
      <c r="J57" s="54"/>
    </row>
    <row r="58" spans="2:10" ht="12" customHeight="1">
      <c r="B58" s="25" t="s">
        <v>38</v>
      </c>
      <c r="C58" s="57"/>
      <c r="D58" s="53"/>
      <c r="E58" s="58"/>
      <c r="F58" s="59"/>
      <c r="G58" s="53"/>
      <c r="H58" s="60"/>
      <c r="I58" s="63"/>
      <c r="J58" s="54"/>
    </row>
    <row r="59" spans="2:10" ht="12" customHeight="1">
      <c r="B59" s="46" t="s">
        <v>81</v>
      </c>
      <c r="C59" s="57"/>
      <c r="D59" s="53">
        <v>399</v>
      </c>
      <c r="E59" s="58">
        <v>3</v>
      </c>
      <c r="F59" s="59">
        <f t="shared" ref="F59:F63" si="5">I59/H59</f>
        <v>-443737.56229621905</v>
      </c>
      <c r="G59" s="53" t="s">
        <v>55</v>
      </c>
      <c r="H59" s="60">
        <v>0.21357456916688267</v>
      </c>
      <c r="I59" s="59">
        <f>'Production Factor Adj'!V59</f>
        <v>-94771.058690577745</v>
      </c>
      <c r="J59" s="79" t="s">
        <v>78</v>
      </c>
    </row>
    <row r="60" spans="2:10" ht="12" customHeight="1">
      <c r="B60" s="46" t="s">
        <v>82</v>
      </c>
      <c r="C60" s="57"/>
      <c r="D60" s="53">
        <v>154</v>
      </c>
      <c r="E60" s="58">
        <v>3</v>
      </c>
      <c r="F60" s="59">
        <f t="shared" si="5"/>
        <v>-16599.591283888574</v>
      </c>
      <c r="G60" s="53" t="s">
        <v>55</v>
      </c>
      <c r="H60" s="60">
        <v>0.21357456916688267</v>
      </c>
      <c r="I60" s="59">
        <f>'Production Factor Adj'!V60</f>
        <v>-3545.2505568028428</v>
      </c>
      <c r="J60" s="79" t="s">
        <v>78</v>
      </c>
    </row>
    <row r="61" spans="2:10" ht="12" customHeight="1">
      <c r="B61" s="46" t="s">
        <v>83</v>
      </c>
      <c r="C61" s="57"/>
      <c r="D61" s="53">
        <v>151</v>
      </c>
      <c r="E61" s="58">
        <v>3</v>
      </c>
      <c r="F61" s="59">
        <f t="shared" si="5"/>
        <v>-16834.101565984263</v>
      </c>
      <c r="G61" s="53" t="s">
        <v>55</v>
      </c>
      <c r="H61" s="60">
        <v>0.21357456916688267</v>
      </c>
      <c r="I61" s="59">
        <f>'Production Factor Adj'!V61</f>
        <v>-3595.335989266634</v>
      </c>
      <c r="J61" s="79" t="s">
        <v>78</v>
      </c>
    </row>
    <row r="62" spans="2:10" ht="12" customHeight="1">
      <c r="B62" s="46" t="s">
        <v>84</v>
      </c>
      <c r="C62" s="57"/>
      <c r="D62" s="53" t="s">
        <v>76</v>
      </c>
      <c r="E62" s="58">
        <v>3</v>
      </c>
      <c r="F62" s="59">
        <f t="shared" si="5"/>
        <v>-4256.1600508630227</v>
      </c>
      <c r="G62" s="53" t="s">
        <v>55</v>
      </c>
      <c r="H62" s="60">
        <v>0.21357456916688267</v>
      </c>
      <c r="I62" s="59">
        <f>'Production Factor Adj'!V62</f>
        <v>-909.0075491683674</v>
      </c>
      <c r="J62" s="79" t="s">
        <v>78</v>
      </c>
    </row>
    <row r="63" spans="2:10" ht="12" customHeight="1">
      <c r="B63" s="46" t="s">
        <v>85</v>
      </c>
      <c r="C63" s="57"/>
      <c r="D63" s="53" t="s">
        <v>75</v>
      </c>
      <c r="E63" s="58">
        <v>3</v>
      </c>
      <c r="F63" s="59">
        <f t="shared" si="5"/>
        <v>194082.73061248678</v>
      </c>
      <c r="G63" s="53" t="s">
        <v>55</v>
      </c>
      <c r="H63" s="60">
        <v>0.21357456916688267</v>
      </c>
      <c r="I63" s="59">
        <f>'Production Factor Adj'!V63</f>
        <v>41451.135573294014</v>
      </c>
      <c r="J63" s="79" t="s">
        <v>78</v>
      </c>
    </row>
    <row r="64" spans="2:10" ht="12" customHeight="1">
      <c r="C64" s="57"/>
      <c r="D64" s="53"/>
      <c r="E64" s="58"/>
      <c r="F64" s="85">
        <f>SUM(F59:F63)</f>
        <v>-287344.68458446814</v>
      </c>
      <c r="G64" s="53"/>
      <c r="H64" s="60"/>
      <c r="I64" s="85">
        <f>SUM(I59:I63)</f>
        <v>-61369.517212521576</v>
      </c>
      <c r="J64" s="79"/>
    </row>
    <row r="65" spans="1:10" ht="12" customHeight="1">
      <c r="C65" s="57"/>
      <c r="D65" s="53"/>
      <c r="E65" s="58"/>
      <c r="F65" s="59"/>
      <c r="G65" s="53"/>
      <c r="H65" s="60"/>
      <c r="I65" s="63"/>
      <c r="J65" s="54"/>
    </row>
    <row r="66" spans="1:10" ht="12" customHeight="1">
      <c r="B66" s="25" t="s">
        <v>60</v>
      </c>
      <c r="C66" s="57"/>
      <c r="D66" s="53"/>
      <c r="E66" s="58"/>
      <c r="F66" s="59"/>
      <c r="G66" s="53"/>
      <c r="H66" s="60"/>
      <c r="I66" s="63"/>
      <c r="J66" s="79"/>
    </row>
    <row r="67" spans="1:10" ht="12" customHeight="1">
      <c r="B67" s="46" t="s">
        <v>61</v>
      </c>
      <c r="C67" s="57"/>
      <c r="D67" s="53">
        <v>4118</v>
      </c>
      <c r="E67" s="58">
        <v>3</v>
      </c>
      <c r="F67" s="59">
        <f>I67</f>
        <v>949.34683399333153</v>
      </c>
      <c r="G67" s="53" t="s">
        <v>10</v>
      </c>
      <c r="H67" s="60" t="s">
        <v>86</v>
      </c>
      <c r="I67" s="63">
        <f>'Production Factor Adj'!V67</f>
        <v>949.34683399333153</v>
      </c>
      <c r="J67" s="79" t="s">
        <v>78</v>
      </c>
    </row>
    <row r="68" spans="1:10" ht="12" customHeight="1">
      <c r="B68" s="46" t="s">
        <v>63</v>
      </c>
      <c r="C68" s="57"/>
      <c r="D68" s="53">
        <v>25398</v>
      </c>
      <c r="E68" s="58">
        <v>3</v>
      </c>
      <c r="F68" s="59">
        <f>I68</f>
        <v>7456.7769102435559</v>
      </c>
      <c r="G68" s="53" t="s">
        <v>10</v>
      </c>
      <c r="H68" s="60" t="s">
        <v>86</v>
      </c>
      <c r="I68" s="63">
        <f>'Production Factor Adj'!V68</f>
        <v>7456.7769102435559</v>
      </c>
      <c r="J68" s="79" t="s">
        <v>78</v>
      </c>
    </row>
    <row r="69" spans="1:10" ht="12" customHeight="1">
      <c r="A69" s="57"/>
      <c r="B69" s="3"/>
      <c r="C69" s="57"/>
      <c r="D69" s="53"/>
      <c r="E69" s="58"/>
      <c r="F69" s="59"/>
      <c r="G69" s="53"/>
      <c r="H69" s="60"/>
      <c r="I69" s="63"/>
      <c r="J69" s="54"/>
    </row>
    <row r="70" spans="1:10" ht="12" customHeight="1">
      <c r="A70" s="57"/>
      <c r="B70" s="25" t="s">
        <v>62</v>
      </c>
      <c r="C70" s="57"/>
      <c r="D70" s="53"/>
      <c r="E70" s="58"/>
      <c r="F70" s="59"/>
      <c r="G70" s="53"/>
      <c r="H70" s="60"/>
      <c r="I70" s="63"/>
      <c r="J70" s="54"/>
    </row>
    <row r="71" spans="1:10" ht="12" customHeight="1">
      <c r="A71" s="57"/>
      <c r="B71" s="46" t="s">
        <v>36</v>
      </c>
      <c r="C71" s="57"/>
      <c r="D71" s="53">
        <v>456</v>
      </c>
      <c r="E71" s="58">
        <v>3</v>
      </c>
      <c r="F71" s="59">
        <f>I71/H71</f>
        <v>89786.105711089782</v>
      </c>
      <c r="G71" s="53" t="s">
        <v>26</v>
      </c>
      <c r="H71" s="60">
        <v>8.2916446129532903E-2</v>
      </c>
      <c r="I71" s="59">
        <f>'Production Factor Adj'!V71</f>
        <v>7444.7447973741218</v>
      </c>
      <c r="J71" s="79" t="s">
        <v>78</v>
      </c>
    </row>
    <row r="72" spans="1:10" ht="12" customHeight="1">
      <c r="A72" s="57"/>
      <c r="B72" s="64"/>
      <c r="C72" s="57"/>
      <c r="D72" s="58"/>
      <c r="E72" s="58"/>
      <c r="F72" s="59"/>
      <c r="G72" s="58"/>
      <c r="H72" s="60"/>
      <c r="I72" s="63"/>
      <c r="J72" s="54"/>
    </row>
    <row r="73" spans="1:10" ht="12" customHeight="1" thickBot="1">
      <c r="A73" s="57"/>
      <c r="B73" s="65" t="s">
        <v>74</v>
      </c>
      <c r="C73" s="57"/>
      <c r="D73" s="58"/>
      <c r="E73" s="58"/>
      <c r="F73" s="66"/>
      <c r="G73" s="58"/>
      <c r="H73" s="58"/>
      <c r="I73" s="58"/>
      <c r="J73" s="54"/>
    </row>
    <row r="74" spans="1:10" ht="12" customHeight="1">
      <c r="A74" s="67"/>
      <c r="B74" s="68"/>
      <c r="C74" s="68"/>
      <c r="D74" s="69"/>
      <c r="E74" s="69"/>
      <c r="F74" s="69"/>
      <c r="G74" s="69"/>
      <c r="H74" s="69"/>
      <c r="I74" s="69"/>
      <c r="J74" s="70"/>
    </row>
    <row r="75" spans="1:10" ht="12" customHeight="1">
      <c r="A75" s="71"/>
      <c r="B75" s="72"/>
      <c r="C75" s="57"/>
      <c r="D75" s="58"/>
      <c r="E75" s="58"/>
      <c r="F75" s="58"/>
      <c r="G75" s="58"/>
      <c r="H75" s="58"/>
      <c r="I75" s="58"/>
      <c r="J75" s="73"/>
    </row>
    <row r="76" spans="1:10" ht="12" customHeight="1">
      <c r="A76" s="71"/>
      <c r="B76" s="72"/>
      <c r="C76" s="57"/>
      <c r="D76" s="58"/>
      <c r="E76" s="58"/>
      <c r="F76" s="58"/>
      <c r="G76" s="58"/>
      <c r="H76" s="58"/>
      <c r="I76" s="58"/>
      <c r="J76" s="73"/>
    </row>
    <row r="77" spans="1:10" ht="12" customHeight="1">
      <c r="A77" s="71"/>
      <c r="B77" s="72"/>
      <c r="C77" s="57"/>
      <c r="D77" s="58"/>
      <c r="E77" s="58"/>
      <c r="F77" s="58"/>
      <c r="G77" s="58"/>
      <c r="H77" s="58"/>
      <c r="I77" s="58"/>
      <c r="J77" s="73"/>
    </row>
    <row r="78" spans="1:10" ht="12" customHeight="1">
      <c r="A78" s="71"/>
      <c r="B78" s="72"/>
      <c r="C78" s="57"/>
      <c r="D78" s="58"/>
      <c r="E78" s="58"/>
      <c r="F78" s="58"/>
      <c r="G78" s="58"/>
      <c r="H78" s="58"/>
      <c r="I78" s="58"/>
      <c r="J78" s="73"/>
    </row>
    <row r="79" spans="1:10" ht="12" customHeight="1">
      <c r="A79" s="71"/>
      <c r="B79" s="72"/>
      <c r="C79" s="57"/>
      <c r="D79" s="58"/>
      <c r="E79" s="58"/>
      <c r="F79" s="74"/>
      <c r="G79" s="58"/>
      <c r="H79" s="58"/>
      <c r="I79" s="58"/>
      <c r="J79" s="73"/>
    </row>
    <row r="80" spans="1:10" ht="12" customHeight="1">
      <c r="A80" s="71"/>
      <c r="B80" s="72"/>
      <c r="C80" s="57"/>
      <c r="D80" s="58"/>
      <c r="E80" s="58"/>
      <c r="F80" s="58"/>
      <c r="G80" s="58"/>
      <c r="H80" s="58"/>
      <c r="I80" s="58"/>
      <c r="J80" s="73"/>
    </row>
    <row r="81" spans="1:10" ht="12" customHeight="1">
      <c r="A81" s="71"/>
      <c r="B81" s="72"/>
      <c r="C81" s="57"/>
      <c r="D81" s="58"/>
      <c r="E81" s="58"/>
      <c r="F81" s="58"/>
      <c r="G81" s="58"/>
      <c r="H81" s="58"/>
      <c r="I81" s="58"/>
      <c r="J81" s="73"/>
    </row>
    <row r="82" spans="1:10" ht="12" customHeight="1" thickBot="1">
      <c r="A82" s="75"/>
      <c r="B82" s="76"/>
      <c r="C82" s="76"/>
      <c r="D82" s="77"/>
      <c r="E82" s="77"/>
      <c r="F82" s="77"/>
      <c r="G82" s="77"/>
      <c r="H82" s="77"/>
      <c r="I82" s="77"/>
      <c r="J82" s="78"/>
    </row>
    <row r="83" spans="1:10" ht="12" customHeight="1"/>
  </sheetData>
  <conditionalFormatting sqref="B24:B26 B28 B8:B9 B14:B21">
    <cfRule type="cellIs" dxfId="4" priority="4" stopIfTrue="1" operator="equal">
      <formula>"Title"</formula>
    </cfRule>
  </conditionalFormatting>
  <conditionalFormatting sqref="B23 B27 B13">
    <cfRule type="cellIs" dxfId="3" priority="3" stopIfTrue="1" operator="equal">
      <formula>"Adjustment to Income/Expense/Rate Base:"</formula>
    </cfRule>
  </conditionalFormatting>
  <conditionalFormatting sqref="J1">
    <cfRule type="cellIs" dxfId="2" priority="2" stopIfTrue="1" operator="equal">
      <formula>"x.x"</formula>
    </cfRule>
  </conditionalFormatting>
  <conditionalFormatting sqref="I6">
    <cfRule type="cellIs" dxfId="1" priority="1" stopIfTrue="1" operator="equal">
      <formula>"Update"</formula>
    </cfRule>
  </conditionalFormatting>
  <dataValidations count="6">
    <dataValidation type="list" errorStyle="warning" allowBlank="1" showInputMessage="1" showErrorMessage="1" errorTitle="Factor" error="This factor is not included in the drop-down list. Is this the factor you want to use?" sqref="G28">
      <formula1>#REF!</formula1>
    </dataValidation>
    <dataValidation type="list" errorStyle="warning" allowBlank="1" showInputMessage="1" showErrorMessage="1" errorTitle="FERC ACCOUNT" error="This FERC Account is not included in the drop-down list. Is this the account you want to use?" sqref="D28">
      <formula1>#REF!</formula1>
    </dataValidation>
    <dataValidation type="list" errorStyle="warning" allowBlank="1" showInputMessage="1" showErrorMessage="1" errorTitle="FERC ACCOUNT" error="This FERC Account is not included in the drop-down list. Is this the account you want to use?" sqref="D8:D10 D29:D72 D13:D21 D24:D25">
      <formula1>#REF!</formula1>
    </dataValidation>
    <dataValidation type="list" errorStyle="warning" allowBlank="1" showInputMessage="1" showErrorMessage="1" errorTitle="Factor" error="This factor is not included in the drop-down list. Is this the factor you want to use?" sqref="G24:G26 G29:G72 G8:G10 G13:G21">
      <formula1>#REF!</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23:E26 E28:E72 E8:E21">
      <formula1>"1, 2, 3"</formula1>
    </dataValidation>
    <dataValidation type="list" allowBlank="1" showInputMessage="1" showErrorMessage="1" errorTitle="Oops!" error="You must enter a state, or, if the adjustment is system, enter all states." sqref="I6">
      <formula1>#REF!</formula1>
    </dataValidation>
  </dataValidations>
  <pageMargins left="0.7" right="0.7" top="0.75" bottom="0.42" header="0.3" footer="0.3"/>
  <pageSetup scale="72" orientation="portrait" r:id="rId1"/>
  <drawing r:id="rId2"/>
</worksheet>
</file>

<file path=xl/worksheets/sheet2.xml><?xml version="1.0" encoding="utf-8"?>
<worksheet xmlns="http://schemas.openxmlformats.org/spreadsheetml/2006/main" xmlns:r="http://schemas.openxmlformats.org/officeDocument/2006/relationships">
  <dimension ref="A1:X79"/>
  <sheetViews>
    <sheetView topLeftCell="A4" zoomScaleNormal="100" workbookViewId="0">
      <selection activeCell="N2" sqref="N2"/>
    </sheetView>
  </sheetViews>
  <sheetFormatPr defaultRowHeight="12"/>
  <cols>
    <col min="1" max="1" width="23.5703125" style="3" customWidth="1"/>
    <col min="2" max="2" width="9.28515625" style="12" customWidth="1"/>
    <col min="3" max="3" width="10.140625" style="12" customWidth="1"/>
    <col min="4" max="4" width="12.7109375" style="3" customWidth="1"/>
    <col min="5" max="15" width="11.7109375" style="3" customWidth="1"/>
    <col min="16" max="16" width="12" style="3" customWidth="1"/>
    <col min="17" max="18" width="11.7109375" style="3" customWidth="1"/>
    <col min="19" max="22" width="12.7109375" style="3" customWidth="1"/>
    <col min="23" max="23" width="7.42578125" style="12" customWidth="1"/>
    <col min="24" max="24" width="15.85546875" style="3" customWidth="1"/>
    <col min="25" max="16384" width="9.140625" style="3"/>
  </cols>
  <sheetData>
    <row r="1" spans="1:24">
      <c r="A1" s="16" t="s">
        <v>18</v>
      </c>
      <c r="D1" s="22"/>
      <c r="E1" s="22"/>
      <c r="F1" s="22"/>
      <c r="G1" s="22"/>
      <c r="H1" s="22"/>
      <c r="I1" s="22"/>
      <c r="J1" s="22"/>
      <c r="K1" s="22"/>
      <c r="L1" s="22"/>
      <c r="M1" s="22"/>
      <c r="N1" s="22"/>
      <c r="O1" s="22"/>
      <c r="P1" s="22"/>
      <c r="Q1" s="22"/>
      <c r="R1" s="22"/>
      <c r="S1" s="22"/>
      <c r="T1" s="22"/>
      <c r="U1" s="22"/>
      <c r="V1" s="44"/>
      <c r="W1" s="52"/>
    </row>
    <row r="2" spans="1:24">
      <c r="A2" s="16" t="s">
        <v>34</v>
      </c>
      <c r="D2" s="22"/>
      <c r="E2" s="22"/>
      <c r="F2" s="22"/>
      <c r="G2" s="22"/>
      <c r="H2" s="22"/>
      <c r="I2" s="22"/>
      <c r="J2" s="22"/>
      <c r="K2" s="22"/>
      <c r="L2" s="22"/>
      <c r="M2" s="22"/>
      <c r="N2" s="22"/>
      <c r="O2" s="22"/>
      <c r="P2" s="22"/>
      <c r="Q2" s="22"/>
      <c r="R2" s="22"/>
      <c r="S2" s="22"/>
      <c r="T2" s="22"/>
      <c r="U2" s="22"/>
      <c r="V2" s="22"/>
      <c r="W2" s="28"/>
    </row>
    <row r="3" spans="1:24">
      <c r="A3" s="16" t="s">
        <v>14</v>
      </c>
    </row>
    <row r="4" spans="1:24" ht="40.5" customHeight="1" thickBot="1">
      <c r="S4" s="120" t="s">
        <v>15</v>
      </c>
      <c r="U4" s="120" t="s">
        <v>16</v>
      </c>
    </row>
    <row r="5" spans="1:24" ht="26.25" customHeight="1">
      <c r="D5" s="101" t="s">
        <v>88</v>
      </c>
      <c r="E5" s="118"/>
      <c r="F5" s="118"/>
      <c r="G5" s="118"/>
      <c r="H5" s="118"/>
      <c r="I5" s="118"/>
      <c r="J5" s="118"/>
      <c r="K5" s="118"/>
      <c r="L5" s="118"/>
      <c r="M5" s="118"/>
      <c r="N5" s="118"/>
      <c r="O5" s="118"/>
      <c r="P5" s="118"/>
      <c r="Q5" s="118"/>
      <c r="R5" s="118"/>
      <c r="S5" s="101" t="s">
        <v>89</v>
      </c>
      <c r="U5" s="101" t="s">
        <v>89</v>
      </c>
    </row>
    <row r="6" spans="1:24">
      <c r="D6" s="119"/>
      <c r="E6" s="118"/>
      <c r="F6" s="118"/>
      <c r="G6" s="118"/>
      <c r="H6" s="118"/>
      <c r="I6" s="118"/>
      <c r="J6" s="118"/>
      <c r="K6" s="118"/>
      <c r="L6" s="118"/>
      <c r="M6" s="118"/>
      <c r="N6" s="118"/>
      <c r="O6" s="118"/>
      <c r="P6" s="118"/>
      <c r="Q6" s="118"/>
      <c r="R6" s="118"/>
      <c r="S6" s="119"/>
      <c r="U6" s="119"/>
      <c r="X6" s="19"/>
    </row>
    <row r="7" spans="1:24" s="7" customFormat="1" ht="64.5" customHeight="1">
      <c r="A7" s="6" t="s">
        <v>3</v>
      </c>
      <c r="B7" s="47" t="s">
        <v>104</v>
      </c>
      <c r="C7" s="47" t="s">
        <v>105</v>
      </c>
      <c r="D7" s="102" t="s">
        <v>87</v>
      </c>
      <c r="E7" s="100" t="s">
        <v>90</v>
      </c>
      <c r="F7" s="100" t="s">
        <v>91</v>
      </c>
      <c r="G7" s="100" t="s">
        <v>92</v>
      </c>
      <c r="H7" s="100" t="s">
        <v>93</v>
      </c>
      <c r="I7" s="100" t="s">
        <v>94</v>
      </c>
      <c r="J7" s="100" t="s">
        <v>95</v>
      </c>
      <c r="K7" s="100" t="s">
        <v>96</v>
      </c>
      <c r="L7" s="100" t="s">
        <v>97</v>
      </c>
      <c r="M7" s="100" t="s">
        <v>98</v>
      </c>
      <c r="N7" s="100" t="s">
        <v>99</v>
      </c>
      <c r="O7" s="100" t="s">
        <v>100</v>
      </c>
      <c r="P7" s="100" t="s">
        <v>101</v>
      </c>
      <c r="Q7" s="100" t="s">
        <v>102</v>
      </c>
      <c r="R7" s="100" t="s">
        <v>103</v>
      </c>
      <c r="S7" s="102" t="s">
        <v>87</v>
      </c>
      <c r="T7" s="6" t="s">
        <v>0</v>
      </c>
      <c r="U7" s="102" t="s">
        <v>87</v>
      </c>
      <c r="V7" s="47" t="s">
        <v>65</v>
      </c>
      <c r="W7" s="6" t="s">
        <v>20</v>
      </c>
      <c r="X7" s="88"/>
    </row>
    <row r="8" spans="1:24" s="7" customFormat="1">
      <c r="A8" s="8" t="s">
        <v>5</v>
      </c>
      <c r="B8" s="9"/>
      <c r="C8" s="9"/>
      <c r="D8" s="103"/>
      <c r="E8" s="9"/>
      <c r="F8" s="9"/>
      <c r="G8" s="9"/>
      <c r="H8" s="9"/>
      <c r="I8" s="9"/>
      <c r="J8" s="9"/>
      <c r="K8" s="9"/>
      <c r="L8" s="9"/>
      <c r="M8" s="9"/>
      <c r="N8" s="9"/>
      <c r="O8" s="9"/>
      <c r="P8" s="9"/>
      <c r="Q8" s="9"/>
      <c r="R8" s="9"/>
      <c r="S8" s="103"/>
      <c r="T8" s="9"/>
      <c r="U8" s="103"/>
      <c r="V8" s="9"/>
    </row>
    <row r="9" spans="1:24">
      <c r="A9" s="1" t="s">
        <v>1</v>
      </c>
      <c r="B9" s="2">
        <v>312</v>
      </c>
      <c r="C9" s="12" t="s">
        <v>46</v>
      </c>
      <c r="D9" s="104">
        <f>[14]Report!$K$1711</f>
        <v>204937627.27505687</v>
      </c>
      <c r="E9" s="48"/>
      <c r="F9" s="48"/>
      <c r="G9" s="48"/>
      <c r="H9" s="48"/>
      <c r="I9" s="48"/>
      <c r="J9" s="48"/>
      <c r="K9" s="48"/>
      <c r="L9" s="48"/>
      <c r="M9" s="48"/>
      <c r="N9" s="48"/>
      <c r="O9" s="48"/>
      <c r="P9" s="48"/>
      <c r="Q9" s="48"/>
      <c r="R9" s="48"/>
      <c r="S9" s="116">
        <f>SUM(D9:R9)</f>
        <v>204937627.27505687</v>
      </c>
      <c r="T9" s="20">
        <f t="shared" ref="T9:T14" si="0">$D$77</f>
        <v>0.99823234002733419</v>
      </c>
      <c r="U9" s="116">
        <f>S9*T9</f>
        <v>204575367.23442966</v>
      </c>
      <c r="V9" s="4">
        <f>U9-S9</f>
        <v>-362260.04062721133</v>
      </c>
      <c r="W9" s="12">
        <v>9.1</v>
      </c>
      <c r="X9" s="29"/>
    </row>
    <row r="10" spans="1:24">
      <c r="A10" s="1" t="s">
        <v>1</v>
      </c>
      <c r="B10" s="2">
        <v>312</v>
      </c>
      <c r="C10" s="12" t="s">
        <v>26</v>
      </c>
      <c r="D10" s="104">
        <f>[14]Report!$K$1713</f>
        <v>229678.99938179294</v>
      </c>
      <c r="E10" s="48"/>
      <c r="F10" s="48"/>
      <c r="G10" s="48"/>
      <c r="H10" s="48"/>
      <c r="I10" s="48"/>
      <c r="J10" s="48"/>
      <c r="K10" s="48"/>
      <c r="L10" s="48"/>
      <c r="M10" s="48"/>
      <c r="N10" s="48"/>
      <c r="O10" s="48"/>
      <c r="P10" s="48"/>
      <c r="Q10" s="48"/>
      <c r="R10" s="48"/>
      <c r="S10" s="104">
        <f t="shared" ref="S10:S14" si="1">SUM(D10:R10)</f>
        <v>229678.99938179294</v>
      </c>
      <c r="T10" s="20">
        <f t="shared" si="0"/>
        <v>0.99823234002733419</v>
      </c>
      <c r="U10" s="104">
        <f t="shared" ref="U10:U14" si="2">S10*T10</f>
        <v>229273.00500802381</v>
      </c>
      <c r="V10" s="4">
        <f t="shared" ref="V10:V14" si="3">U10-S10</f>
        <v>-405.99437376912101</v>
      </c>
      <c r="W10" s="12">
        <v>9.1</v>
      </c>
      <c r="X10" s="29"/>
    </row>
    <row r="11" spans="1:24">
      <c r="A11" s="1" t="s">
        <v>1</v>
      </c>
      <c r="B11" s="2">
        <v>312</v>
      </c>
      <c r="C11" s="12" t="s">
        <v>7</v>
      </c>
      <c r="D11" s="104">
        <f>[14]Report!$K$1714</f>
        <v>54145913.995983727</v>
      </c>
      <c r="E11" s="48"/>
      <c r="F11" s="48"/>
      <c r="G11" s="48"/>
      <c r="H11" s="48"/>
      <c r="I11" s="48"/>
      <c r="J11" s="48"/>
      <c r="K11" s="48"/>
      <c r="L11" s="48"/>
      <c r="M11" s="48"/>
      <c r="N11" s="48"/>
      <c r="O11" s="48">
        <f>SUM('[10]Lead Sheet'!$I$18:$I$19)</f>
        <v>-26125927.969872698</v>
      </c>
      <c r="P11" s="48"/>
      <c r="Q11" s="48"/>
      <c r="R11" s="48"/>
      <c r="S11" s="104">
        <f t="shared" si="1"/>
        <v>28019986.026111029</v>
      </c>
      <c r="T11" s="20">
        <f t="shared" si="0"/>
        <v>0.99823234002733419</v>
      </c>
      <c r="U11" s="104">
        <f t="shared" si="2"/>
        <v>27970456.218378019</v>
      </c>
      <c r="V11" s="4">
        <f t="shared" si="3"/>
        <v>-49529.807733010501</v>
      </c>
      <c r="W11" s="12">
        <v>9.1</v>
      </c>
      <c r="X11" s="29"/>
    </row>
    <row r="12" spans="1:24" s="41" customFormat="1">
      <c r="A12" s="96" t="s">
        <v>1</v>
      </c>
      <c r="B12" s="2">
        <v>312</v>
      </c>
      <c r="C12" s="97" t="s">
        <v>10</v>
      </c>
      <c r="D12" s="104">
        <f>[14]Report!$K$1710</f>
        <v>0</v>
      </c>
      <c r="E12" s="48"/>
      <c r="F12" s="48"/>
      <c r="G12" s="48"/>
      <c r="H12" s="48"/>
      <c r="I12" s="48"/>
      <c r="J12" s="48"/>
      <c r="K12" s="48"/>
      <c r="L12" s="48"/>
      <c r="M12" s="48"/>
      <c r="N12" s="48"/>
      <c r="O12" s="48"/>
      <c r="P12" s="48"/>
      <c r="Q12" s="48"/>
      <c r="R12" s="48">
        <f>'[13]Lead Sheet'!$I$17</f>
        <v>-441006.12659999984</v>
      </c>
      <c r="S12" s="104">
        <f t="shared" si="1"/>
        <v>-441006.12659999984</v>
      </c>
      <c r="T12" s="98">
        <f t="shared" si="0"/>
        <v>0.99823234002733419</v>
      </c>
      <c r="U12" s="104">
        <f t="shared" si="2"/>
        <v>-440226.57772230863</v>
      </c>
      <c r="V12" s="4">
        <f t="shared" si="3"/>
        <v>779.54887769120978</v>
      </c>
      <c r="W12" s="97">
        <v>9.1</v>
      </c>
      <c r="X12" s="89"/>
    </row>
    <row r="13" spans="1:24">
      <c r="A13" s="1" t="s">
        <v>2</v>
      </c>
      <c r="B13" s="2">
        <v>332</v>
      </c>
      <c r="C13" s="12" t="s">
        <v>7</v>
      </c>
      <c r="D13" s="104">
        <f>[14]Report!$K$1848</f>
        <v>101737773.24545936</v>
      </c>
      <c r="E13" s="48"/>
      <c r="F13" s="48"/>
      <c r="G13" s="48"/>
      <c r="H13" s="48"/>
      <c r="I13" s="48"/>
      <c r="J13" s="48"/>
      <c r="K13" s="48"/>
      <c r="L13" s="48"/>
      <c r="M13" s="48"/>
      <c r="N13" s="48"/>
      <c r="O13" s="48"/>
      <c r="P13" s="48"/>
      <c r="Q13" s="48"/>
      <c r="R13" s="48"/>
      <c r="S13" s="104">
        <f t="shared" si="1"/>
        <v>101737773.24545936</v>
      </c>
      <c r="T13" s="20">
        <f t="shared" si="0"/>
        <v>0.99823234002733419</v>
      </c>
      <c r="U13" s="104">
        <f t="shared" si="2"/>
        <v>101557935.45598522</v>
      </c>
      <c r="V13" s="4">
        <f t="shared" si="3"/>
        <v>-179837.78947414458</v>
      </c>
      <c r="W13" s="12">
        <v>9.1</v>
      </c>
      <c r="X13" s="29"/>
    </row>
    <row r="14" spans="1:24">
      <c r="A14" s="1" t="s">
        <v>48</v>
      </c>
      <c r="B14" s="2">
        <v>343</v>
      </c>
      <c r="C14" s="12" t="s">
        <v>7</v>
      </c>
      <c r="D14" s="104">
        <f>[14]Report!$K$1930</f>
        <v>269181969.48663914</v>
      </c>
      <c r="E14" s="48"/>
      <c r="F14" s="48"/>
      <c r="G14" s="48"/>
      <c r="H14" s="48"/>
      <c r="I14" s="48"/>
      <c r="J14" s="48"/>
      <c r="K14" s="48"/>
      <c r="L14" s="48"/>
      <c r="M14" s="48"/>
      <c r="N14" s="48"/>
      <c r="O14" s="48"/>
      <c r="P14" s="48"/>
      <c r="Q14" s="48"/>
      <c r="R14" s="48"/>
      <c r="S14" s="104">
        <f t="shared" si="1"/>
        <v>269181969.48663914</v>
      </c>
      <c r="T14" s="20">
        <f t="shared" si="0"/>
        <v>0.99823234002733419</v>
      </c>
      <c r="U14" s="104">
        <f t="shared" si="2"/>
        <v>268706147.29381424</v>
      </c>
      <c r="V14" s="4">
        <f t="shared" si="3"/>
        <v>-475822.19282490015</v>
      </c>
      <c r="W14" s="12">
        <v>9.1</v>
      </c>
      <c r="X14" s="29"/>
    </row>
    <row r="15" spans="1:24">
      <c r="D15" s="105">
        <f t="shared" ref="D15:R15" si="4">SUM(D9:D14)</f>
        <v>630232963.0025208</v>
      </c>
      <c r="E15" s="10">
        <f t="shared" si="4"/>
        <v>0</v>
      </c>
      <c r="F15" s="10">
        <f t="shared" si="4"/>
        <v>0</v>
      </c>
      <c r="G15" s="10">
        <f t="shared" si="4"/>
        <v>0</v>
      </c>
      <c r="H15" s="10">
        <f t="shared" si="4"/>
        <v>0</v>
      </c>
      <c r="I15" s="10">
        <f t="shared" si="4"/>
        <v>0</v>
      </c>
      <c r="J15" s="10">
        <f t="shared" si="4"/>
        <v>0</v>
      </c>
      <c r="K15" s="10">
        <f t="shared" si="4"/>
        <v>0</v>
      </c>
      <c r="L15" s="10">
        <f t="shared" si="4"/>
        <v>0</v>
      </c>
      <c r="M15" s="10">
        <f t="shared" si="4"/>
        <v>0</v>
      </c>
      <c r="N15" s="10">
        <f t="shared" si="4"/>
        <v>0</v>
      </c>
      <c r="O15" s="10">
        <f t="shared" si="4"/>
        <v>-26125927.969872698</v>
      </c>
      <c r="P15" s="10">
        <f t="shared" si="4"/>
        <v>0</v>
      </c>
      <c r="Q15" s="10">
        <f t="shared" si="4"/>
        <v>0</v>
      </c>
      <c r="R15" s="10">
        <f t="shared" si="4"/>
        <v>-441006.12659999984</v>
      </c>
      <c r="S15" s="105">
        <f>SUM(S9:S14)</f>
        <v>603666028.90604818</v>
      </c>
      <c r="T15" s="21"/>
      <c r="U15" s="105">
        <f>SUM(U9:U14)</f>
        <v>602598952.62989283</v>
      </c>
      <c r="V15" s="10">
        <f>SUM(V9:V14)</f>
        <v>-1067076.2761553444</v>
      </c>
      <c r="W15" s="12">
        <v>9.1</v>
      </c>
      <c r="X15" s="90"/>
    </row>
    <row r="16" spans="1:24">
      <c r="A16" s="13" t="s">
        <v>6</v>
      </c>
      <c r="D16" s="106"/>
      <c r="E16" s="50"/>
      <c r="F16" s="50"/>
      <c r="G16" s="50"/>
      <c r="H16" s="50"/>
      <c r="I16" s="50"/>
      <c r="J16" s="50"/>
      <c r="K16" s="50"/>
      <c r="L16" s="50"/>
      <c r="M16" s="50"/>
      <c r="N16" s="50"/>
      <c r="O16" s="50"/>
      <c r="P16" s="50"/>
      <c r="Q16" s="50"/>
      <c r="R16" s="50"/>
      <c r="S16" s="117"/>
      <c r="T16" s="12"/>
      <c r="U16" s="117"/>
    </row>
    <row r="17" spans="1:24">
      <c r="A17" s="3" t="s">
        <v>1</v>
      </c>
      <c r="B17" s="12" t="s">
        <v>51</v>
      </c>
      <c r="C17" s="12" t="s">
        <v>7</v>
      </c>
      <c r="D17" s="104">
        <f>[14]Report!$K$2766</f>
        <v>-29842625.181041777</v>
      </c>
      <c r="E17" s="48"/>
      <c r="F17" s="48"/>
      <c r="G17" s="48"/>
      <c r="H17" s="48"/>
      <c r="I17" s="48"/>
      <c r="J17" s="48"/>
      <c r="K17" s="48"/>
      <c r="L17" s="48"/>
      <c r="M17" s="48"/>
      <c r="N17" s="48"/>
      <c r="O17" s="48">
        <f>SUM('[10]Lead Sheet'!$I$20:$I$21)</f>
        <v>16010762.339428132</v>
      </c>
      <c r="P17" s="48"/>
      <c r="Q17" s="48"/>
      <c r="R17" s="48"/>
      <c r="S17" s="116">
        <f t="shared" ref="S17:S20" si="5">SUM(D17:R17)</f>
        <v>-13831862.841613645</v>
      </c>
      <c r="T17" s="20">
        <f>$D$77</f>
        <v>0.99823234002733419</v>
      </c>
      <c r="U17" s="116">
        <f t="shared" ref="U17:U20" si="6">S17*T17</f>
        <v>-13807412.811321121</v>
      </c>
      <c r="V17" s="4">
        <f t="shared" ref="V17:V20" si="7">U17-S17</f>
        <v>24450.030292524025</v>
      </c>
      <c r="W17" s="12">
        <v>9.1</v>
      </c>
      <c r="X17" s="29"/>
    </row>
    <row r="18" spans="1:24">
      <c r="A18" s="3" t="s">
        <v>1</v>
      </c>
      <c r="B18" s="12" t="s">
        <v>51</v>
      </c>
      <c r="C18" s="12" t="s">
        <v>46</v>
      </c>
      <c r="D18" s="104">
        <f>[14]Report!$K$2768</f>
        <v>-104219087.13241561</v>
      </c>
      <c r="E18" s="48"/>
      <c r="F18" s="48"/>
      <c r="G18" s="48"/>
      <c r="H18" s="48"/>
      <c r="I18" s="48"/>
      <c r="J18" s="48"/>
      <c r="K18" s="48"/>
      <c r="L18" s="48"/>
      <c r="M18" s="48"/>
      <c r="N18" s="48"/>
      <c r="O18" s="48"/>
      <c r="P18" s="48"/>
      <c r="Q18" s="48"/>
      <c r="R18" s="48"/>
      <c r="S18" s="116">
        <f t="shared" si="5"/>
        <v>-104219087.13241561</v>
      </c>
      <c r="T18" s="20">
        <f>$D$77</f>
        <v>0.99823234002733419</v>
      </c>
      <c r="U18" s="116">
        <f t="shared" si="6"/>
        <v>-104034863.22370386</v>
      </c>
      <c r="V18" s="4">
        <f t="shared" si="7"/>
        <v>184223.90871174634</v>
      </c>
      <c r="W18" s="12">
        <v>9.1</v>
      </c>
      <c r="X18" s="29"/>
    </row>
    <row r="19" spans="1:24">
      <c r="A19" s="3" t="s">
        <v>2</v>
      </c>
      <c r="B19" s="12" t="s">
        <v>52</v>
      </c>
      <c r="C19" s="12" t="s">
        <v>7</v>
      </c>
      <c r="D19" s="104">
        <f>[14]Report!$K$2783</f>
        <v>-44937526.832938358</v>
      </c>
      <c r="E19" s="48"/>
      <c r="F19" s="48"/>
      <c r="G19" s="48"/>
      <c r="H19" s="48"/>
      <c r="I19" s="48"/>
      <c r="J19" s="48"/>
      <c r="K19" s="48"/>
      <c r="L19" s="48"/>
      <c r="M19" s="48"/>
      <c r="N19" s="48"/>
      <c r="O19" s="48"/>
      <c r="P19" s="48">
        <f>SUM('[11]Lead Sheet'!$I$10,'[11]Lead Sheet'!$I$14)</f>
        <v>-264083.87465224485</v>
      </c>
      <c r="Q19" s="48"/>
      <c r="R19" s="48"/>
      <c r="S19" s="116">
        <f t="shared" si="5"/>
        <v>-45201610.707590602</v>
      </c>
      <c r="T19" s="20">
        <f>$D$77</f>
        <v>0.99823234002733419</v>
      </c>
      <c r="U19" s="116">
        <f t="shared" si="6"/>
        <v>-45121709.62964277</v>
      </c>
      <c r="V19" s="4">
        <f t="shared" si="7"/>
        <v>79901.077947832644</v>
      </c>
      <c r="W19" s="12">
        <v>9.1</v>
      </c>
      <c r="X19" s="29"/>
    </row>
    <row r="20" spans="1:24">
      <c r="A20" s="3" t="s">
        <v>48</v>
      </c>
      <c r="B20" s="12" t="s">
        <v>53</v>
      </c>
      <c r="C20" s="12" t="s">
        <v>7</v>
      </c>
      <c r="D20" s="104">
        <f>[14]Report!$K$2794</f>
        <v>-27913590.878846396</v>
      </c>
      <c r="E20" s="48"/>
      <c r="F20" s="48"/>
      <c r="G20" s="48"/>
      <c r="H20" s="48"/>
      <c r="I20" s="48"/>
      <c r="J20" s="48"/>
      <c r="K20" s="48"/>
      <c r="L20" s="48"/>
      <c r="M20" s="48"/>
      <c r="N20" s="48"/>
      <c r="O20" s="48"/>
      <c r="P20" s="48"/>
      <c r="Q20" s="48"/>
      <c r="R20" s="48"/>
      <c r="S20" s="116">
        <f t="shared" si="5"/>
        <v>-27913590.878846396</v>
      </c>
      <c r="T20" s="20">
        <f>$D$77</f>
        <v>0.99823234002733419</v>
      </c>
      <c r="U20" s="116">
        <f t="shared" si="6"/>
        <v>-27864249.14155649</v>
      </c>
      <c r="V20" s="4">
        <f t="shared" si="7"/>
        <v>49341.737289905548</v>
      </c>
      <c r="W20" s="12">
        <v>9.1</v>
      </c>
      <c r="X20" s="29"/>
    </row>
    <row r="21" spans="1:24">
      <c r="D21" s="107">
        <f t="shared" ref="D21:R21" si="8">SUM(D17:D20)</f>
        <v>-206912830.02524215</v>
      </c>
      <c r="E21" s="49">
        <f t="shared" si="8"/>
        <v>0</v>
      </c>
      <c r="F21" s="49">
        <f t="shared" si="8"/>
        <v>0</v>
      </c>
      <c r="G21" s="49">
        <f t="shared" si="8"/>
        <v>0</v>
      </c>
      <c r="H21" s="49">
        <f t="shared" si="8"/>
        <v>0</v>
      </c>
      <c r="I21" s="49">
        <f t="shared" si="8"/>
        <v>0</v>
      </c>
      <c r="J21" s="49">
        <f t="shared" si="8"/>
        <v>0</v>
      </c>
      <c r="K21" s="49">
        <f t="shared" si="8"/>
        <v>0</v>
      </c>
      <c r="L21" s="49">
        <f t="shared" si="8"/>
        <v>0</v>
      </c>
      <c r="M21" s="49">
        <f t="shared" si="8"/>
        <v>0</v>
      </c>
      <c r="N21" s="49">
        <f t="shared" si="8"/>
        <v>0</v>
      </c>
      <c r="O21" s="49">
        <f t="shared" si="8"/>
        <v>16010762.339428132</v>
      </c>
      <c r="P21" s="49">
        <f t="shared" si="8"/>
        <v>-264083.87465224485</v>
      </c>
      <c r="Q21" s="49">
        <f t="shared" si="8"/>
        <v>0</v>
      </c>
      <c r="R21" s="49">
        <f t="shared" si="8"/>
        <v>0</v>
      </c>
      <c r="S21" s="107">
        <f>SUM(S17:S20)</f>
        <v>-191166151.56046626</v>
      </c>
      <c r="T21" s="21"/>
      <c r="U21" s="107">
        <f t="shared" ref="U21" si="9">SUM(U17:U20)</f>
        <v>-190828234.80622426</v>
      </c>
      <c r="V21" s="49">
        <f t="shared" ref="V21" si="10">SUM(V17:V20)</f>
        <v>337916.75424200855</v>
      </c>
      <c r="W21" s="12">
        <v>9.1</v>
      </c>
      <c r="X21" s="91"/>
    </row>
    <row r="22" spans="1:24">
      <c r="A22" s="8" t="s">
        <v>4</v>
      </c>
      <c r="D22" s="108"/>
      <c r="E22" s="41"/>
      <c r="F22" s="41"/>
      <c r="G22" s="41"/>
      <c r="H22" s="41"/>
      <c r="I22" s="41"/>
      <c r="J22" s="41"/>
      <c r="K22" s="41"/>
      <c r="L22" s="41"/>
      <c r="M22" s="41"/>
      <c r="N22" s="41"/>
      <c r="O22" s="41"/>
      <c r="P22" s="41"/>
      <c r="Q22" s="41"/>
      <c r="R22" s="41"/>
      <c r="S22" s="113"/>
      <c r="T22" s="12"/>
      <c r="U22" s="113"/>
    </row>
    <row r="23" spans="1:24">
      <c r="A23" s="3" t="s">
        <v>1</v>
      </c>
      <c r="B23" s="12" t="s">
        <v>47</v>
      </c>
      <c r="C23" s="12" t="s">
        <v>7</v>
      </c>
      <c r="D23" s="104">
        <f>[14]Report!$K$1178</f>
        <v>1116411.7964552136</v>
      </c>
      <c r="E23" s="48"/>
      <c r="F23" s="48"/>
      <c r="G23" s="48"/>
      <c r="H23" s="48"/>
      <c r="I23" s="48"/>
      <c r="J23" s="48"/>
      <c r="K23" s="48"/>
      <c r="L23" s="48"/>
      <c r="M23" s="48"/>
      <c r="N23" s="48"/>
      <c r="O23" s="48">
        <f>SUM('[10]Lead Sheet'!$I$9:$I$10)</f>
        <v>-397232.00153080252</v>
      </c>
      <c r="P23" s="48"/>
      <c r="Q23" s="48"/>
      <c r="R23" s="48"/>
      <c r="S23" s="116">
        <f t="shared" ref="S23:S26" si="11">SUM(D23:R23)</f>
        <v>719179.79492441099</v>
      </c>
      <c r="T23" s="20">
        <f>$D$77</f>
        <v>0.99823234002733419</v>
      </c>
      <c r="U23" s="116">
        <f t="shared" ref="U23:U26" si="12">S23*T23</f>
        <v>717908.52958777314</v>
      </c>
      <c r="V23" s="4">
        <f t="shared" ref="V23:V26" si="13">U23-S23</f>
        <v>-1271.2653366378509</v>
      </c>
      <c r="X23" s="29"/>
    </row>
    <row r="24" spans="1:24">
      <c r="A24" s="3" t="s">
        <v>1</v>
      </c>
      <c r="B24" s="12" t="s">
        <v>47</v>
      </c>
      <c r="C24" s="12" t="s">
        <v>46</v>
      </c>
      <c r="D24" s="104">
        <f>[14]Report!$K$1180</f>
        <v>4058105.259985717</v>
      </c>
      <c r="E24" s="48"/>
      <c r="F24" s="48"/>
      <c r="G24" s="48"/>
      <c r="H24" s="48"/>
      <c r="I24" s="48"/>
      <c r="J24" s="48"/>
      <c r="K24" s="48"/>
      <c r="L24" s="48"/>
      <c r="M24" s="48"/>
      <c r="N24" s="48"/>
      <c r="O24" s="48"/>
      <c r="P24" s="48"/>
      <c r="Q24" s="48"/>
      <c r="R24" s="48"/>
      <c r="S24" s="116">
        <f t="shared" si="11"/>
        <v>4058105.259985717</v>
      </c>
      <c r="T24" s="20">
        <f>$D$77</f>
        <v>0.99823234002733419</v>
      </c>
      <c r="U24" s="116">
        <f t="shared" si="12"/>
        <v>4050931.9097527754</v>
      </c>
      <c r="V24" s="4">
        <f t="shared" si="13"/>
        <v>-7173.3502329415642</v>
      </c>
      <c r="W24" s="12">
        <v>9.1</v>
      </c>
      <c r="X24" s="29"/>
    </row>
    <row r="25" spans="1:24">
      <c r="A25" s="3" t="s">
        <v>2</v>
      </c>
      <c r="B25" s="12" t="s">
        <v>49</v>
      </c>
      <c r="C25" s="12" t="s">
        <v>7</v>
      </c>
      <c r="D25" s="104">
        <f>[14]Report!$K$1191</f>
        <v>2412273.7330297157</v>
      </c>
      <c r="E25" s="48"/>
      <c r="F25" s="48"/>
      <c r="G25" s="48"/>
      <c r="H25" s="48"/>
      <c r="I25" s="48"/>
      <c r="J25" s="48"/>
      <c r="K25" s="48"/>
      <c r="L25" s="48"/>
      <c r="M25" s="48"/>
      <c r="N25" s="48"/>
      <c r="O25" s="48"/>
      <c r="P25" s="48"/>
      <c r="Q25" s="48"/>
      <c r="R25" s="48"/>
      <c r="S25" s="116">
        <f t="shared" si="11"/>
        <v>2412273.7330297157</v>
      </c>
      <c r="T25" s="20">
        <f>$D$77</f>
        <v>0.99823234002733419</v>
      </c>
      <c r="U25" s="116">
        <f t="shared" si="12"/>
        <v>2408009.6533087259</v>
      </c>
      <c r="V25" s="4">
        <f t="shared" si="13"/>
        <v>-4264.079720989801</v>
      </c>
      <c r="W25" s="12">
        <v>9.1</v>
      </c>
      <c r="X25" s="29"/>
    </row>
    <row r="26" spans="1:24">
      <c r="A26" s="3" t="s">
        <v>48</v>
      </c>
      <c r="B26" s="12" t="s">
        <v>50</v>
      </c>
      <c r="C26" s="12" t="s">
        <v>7</v>
      </c>
      <c r="D26" s="104">
        <f>[14]Report!$K$1200</f>
        <v>9351153.8924306501</v>
      </c>
      <c r="E26" s="48"/>
      <c r="F26" s="48"/>
      <c r="G26" s="48"/>
      <c r="H26" s="48"/>
      <c r="I26" s="48"/>
      <c r="J26" s="48"/>
      <c r="K26" s="48"/>
      <c r="L26" s="48"/>
      <c r="M26" s="48"/>
      <c r="N26" s="48"/>
      <c r="O26" s="48"/>
      <c r="P26" s="48"/>
      <c r="Q26" s="48"/>
      <c r="R26" s="48"/>
      <c r="S26" s="116">
        <f t="shared" si="11"/>
        <v>9351153.8924306501</v>
      </c>
      <c r="T26" s="20">
        <f>$D$77</f>
        <v>0.99823234002733419</v>
      </c>
      <c r="U26" s="116">
        <f t="shared" si="12"/>
        <v>9334624.2319967616</v>
      </c>
      <c r="V26" s="4">
        <f t="shared" si="13"/>
        <v>-16529.660433888435</v>
      </c>
      <c r="W26" s="12">
        <v>9.1</v>
      </c>
      <c r="X26" s="29"/>
    </row>
    <row r="27" spans="1:24">
      <c r="D27" s="109">
        <f t="shared" ref="D27:R27" si="14">SUM(D23:D26)</f>
        <v>16937944.681901298</v>
      </c>
      <c r="E27" s="11">
        <f t="shared" si="14"/>
        <v>0</v>
      </c>
      <c r="F27" s="11">
        <f t="shared" si="14"/>
        <v>0</v>
      </c>
      <c r="G27" s="11">
        <f t="shared" si="14"/>
        <v>0</v>
      </c>
      <c r="H27" s="11">
        <f t="shared" si="14"/>
        <v>0</v>
      </c>
      <c r="I27" s="11">
        <f t="shared" si="14"/>
        <v>0</v>
      </c>
      <c r="J27" s="11">
        <f t="shared" si="14"/>
        <v>0</v>
      </c>
      <c r="K27" s="11">
        <f t="shared" si="14"/>
        <v>0</v>
      </c>
      <c r="L27" s="11">
        <f t="shared" si="14"/>
        <v>0</v>
      </c>
      <c r="M27" s="11">
        <f t="shared" si="14"/>
        <v>0</v>
      </c>
      <c r="N27" s="11">
        <f t="shared" si="14"/>
        <v>0</v>
      </c>
      <c r="O27" s="11">
        <f t="shared" si="14"/>
        <v>-397232.00153080252</v>
      </c>
      <c r="P27" s="11">
        <f t="shared" si="14"/>
        <v>0</v>
      </c>
      <c r="Q27" s="11">
        <f t="shared" si="14"/>
        <v>0</v>
      </c>
      <c r="R27" s="11">
        <f t="shared" si="14"/>
        <v>0</v>
      </c>
      <c r="S27" s="109">
        <f>SUM(S23:S26)</f>
        <v>16540712.680370495</v>
      </c>
      <c r="T27" s="21"/>
      <c r="U27" s="109">
        <f>SUM(U23:U26)</f>
        <v>16511474.324646037</v>
      </c>
      <c r="V27" s="11">
        <f>SUM(V23:V26)</f>
        <v>-29238.355724457651</v>
      </c>
      <c r="W27" s="12">
        <v>9.1</v>
      </c>
      <c r="X27" s="92"/>
    </row>
    <row r="28" spans="1:24">
      <c r="A28" s="45" t="s">
        <v>64</v>
      </c>
      <c r="D28" s="108"/>
      <c r="E28" s="41"/>
      <c r="F28" s="41"/>
      <c r="G28" s="41"/>
      <c r="H28" s="41"/>
      <c r="I28" s="41"/>
      <c r="J28" s="41"/>
      <c r="K28" s="41"/>
      <c r="L28" s="41"/>
      <c r="M28" s="41"/>
      <c r="N28" s="41"/>
      <c r="O28" s="41"/>
      <c r="P28" s="41"/>
      <c r="Q28" s="41"/>
      <c r="R28" s="41"/>
      <c r="S28" s="113"/>
      <c r="T28" s="12"/>
      <c r="U28" s="113"/>
    </row>
    <row r="29" spans="1:24">
      <c r="A29" s="41" t="s">
        <v>54</v>
      </c>
      <c r="B29" s="15">
        <v>501</v>
      </c>
      <c r="C29" s="12" t="s">
        <v>25</v>
      </c>
      <c r="D29" s="104">
        <f>[14]Report!$K$367</f>
        <v>2328.8464963318656</v>
      </c>
      <c r="E29" s="48"/>
      <c r="F29" s="48"/>
      <c r="G29" s="48"/>
      <c r="H29" s="48">
        <f>SUM('[5]Lead Sheet 4.2'!$I$16)</f>
        <v>5.3474122692439199</v>
      </c>
      <c r="I29" s="48">
        <f>'[5]Lead Sheet 4.3'!$I$16</f>
        <v>69.125935184817905</v>
      </c>
      <c r="J29" s="48"/>
      <c r="K29" s="48"/>
      <c r="L29" s="48"/>
      <c r="M29" s="48"/>
      <c r="N29" s="48"/>
      <c r="O29" s="48"/>
      <c r="P29" s="48"/>
      <c r="Q29" s="48"/>
      <c r="R29" s="48"/>
      <c r="S29" s="112">
        <f t="shared" ref="S29:S42" si="15">SUM(D29:R29)</f>
        <v>2403.3198437859273</v>
      </c>
      <c r="T29" s="20">
        <f t="shared" ref="T29:T42" si="16">$D$77</f>
        <v>0.99823234002733419</v>
      </c>
      <c r="U29" s="112">
        <f t="shared" ref="U29:U42" si="17">S29*T29</f>
        <v>2399.0715914965535</v>
      </c>
      <c r="V29" s="4">
        <f t="shared" ref="V29:V42" si="18">U29-S29</f>
        <v>-4.2482522893737951</v>
      </c>
      <c r="W29" s="12">
        <v>9.1</v>
      </c>
      <c r="X29" s="29"/>
    </row>
    <row r="30" spans="1:24">
      <c r="A30" s="41" t="s">
        <v>54</v>
      </c>
      <c r="B30" s="15">
        <v>501</v>
      </c>
      <c r="C30" s="12" t="s">
        <v>7</v>
      </c>
      <c r="D30" s="104">
        <f>[14]Report!$K$370</f>
        <v>170359.14155335134</v>
      </c>
      <c r="E30" s="48"/>
      <c r="F30" s="48"/>
      <c r="G30" s="48"/>
      <c r="H30" s="48"/>
      <c r="I30" s="48"/>
      <c r="J30" s="48"/>
      <c r="K30" s="48"/>
      <c r="L30" s="48"/>
      <c r="M30" s="48"/>
      <c r="N30" s="48"/>
      <c r="O30" s="48"/>
      <c r="P30" s="48"/>
      <c r="Q30" s="48"/>
      <c r="R30" s="48"/>
      <c r="S30" s="112">
        <f t="shared" si="15"/>
        <v>170359.14155335134</v>
      </c>
      <c r="T30" s="20">
        <f t="shared" si="16"/>
        <v>0.99823234002733419</v>
      </c>
      <c r="U30" s="112">
        <f t="shared" si="17"/>
        <v>170058.00451784977</v>
      </c>
      <c r="V30" s="4">
        <f t="shared" si="18"/>
        <v>-301.13703550156788</v>
      </c>
      <c r="W30" s="12">
        <v>9.1</v>
      </c>
      <c r="X30" s="29"/>
    </row>
    <row r="31" spans="1:24">
      <c r="A31" s="41" t="s">
        <v>54</v>
      </c>
      <c r="B31" s="15">
        <v>501</v>
      </c>
      <c r="C31" s="12" t="s">
        <v>55</v>
      </c>
      <c r="D31" s="104">
        <f>[14]Report!$K$374</f>
        <v>158737.61342993481</v>
      </c>
      <c r="E31" s="48"/>
      <c r="F31" s="48"/>
      <c r="G31" s="48"/>
      <c r="H31" s="48">
        <f>'[5]Lead Sheet 4.2'!$I$15</f>
        <v>-285.58128768236969</v>
      </c>
      <c r="I31" s="48">
        <f>'[5]Lead Sheet 4.3'!$I$15</f>
        <v>-3691.7059295896684</v>
      </c>
      <c r="J31" s="48"/>
      <c r="K31" s="48"/>
      <c r="L31" s="48"/>
      <c r="M31" s="48"/>
      <c r="N31" s="48"/>
      <c r="O31" s="48"/>
      <c r="P31" s="48"/>
      <c r="Q31" s="48"/>
      <c r="R31" s="48"/>
      <c r="S31" s="112">
        <f t="shared" si="15"/>
        <v>154760.32621266277</v>
      </c>
      <c r="T31" s="20">
        <f t="shared" si="16"/>
        <v>0.99823234002733419</v>
      </c>
      <c r="U31" s="112">
        <f t="shared" si="17"/>
        <v>154486.76257865995</v>
      </c>
      <c r="V31" s="4">
        <f t="shared" si="18"/>
        <v>-273.56363400281407</v>
      </c>
      <c r="W31" s="12">
        <v>9.1</v>
      </c>
      <c r="X31" s="29"/>
    </row>
    <row r="32" spans="1:24">
      <c r="A32" s="41" t="s">
        <v>56</v>
      </c>
      <c r="B32" s="15">
        <v>512</v>
      </c>
      <c r="C32" s="12" t="s">
        <v>26</v>
      </c>
      <c r="D32" s="104">
        <f>SUM([14]Report!$K$359,[14]Report!$K$423)</f>
        <v>3794.4431368912174</v>
      </c>
      <c r="E32" s="48"/>
      <c r="F32" s="48"/>
      <c r="G32" s="48"/>
      <c r="H32" s="48">
        <f>'[5]Lead Sheet 4.2'!$I$13</f>
        <v>1.267349501741261</v>
      </c>
      <c r="I32" s="48">
        <f>'[5]Lead Sheet 4.3'!$I$13</f>
        <v>16.383012025789544</v>
      </c>
      <c r="J32" s="48"/>
      <c r="K32" s="48"/>
      <c r="L32" s="48"/>
      <c r="M32" s="48"/>
      <c r="N32" s="48"/>
      <c r="O32" s="48"/>
      <c r="P32" s="48"/>
      <c r="Q32" s="48"/>
      <c r="R32" s="48"/>
      <c r="S32" s="112">
        <f t="shared" si="15"/>
        <v>3812.0934984187479</v>
      </c>
      <c r="T32" s="20">
        <f t="shared" si="16"/>
        <v>0.99823234002733419</v>
      </c>
      <c r="U32" s="112">
        <f t="shared" si="17"/>
        <v>3805.3550133295334</v>
      </c>
      <c r="V32" s="4">
        <f t="shared" si="18"/>
        <v>-6.7384850892144641</v>
      </c>
      <c r="W32" s="12">
        <v>9.1</v>
      </c>
      <c r="X32" s="29"/>
    </row>
    <row r="33" spans="1:24">
      <c r="A33" s="41" t="s">
        <v>56</v>
      </c>
      <c r="B33" s="15">
        <v>512</v>
      </c>
      <c r="C33" s="12" t="s">
        <v>7</v>
      </c>
      <c r="D33" s="104">
        <f>SUM([14]Report!$K$360,[14]Report!$K$396,[14]Report!$K$416,[14]Report!$K$425,[14]Report!$K$433,[14]Report!$K$441,[14]Report!$K$451,[14]Report!$K$459,[14]Report!$K$467,[14]Report!$K$475)</f>
        <v>1366245.7590912341</v>
      </c>
      <c r="E33" s="48"/>
      <c r="F33" s="48"/>
      <c r="G33" s="48"/>
      <c r="H33" s="48">
        <f>SUM('[5]Lead Sheet 4.2'!$I$11,'[5]Lead Sheet 4.2'!$I$18)</f>
        <v>-12.710084099506007</v>
      </c>
      <c r="I33" s="48">
        <f>SUM('[5]Lead Sheet 4.3'!$I$11,'[5]Lead Sheet 4.3'!$I$18)</f>
        <v>-164.3031068895429</v>
      </c>
      <c r="J33" s="48"/>
      <c r="K33" s="48"/>
      <c r="L33" s="48"/>
      <c r="M33" s="48"/>
      <c r="N33" s="48"/>
      <c r="O33" s="48"/>
      <c r="P33" s="48"/>
      <c r="Q33" s="48"/>
      <c r="R33" s="48"/>
      <c r="S33" s="112">
        <f t="shared" si="15"/>
        <v>1366068.7459002449</v>
      </c>
      <c r="T33" s="20">
        <f t="shared" si="16"/>
        <v>0.99823234002733419</v>
      </c>
      <c r="U33" s="112">
        <f t="shared" si="17"/>
        <v>1363654.0008582072</v>
      </c>
      <c r="V33" s="4">
        <f t="shared" si="18"/>
        <v>-2414.7450420376845</v>
      </c>
      <c r="W33" s="12">
        <v>9.1</v>
      </c>
      <c r="X33" s="29"/>
    </row>
    <row r="34" spans="1:24">
      <c r="A34" s="41" t="s">
        <v>56</v>
      </c>
      <c r="B34" s="15">
        <v>512</v>
      </c>
      <c r="C34" s="12" t="s">
        <v>46</v>
      </c>
      <c r="D34" s="104">
        <f>SUM([14]Report!$K$362,[14]Report!$K$398,[14]Report!$K$418,[14]Report!$K$427,[14]Report!$K$435,[14]Report!$K$443,[14]Report!$K$453,[14]Report!$K$461,[14]Report!$K$469,[14]Report!$K$477)</f>
        <v>10818386.380899653</v>
      </c>
      <c r="E34" s="48"/>
      <c r="F34" s="48"/>
      <c r="G34" s="48"/>
      <c r="H34" s="48">
        <f>'[5]Lead Sheet 4.2'!$I$12+'[5]Lead Sheet 4.2'!$I$19</f>
        <v>4860.0030604098001</v>
      </c>
      <c r="I34" s="48">
        <f>'[5]Lead Sheet 4.3'!$I$12+'[5]Lead Sheet 4.3'!$I$19</f>
        <v>62825.202104607015</v>
      </c>
      <c r="J34" s="48">
        <f>'[6]Lead Sheet'!$I$16</f>
        <v>-91.506246302488393</v>
      </c>
      <c r="K34" s="48"/>
      <c r="L34" s="48"/>
      <c r="M34" s="48"/>
      <c r="N34" s="48"/>
      <c r="O34" s="48"/>
      <c r="P34" s="48"/>
      <c r="Q34" s="48"/>
      <c r="R34" s="48"/>
      <c r="S34" s="112">
        <f t="shared" si="15"/>
        <v>10885980.079818368</v>
      </c>
      <c r="T34" s="20">
        <f t="shared" si="16"/>
        <v>0.99823234002733419</v>
      </c>
      <c r="U34" s="112">
        <f t="shared" si="17"/>
        <v>10866737.368568035</v>
      </c>
      <c r="V34" s="4">
        <f t="shared" si="18"/>
        <v>-19242.711250333115</v>
      </c>
      <c r="W34" s="12">
        <v>9.1</v>
      </c>
      <c r="X34" s="29"/>
    </row>
    <row r="35" spans="1:24">
      <c r="A35" s="41" t="s">
        <v>2</v>
      </c>
      <c r="B35" s="15">
        <v>539</v>
      </c>
      <c r="C35" s="12" t="s">
        <v>7</v>
      </c>
      <c r="D35" s="104">
        <f>SUM([14]Report!$K$535,[14]Report!$K$543,[14]Report!$K$551,[14]Report!$K$567,[14]Report!$K$575,[14]Report!$K$583,[14]Report!$K$591,[14]Report!$K$602,[14]Report!$K$610,[14]Report!$K$618)</f>
        <v>6349037.5511267083</v>
      </c>
      <c r="E35" s="48"/>
      <c r="F35" s="48"/>
      <c r="G35" s="48"/>
      <c r="H35" s="48">
        <f>'[5]Lead Sheet 4.2'!$I$21+'[5]Lead Sheet 4.2'!$I$23</f>
        <v>1964.8349516471831</v>
      </c>
      <c r="I35" s="48">
        <f>'[5]Lead Sheet 4.3'!$I$21+'[5]Lead Sheet 4.3'!$I$23</f>
        <v>25399.398190712527</v>
      </c>
      <c r="J35" s="48"/>
      <c r="K35" s="48"/>
      <c r="L35" s="48"/>
      <c r="M35" s="48"/>
      <c r="N35" s="48"/>
      <c r="O35" s="48"/>
      <c r="P35" s="48"/>
      <c r="Q35" s="48"/>
      <c r="R35" s="48"/>
      <c r="S35" s="112">
        <f t="shared" si="15"/>
        <v>6376401.7842690684</v>
      </c>
      <c r="T35" s="20">
        <f t="shared" si="16"/>
        <v>0.99823234002733419</v>
      </c>
      <c r="U35" s="112">
        <f t="shared" si="17"/>
        <v>6365130.4740653811</v>
      </c>
      <c r="V35" s="4">
        <f t="shared" si="18"/>
        <v>-11271.310203687288</v>
      </c>
      <c r="W35" s="12">
        <v>9.1</v>
      </c>
      <c r="X35" s="29"/>
    </row>
    <row r="36" spans="1:24">
      <c r="A36" s="41" t="s">
        <v>57</v>
      </c>
      <c r="B36" s="15">
        <v>549</v>
      </c>
      <c r="C36" s="12" t="s">
        <v>26</v>
      </c>
      <c r="D36" s="104">
        <f>SUM([14]Report!$K$654,[14]Report!$K$664)</f>
        <v>114106.07097288451</v>
      </c>
      <c r="E36" s="48"/>
      <c r="F36" s="48"/>
      <c r="G36" s="48"/>
      <c r="H36" s="48">
        <f>'[5]Lead Sheet 4.2'!$I$26</f>
        <v>73.228796819369649</v>
      </c>
      <c r="I36" s="48">
        <f>'[5]Lead Sheet 4.3'!$I$26</f>
        <v>946.62779073768183</v>
      </c>
      <c r="J36" s="48"/>
      <c r="K36" s="48"/>
      <c r="L36" s="48"/>
      <c r="M36" s="48"/>
      <c r="N36" s="48"/>
      <c r="O36" s="48"/>
      <c r="P36" s="48"/>
      <c r="Q36" s="48"/>
      <c r="R36" s="48"/>
      <c r="S36" s="112">
        <f t="shared" si="15"/>
        <v>115125.92756044156</v>
      </c>
      <c r="T36" s="20">
        <f t="shared" si="16"/>
        <v>0.99823234002733419</v>
      </c>
      <c r="U36" s="112">
        <f t="shared" si="17"/>
        <v>114922.42406647695</v>
      </c>
      <c r="V36" s="4">
        <f t="shared" si="18"/>
        <v>-203.50349396461388</v>
      </c>
      <c r="W36" s="12">
        <v>9.1</v>
      </c>
      <c r="X36" s="29"/>
    </row>
    <row r="37" spans="1:24">
      <c r="A37" s="41" t="s">
        <v>57</v>
      </c>
      <c r="B37" s="15">
        <v>549</v>
      </c>
      <c r="C37" s="12" t="s">
        <v>7</v>
      </c>
      <c r="D37" s="104">
        <f>SUM([14]Report!$K$627,[14]Report!$K$648,[14]Report!$K$655,[14]Report!$K$665,[14]Report!$K$678,[14]Report!$K$685,[14]Report!$K$692)</f>
        <v>5352352.1840730142</v>
      </c>
      <c r="E37" s="48"/>
      <c r="F37" s="48"/>
      <c r="G37" s="48"/>
      <c r="H37" s="48">
        <f>'[5]Lead Sheet 4.2'!$I$25+'[5]Lead Sheet 4.2'!$I$28</f>
        <v>457.12483522496882</v>
      </c>
      <c r="I37" s="48">
        <f>'[5]Lead Sheet 4.3'!$I$25+'[5]Lead Sheet 4.3'!$I$28</f>
        <v>5909.247340601929</v>
      </c>
      <c r="J37" s="48"/>
      <c r="K37" s="48"/>
      <c r="L37" s="48"/>
      <c r="M37" s="48"/>
      <c r="N37" s="48"/>
      <c r="O37" s="48"/>
      <c r="P37" s="48"/>
      <c r="Q37" s="48"/>
      <c r="R37" s="48"/>
      <c r="S37" s="112">
        <f t="shared" si="15"/>
        <v>5358718.5562488409</v>
      </c>
      <c r="T37" s="20">
        <f t="shared" si="16"/>
        <v>0.99823234002733419</v>
      </c>
      <c r="U37" s="112">
        <f t="shared" si="17"/>
        <v>5349246.1639521783</v>
      </c>
      <c r="V37" s="4">
        <f t="shared" si="18"/>
        <v>-9472.3922966625541</v>
      </c>
      <c r="W37" s="12">
        <v>9.1</v>
      </c>
      <c r="X37" s="29"/>
    </row>
    <row r="38" spans="1:24">
      <c r="A38" s="41" t="s">
        <v>106</v>
      </c>
      <c r="B38" s="15">
        <v>556</v>
      </c>
      <c r="C38" s="12" t="s">
        <v>26</v>
      </c>
      <c r="D38" s="104">
        <f>SUM([14]Report!$K$720)</f>
        <v>125573.71977595623</v>
      </c>
      <c r="E38" s="48"/>
      <c r="F38" s="48"/>
      <c r="G38" s="48"/>
      <c r="H38" s="48"/>
      <c r="I38" s="48"/>
      <c r="J38" s="48"/>
      <c r="K38" s="48"/>
      <c r="L38" s="48"/>
      <c r="M38" s="48"/>
      <c r="N38" s="48"/>
      <c r="O38" s="48"/>
      <c r="P38" s="48"/>
      <c r="Q38" s="48"/>
      <c r="R38" s="48"/>
      <c r="S38" s="112">
        <f t="shared" si="15"/>
        <v>125573.71977595623</v>
      </c>
      <c r="T38" s="20">
        <f t="shared" si="16"/>
        <v>0.99823234002733419</v>
      </c>
      <c r="U38" s="112">
        <f t="shared" si="17"/>
        <v>125351.74813788952</v>
      </c>
      <c r="V38" s="4">
        <f t="shared" si="18"/>
        <v>-221.97163806670869</v>
      </c>
      <c r="W38" s="12">
        <v>9.1</v>
      </c>
      <c r="X38" s="29"/>
    </row>
    <row r="39" spans="1:24" s="41" customFormat="1">
      <c r="A39" s="41" t="s">
        <v>59</v>
      </c>
      <c r="B39" s="99">
        <v>557</v>
      </c>
      <c r="C39" s="97" t="s">
        <v>10</v>
      </c>
      <c r="D39" s="104">
        <f>[14]Report!$K$729</f>
        <v>-97006.2</v>
      </c>
      <c r="E39" s="48"/>
      <c r="F39" s="48"/>
      <c r="G39" s="48"/>
      <c r="H39" s="48"/>
      <c r="I39" s="48"/>
      <c r="J39" s="48"/>
      <c r="K39" s="48"/>
      <c r="L39" s="48"/>
      <c r="M39" s="48"/>
      <c r="N39" s="48"/>
      <c r="O39" s="48"/>
      <c r="P39" s="48"/>
      <c r="Q39" s="48"/>
      <c r="R39" s="48"/>
      <c r="S39" s="110">
        <f t="shared" si="15"/>
        <v>-97006.2</v>
      </c>
      <c r="T39" s="98">
        <f t="shared" si="16"/>
        <v>0.99823234002733419</v>
      </c>
      <c r="U39" s="110">
        <f t="shared" si="17"/>
        <v>-96834.726023159586</v>
      </c>
      <c r="V39" s="48">
        <f t="shared" si="18"/>
        <v>171.47397684041061</v>
      </c>
      <c r="W39" s="97">
        <v>9.1</v>
      </c>
      <c r="X39" s="89"/>
    </row>
    <row r="40" spans="1:24">
      <c r="A40" s="41" t="s">
        <v>59</v>
      </c>
      <c r="B40" s="15">
        <v>557</v>
      </c>
      <c r="C40" s="12" t="s">
        <v>26</v>
      </c>
      <c r="D40" s="104">
        <f>SUM([14]Report!$K$730)</f>
        <v>2408612.8427052838</v>
      </c>
      <c r="E40" s="48"/>
      <c r="F40" s="48"/>
      <c r="G40" s="48">
        <f>'[4]Lead Sheet'!$I$9</f>
        <v>-398.79035040746351</v>
      </c>
      <c r="H40" s="48">
        <f>'[5]Lead Sheet 4.2'!$I$32</f>
        <v>1486.1211996747884</v>
      </c>
      <c r="I40" s="48">
        <f>'[5]Lead Sheet 4.3'!$I$32</f>
        <v>19211.071178551261</v>
      </c>
      <c r="J40" s="48">
        <f>'[6]Lead Sheet'!$I$13</f>
        <v>-82916.446129532909</v>
      </c>
      <c r="K40" s="48"/>
      <c r="L40" s="48"/>
      <c r="M40" s="48">
        <f>'[8]Lead Sheet WCA'!$I$13</f>
        <v>152282.21898382137</v>
      </c>
      <c r="N40" s="48"/>
      <c r="O40" s="48"/>
      <c r="P40" s="48"/>
      <c r="Q40" s="48"/>
      <c r="R40" s="48"/>
      <c r="S40" s="112">
        <f t="shared" si="15"/>
        <v>2498277.0175873912</v>
      </c>
      <c r="T40" s="20">
        <f t="shared" si="16"/>
        <v>0.99823234002733419</v>
      </c>
      <c r="U40" s="112">
        <f t="shared" si="17"/>
        <v>2493860.9133027708</v>
      </c>
      <c r="V40" s="4">
        <f t="shared" si="18"/>
        <v>-4416.1042846203782</v>
      </c>
      <c r="W40" s="12">
        <v>9.1</v>
      </c>
      <c r="X40" s="29"/>
    </row>
    <row r="41" spans="1:24">
      <c r="A41" s="41" t="s">
        <v>59</v>
      </c>
      <c r="B41" s="15">
        <v>557</v>
      </c>
      <c r="C41" s="12" t="s">
        <v>7</v>
      </c>
      <c r="D41" s="104">
        <f>[14]Report!$K$735</f>
        <v>36632.321381902701</v>
      </c>
      <c r="E41" s="48"/>
      <c r="F41" s="48"/>
      <c r="G41" s="48"/>
      <c r="H41" s="48">
        <f>'[5]Lead Sheet 4.2'!$I$30</f>
        <v>27.278807630342413</v>
      </c>
      <c r="I41" s="48">
        <f>'[5]Lead Sheet 4.3'!$I$30</f>
        <v>352.63282373415814</v>
      </c>
      <c r="J41" s="48"/>
      <c r="K41" s="48"/>
      <c r="L41" s="48"/>
      <c r="M41" s="48"/>
      <c r="N41" s="48"/>
      <c r="O41" s="48"/>
      <c r="P41" s="48"/>
      <c r="Q41" s="48"/>
      <c r="R41" s="48"/>
      <c r="S41" s="112">
        <f t="shared" si="15"/>
        <v>37012.2330132672</v>
      </c>
      <c r="T41" s="20">
        <f t="shared" si="16"/>
        <v>0.99823234002733419</v>
      </c>
      <c r="U41" s="112">
        <f t="shared" si="17"/>
        <v>36946.807970470669</v>
      </c>
      <c r="V41" s="4">
        <f t="shared" si="18"/>
        <v>-65.425042796530761</v>
      </c>
      <c r="W41" s="12">
        <v>9.1</v>
      </c>
      <c r="X41" s="29"/>
    </row>
    <row r="42" spans="1:24">
      <c r="A42" s="41" t="s">
        <v>59</v>
      </c>
      <c r="B42" s="15">
        <v>557</v>
      </c>
      <c r="C42" s="12" t="s">
        <v>46</v>
      </c>
      <c r="D42" s="104">
        <f>[14]Report!$K$737</f>
        <v>500856.03844505805</v>
      </c>
      <c r="E42" s="48"/>
      <c r="F42" s="48"/>
      <c r="G42" s="48"/>
      <c r="H42" s="48">
        <f>'[5]Lead Sheet 4.2'!$I$31</f>
        <v>350.40493073336393</v>
      </c>
      <c r="I42" s="48">
        <f>'[5]Lead Sheet 4.3'!$I$31</f>
        <v>4529.6803969333614</v>
      </c>
      <c r="J42" s="48"/>
      <c r="K42" s="48"/>
      <c r="L42" s="48"/>
      <c r="M42" s="48"/>
      <c r="N42" s="48"/>
      <c r="O42" s="48"/>
      <c r="P42" s="48"/>
      <c r="Q42" s="48"/>
      <c r="R42" s="48"/>
      <c r="S42" s="112">
        <f t="shared" si="15"/>
        <v>505736.12377272476</v>
      </c>
      <c r="T42" s="20">
        <f t="shared" si="16"/>
        <v>0.99823234002733419</v>
      </c>
      <c r="U42" s="112">
        <f t="shared" si="17"/>
        <v>504842.15427000058</v>
      </c>
      <c r="V42" s="4">
        <f t="shared" si="18"/>
        <v>-893.96950272418326</v>
      </c>
      <c r="W42" s="12">
        <v>9.1</v>
      </c>
      <c r="X42" s="29"/>
    </row>
    <row r="43" spans="1:24">
      <c r="A43" s="41"/>
      <c r="D43" s="109">
        <f t="shared" ref="D43:R43" si="19">SUM(D29:D42)</f>
        <v>27310016.713088207</v>
      </c>
      <c r="E43" s="11">
        <f t="shared" si="19"/>
        <v>0</v>
      </c>
      <c r="F43" s="11">
        <f t="shared" si="19"/>
        <v>0</v>
      </c>
      <c r="G43" s="11">
        <f t="shared" si="19"/>
        <v>-398.79035040746351</v>
      </c>
      <c r="H43" s="11">
        <f t="shared" si="19"/>
        <v>8927.3199721289257</v>
      </c>
      <c r="I43" s="11">
        <f t="shared" si="19"/>
        <v>115403.3597366093</v>
      </c>
      <c r="J43" s="11">
        <f t="shared" si="19"/>
        <v>-83007.952375835404</v>
      </c>
      <c r="K43" s="11">
        <f t="shared" si="19"/>
        <v>0</v>
      </c>
      <c r="L43" s="11">
        <f t="shared" si="19"/>
        <v>0</v>
      </c>
      <c r="M43" s="11">
        <f t="shared" si="19"/>
        <v>152282.21898382137</v>
      </c>
      <c r="N43" s="11">
        <f t="shared" si="19"/>
        <v>0</v>
      </c>
      <c r="O43" s="11">
        <f t="shared" si="19"/>
        <v>0</v>
      </c>
      <c r="P43" s="11">
        <f t="shared" si="19"/>
        <v>0</v>
      </c>
      <c r="Q43" s="11">
        <f t="shared" si="19"/>
        <v>0</v>
      </c>
      <c r="R43" s="11">
        <f t="shared" si="19"/>
        <v>0</v>
      </c>
      <c r="S43" s="109">
        <f>SUM(S29:S42)</f>
        <v>27503222.869054522</v>
      </c>
      <c r="T43" s="21"/>
      <c r="U43" s="109">
        <f>SUM(U29:U42)</f>
        <v>27454606.522869591</v>
      </c>
      <c r="V43" s="11">
        <f>SUM(V29:V42)</f>
        <v>-48616.346184935617</v>
      </c>
      <c r="W43" s="12">
        <v>9.1</v>
      </c>
      <c r="X43" s="92"/>
    </row>
    <row r="44" spans="1:24">
      <c r="D44" s="108"/>
      <c r="E44" s="41"/>
      <c r="F44" s="41"/>
      <c r="G44" s="41"/>
      <c r="H44" s="41"/>
      <c r="I44" s="41"/>
      <c r="J44" s="41"/>
      <c r="K44" s="41"/>
      <c r="L44" s="41"/>
      <c r="M44" s="41"/>
      <c r="N44" s="41"/>
      <c r="O44" s="41"/>
      <c r="P44" s="41"/>
      <c r="Q44" s="41"/>
      <c r="R44" s="41"/>
      <c r="S44" s="113"/>
      <c r="T44" s="12"/>
      <c r="U44" s="113"/>
    </row>
    <row r="45" spans="1:24">
      <c r="A45" s="16" t="s">
        <v>39</v>
      </c>
      <c r="D45" s="110"/>
      <c r="E45" s="51"/>
      <c r="F45" s="51"/>
      <c r="G45" s="51"/>
      <c r="H45" s="51"/>
      <c r="I45" s="51"/>
      <c r="J45" s="51"/>
      <c r="K45" s="51"/>
      <c r="L45" s="51"/>
      <c r="M45" s="51"/>
      <c r="N45" s="51"/>
      <c r="O45" s="51"/>
      <c r="P45" s="51"/>
      <c r="Q45" s="51"/>
      <c r="R45" s="51"/>
      <c r="S45" s="112"/>
      <c r="T45" s="20"/>
      <c r="U45" s="112"/>
      <c r="V45" s="4"/>
    </row>
    <row r="46" spans="1:24">
      <c r="A46" s="3" t="s">
        <v>13</v>
      </c>
      <c r="B46" s="12" t="s">
        <v>40</v>
      </c>
      <c r="C46" s="12" t="s">
        <v>7</v>
      </c>
      <c r="D46" s="104">
        <f>[14]Report!$K$232</f>
        <v>78723890.002297029</v>
      </c>
      <c r="E46" s="48"/>
      <c r="F46" s="48"/>
      <c r="G46" s="48"/>
      <c r="H46" s="48"/>
      <c r="I46" s="48"/>
      <c r="J46" s="48"/>
      <c r="K46" s="48">
        <f>'[7]Lead Sheet - 5.1'!$I$11</f>
        <v>3803644.2032988709</v>
      </c>
      <c r="L46" s="48">
        <f>SUM('[7]Lead Sheet - 5.2'!$I$10:$I$11)</f>
        <v>-43487526.543622248</v>
      </c>
      <c r="M46" s="48"/>
      <c r="N46" s="48"/>
      <c r="O46" s="48"/>
      <c r="P46" s="48"/>
      <c r="Q46" s="48"/>
      <c r="R46" s="48"/>
      <c r="S46" s="112">
        <f t="shared" ref="S46:S52" si="20">SUM(D46:R46)</f>
        <v>39040007.661973648</v>
      </c>
      <c r="T46" s="20">
        <f t="shared" ref="T46:T52" si="21">$D$77</f>
        <v>0.99823234002733419</v>
      </c>
      <c r="U46" s="112">
        <f t="shared" ref="U46:U52" si="22">S46*T46</f>
        <v>38970998.203097008</v>
      </c>
      <c r="V46" s="4">
        <f t="shared" ref="V46:V52" si="23">U46-S46</f>
        <v>-69009.458876639605</v>
      </c>
      <c r="W46" s="12" t="s">
        <v>77</v>
      </c>
      <c r="X46" s="29"/>
    </row>
    <row r="47" spans="1:24">
      <c r="A47" s="3" t="s">
        <v>8</v>
      </c>
      <c r="B47" s="12" t="s">
        <v>41</v>
      </c>
      <c r="C47" s="12" t="s">
        <v>7</v>
      </c>
      <c r="D47" s="104">
        <f>[14]Report!$K$709</f>
        <v>77304802.070632443</v>
      </c>
      <c r="E47" s="48"/>
      <c r="F47" s="48"/>
      <c r="G47" s="48"/>
      <c r="H47" s="48"/>
      <c r="I47" s="48"/>
      <c r="J47" s="48"/>
      <c r="K47" s="48">
        <f>SUM('[7]Lead Sheet - 5.1'!$I$19:$I$20)</f>
        <v>-4235345.8895238079</v>
      </c>
      <c r="L47" s="48">
        <f>SUM('[7]Lead Sheet - 5.2'!$I$16,'[7]Lead Sheet - 5.2'!$I$19:$I$20)</f>
        <v>-6438156.7566273585</v>
      </c>
      <c r="M47" s="48"/>
      <c r="N47" s="48"/>
      <c r="O47" s="48"/>
      <c r="P47" s="48"/>
      <c r="Q47" s="48"/>
      <c r="R47" s="48"/>
      <c r="S47" s="112">
        <f t="shared" si="20"/>
        <v>66631299.42448128</v>
      </c>
      <c r="T47" s="20">
        <f t="shared" si="21"/>
        <v>0.99823234002733419</v>
      </c>
      <c r="U47" s="112">
        <f t="shared" si="22"/>
        <v>66513517.943561912</v>
      </c>
      <c r="V47" s="4">
        <f t="shared" si="23"/>
        <v>-117781.48091936857</v>
      </c>
      <c r="W47" s="12" t="s">
        <v>77</v>
      </c>
      <c r="X47" s="29"/>
    </row>
    <row r="48" spans="1:24">
      <c r="A48" s="3" t="s">
        <v>8</v>
      </c>
      <c r="B48" s="12" t="s">
        <v>41</v>
      </c>
      <c r="C48" s="12" t="s">
        <v>9</v>
      </c>
      <c r="D48" s="104">
        <f>[14]Report!$K$711</f>
        <v>4518794.0772338118</v>
      </c>
      <c r="E48" s="48"/>
      <c r="F48" s="48"/>
      <c r="G48" s="48"/>
      <c r="H48" s="48"/>
      <c r="I48" s="48"/>
      <c r="J48" s="48"/>
      <c r="K48" s="48">
        <f>'[7]Lead Sheet - 5.1'!$I$17</f>
        <v>0</v>
      </c>
      <c r="L48" s="48">
        <f>'[7]Lead Sheet - 5.2'!$I$17</f>
        <v>-2748483.8391599618</v>
      </c>
      <c r="M48" s="48"/>
      <c r="N48" s="48"/>
      <c r="O48" s="48"/>
      <c r="P48" s="48"/>
      <c r="Q48" s="48"/>
      <c r="R48" s="48"/>
      <c r="S48" s="112">
        <f t="shared" si="20"/>
        <v>1770310.2380738501</v>
      </c>
      <c r="T48" s="20">
        <f t="shared" si="21"/>
        <v>0.99823234002733419</v>
      </c>
      <c r="U48" s="112">
        <f t="shared" si="22"/>
        <v>1767180.9315268064</v>
      </c>
      <c r="V48" s="4">
        <f t="shared" si="23"/>
        <v>-3129.3065470436122</v>
      </c>
      <c r="W48" s="12" t="s">
        <v>77</v>
      </c>
      <c r="X48" s="29"/>
    </row>
    <row r="49" spans="1:24">
      <c r="A49" s="3" t="s">
        <v>8</v>
      </c>
      <c r="B49" s="12" t="s">
        <v>41</v>
      </c>
      <c r="C49" s="12" t="s">
        <v>10</v>
      </c>
      <c r="D49" s="104">
        <f>[14]Report!$K$714</f>
        <v>2503683</v>
      </c>
      <c r="E49" s="48"/>
      <c r="F49" s="48"/>
      <c r="G49" s="48"/>
      <c r="H49" s="48"/>
      <c r="I49" s="48"/>
      <c r="J49" s="48"/>
      <c r="K49" s="48">
        <f>'[7]Lead Sheet - 5.1'!$I$18</f>
        <v>0</v>
      </c>
      <c r="L49" s="48">
        <f>'[7]Lead Sheet - 5.2'!$I$18</f>
        <v>550719.50999999978</v>
      </c>
      <c r="M49" s="48"/>
      <c r="N49" s="48"/>
      <c r="O49" s="48"/>
      <c r="P49" s="48"/>
      <c r="Q49" s="48"/>
      <c r="R49" s="48"/>
      <c r="S49" s="112">
        <f t="shared" si="20"/>
        <v>3054402.51</v>
      </c>
      <c r="T49" s="20">
        <f t="shared" si="21"/>
        <v>0.99823234002733419</v>
      </c>
      <c r="U49" s="112">
        <f t="shared" si="22"/>
        <v>3049003.3649426629</v>
      </c>
      <c r="V49" s="4">
        <f t="shared" si="23"/>
        <v>-5399.1450573368929</v>
      </c>
      <c r="W49" s="12" t="s">
        <v>77</v>
      </c>
      <c r="X49" s="29"/>
    </row>
    <row r="50" spans="1:24">
      <c r="A50" s="3" t="s">
        <v>11</v>
      </c>
      <c r="B50" s="12" t="s">
        <v>42</v>
      </c>
      <c r="C50" s="12" t="s">
        <v>7</v>
      </c>
      <c r="D50" s="104">
        <f>[14]Report!$K$824</f>
        <v>20422750.559093829</v>
      </c>
      <c r="E50" s="48"/>
      <c r="F50" s="48"/>
      <c r="G50" s="48"/>
      <c r="H50" s="48"/>
      <c r="I50" s="48"/>
      <c r="J50" s="48"/>
      <c r="K50" s="48">
        <f>SUM('[7]Lead Sheet - 5.1'!$I$24:$I$25)</f>
        <v>0</v>
      </c>
      <c r="L50" s="48">
        <f>SUM('[7]Lead Sheet - 5.2'!$I$24:$I$25)</f>
        <v>3336530.3943000822</v>
      </c>
      <c r="M50" s="48"/>
      <c r="N50" s="48"/>
      <c r="O50" s="48"/>
      <c r="P50" s="48"/>
      <c r="Q50" s="48"/>
      <c r="R50" s="48"/>
      <c r="S50" s="112">
        <f t="shared" si="20"/>
        <v>23759280.95339391</v>
      </c>
      <c r="T50" s="20">
        <f t="shared" si="21"/>
        <v>0.99823234002733419</v>
      </c>
      <c r="U50" s="112">
        <f t="shared" si="22"/>
        <v>23717282.623473275</v>
      </c>
      <c r="V50" s="4">
        <f t="shared" si="23"/>
        <v>-41998.329920634627</v>
      </c>
      <c r="W50" s="12" t="s">
        <v>77</v>
      </c>
      <c r="X50" s="29"/>
    </row>
    <row r="51" spans="1:24">
      <c r="A51" s="3" t="s">
        <v>12</v>
      </c>
      <c r="B51" s="12" t="s">
        <v>43</v>
      </c>
      <c r="C51" s="12" t="s">
        <v>9</v>
      </c>
      <c r="D51" s="104">
        <f>[14]Report!$K$385</f>
        <v>35851280.58592236</v>
      </c>
      <c r="E51" s="48"/>
      <c r="F51" s="48"/>
      <c r="G51" s="48"/>
      <c r="H51" s="48"/>
      <c r="I51" s="48"/>
      <c r="J51" s="48"/>
      <c r="K51" s="48">
        <f>'[7]Lead Sheet - 5.1'!$I$30</f>
        <v>-1306516.3102050694</v>
      </c>
      <c r="L51" s="48">
        <f>'[7]Lead Sheet - 5.2'!$I$30</f>
        <v>4196528.7116824677</v>
      </c>
      <c r="M51" s="48"/>
      <c r="N51" s="48"/>
      <c r="O51" s="48"/>
      <c r="P51" s="48"/>
      <c r="Q51" s="48"/>
      <c r="R51" s="48"/>
      <c r="S51" s="112">
        <f t="shared" si="20"/>
        <v>38741292.987399757</v>
      </c>
      <c r="T51" s="20">
        <f t="shared" si="21"/>
        <v>0.99823234002733419</v>
      </c>
      <c r="U51" s="112">
        <f t="shared" si="22"/>
        <v>38672811.554496609</v>
      </c>
      <c r="V51" s="4">
        <f t="shared" si="23"/>
        <v>-68481.432903148234</v>
      </c>
      <c r="W51" s="12" t="s">
        <v>77</v>
      </c>
      <c r="X51" s="29"/>
    </row>
    <row r="52" spans="1:24">
      <c r="A52" s="3" t="s">
        <v>12</v>
      </c>
      <c r="B52" s="12" t="s">
        <v>44</v>
      </c>
      <c r="C52" s="12" t="s">
        <v>9</v>
      </c>
      <c r="D52" s="104">
        <f>[14]Report!$K$641</f>
        <v>40562599.875692278</v>
      </c>
      <c r="E52" s="48"/>
      <c r="F52" s="48"/>
      <c r="G52" s="48"/>
      <c r="H52" s="48"/>
      <c r="I52" s="48"/>
      <c r="J52" s="48"/>
      <c r="K52" s="48">
        <f>'[7]Lead Sheet - 5.1'!$I$31</f>
        <v>-1654574.4183215983</v>
      </c>
      <c r="L52" s="48">
        <f>'[7]Lead Sheet - 5.2'!$I$31</f>
        <v>-4953979.2930746647</v>
      </c>
      <c r="M52" s="48"/>
      <c r="N52" s="48"/>
      <c r="O52" s="48"/>
      <c r="P52" s="48"/>
      <c r="Q52" s="48"/>
      <c r="R52" s="48"/>
      <c r="S52" s="112">
        <f t="shared" si="20"/>
        <v>33954046.164296016</v>
      </c>
      <c r="T52" s="20">
        <f t="shared" si="21"/>
        <v>0.99823234002733419</v>
      </c>
      <c r="U52" s="112">
        <f t="shared" si="22"/>
        <v>33894026.955981344</v>
      </c>
      <c r="V52" s="4">
        <f t="shared" si="23"/>
        <v>-60019.208314672112</v>
      </c>
      <c r="W52" s="12" t="s">
        <v>77</v>
      </c>
      <c r="X52" s="29"/>
    </row>
    <row r="53" spans="1:24" s="41" customFormat="1">
      <c r="D53" s="111">
        <f t="shared" ref="D53:R53" si="24">SUM(D47:D52)-D46</f>
        <v>102440020.16627769</v>
      </c>
      <c r="E53" s="42">
        <f t="shared" si="24"/>
        <v>0</v>
      </c>
      <c r="F53" s="42">
        <f t="shared" si="24"/>
        <v>0</v>
      </c>
      <c r="G53" s="42">
        <f t="shared" si="24"/>
        <v>0</v>
      </c>
      <c r="H53" s="42">
        <f t="shared" si="24"/>
        <v>0</v>
      </c>
      <c r="I53" s="42">
        <f t="shared" si="24"/>
        <v>0</v>
      </c>
      <c r="J53" s="42">
        <f t="shared" si="24"/>
        <v>0</v>
      </c>
      <c r="K53" s="42">
        <f t="shared" si="24"/>
        <v>-11000080.821349347</v>
      </c>
      <c r="L53" s="42">
        <f t="shared" si="24"/>
        <v>37430685.270742811</v>
      </c>
      <c r="M53" s="42">
        <f t="shared" si="24"/>
        <v>0</v>
      </c>
      <c r="N53" s="42">
        <f t="shared" si="24"/>
        <v>0</v>
      </c>
      <c r="O53" s="42">
        <f t="shared" si="24"/>
        <v>0</v>
      </c>
      <c r="P53" s="42">
        <f t="shared" si="24"/>
        <v>0</v>
      </c>
      <c r="Q53" s="42">
        <f t="shared" si="24"/>
        <v>0</v>
      </c>
      <c r="R53" s="42">
        <f t="shared" si="24"/>
        <v>0</v>
      </c>
      <c r="S53" s="111">
        <f>SUM(S47:S52)-S46</f>
        <v>128870624.61567116</v>
      </c>
      <c r="T53" s="43"/>
      <c r="U53" s="111">
        <f>SUM(U47:U52)-U46</f>
        <v>128642825.17088559</v>
      </c>
      <c r="V53" s="42">
        <f>SUM(V47:V52)-V46</f>
        <v>-227799.44478556444</v>
      </c>
      <c r="W53" s="12" t="s">
        <v>77</v>
      </c>
      <c r="X53" s="43"/>
    </row>
    <row r="54" spans="1:24">
      <c r="D54" s="112"/>
      <c r="E54" s="14"/>
      <c r="F54" s="14"/>
      <c r="G54" s="14"/>
      <c r="H54" s="14"/>
      <c r="I54" s="14"/>
      <c r="J54" s="14"/>
      <c r="K54" s="14"/>
      <c r="L54" s="14"/>
      <c r="M54" s="14"/>
      <c r="N54" s="14"/>
      <c r="O54" s="14"/>
      <c r="P54" s="14"/>
      <c r="Q54" s="14"/>
      <c r="R54" s="14"/>
      <c r="S54" s="112"/>
      <c r="T54" s="20"/>
      <c r="U54" s="112"/>
      <c r="V54" s="4"/>
    </row>
    <row r="55" spans="1:24">
      <c r="A55" s="16" t="s">
        <v>37</v>
      </c>
      <c r="D55" s="113"/>
      <c r="S55" s="113"/>
      <c r="U55" s="113"/>
    </row>
    <row r="56" spans="1:24">
      <c r="A56" s="3" t="s">
        <v>36</v>
      </c>
      <c r="B56" s="12">
        <v>456</v>
      </c>
      <c r="C56" s="12" t="s">
        <v>7</v>
      </c>
      <c r="D56" s="112">
        <v>0</v>
      </c>
      <c r="E56" s="14"/>
      <c r="F56" s="14"/>
      <c r="G56" s="14"/>
      <c r="H56" s="14"/>
      <c r="I56" s="14"/>
      <c r="J56" s="14"/>
      <c r="K56" s="14"/>
      <c r="L56" s="14"/>
      <c r="M56" s="14"/>
      <c r="N56" s="14">
        <f>'[9]Lead Sheet WA'!$H$11</f>
        <v>1178569.3667911782</v>
      </c>
      <c r="O56" s="14"/>
      <c r="P56" s="14"/>
      <c r="Q56" s="14"/>
      <c r="R56" s="14"/>
      <c r="S56" s="112">
        <f>SUM(D56:R56)</f>
        <v>1178569.3667911782</v>
      </c>
      <c r="T56" s="20">
        <f>$D$77</f>
        <v>0.99823234002733419</v>
      </c>
      <c r="U56" s="112">
        <f>S56*T56</f>
        <v>1176486.0568964914</v>
      </c>
      <c r="V56" s="4">
        <f>U56-S56</f>
        <v>-2083.3098946867976</v>
      </c>
      <c r="W56" s="12" t="s">
        <v>77</v>
      </c>
      <c r="X56" s="29"/>
    </row>
    <row r="57" spans="1:24">
      <c r="D57" s="112"/>
      <c r="E57" s="14"/>
      <c r="F57" s="14"/>
      <c r="G57" s="14"/>
      <c r="H57" s="14"/>
      <c r="I57" s="14"/>
      <c r="J57" s="14"/>
      <c r="K57" s="14"/>
      <c r="L57" s="14"/>
      <c r="M57" s="14"/>
      <c r="N57" s="14"/>
      <c r="O57" s="14"/>
      <c r="P57" s="14"/>
      <c r="Q57" s="14"/>
      <c r="R57" s="14"/>
      <c r="S57" s="112"/>
      <c r="T57" s="20"/>
      <c r="U57" s="112"/>
      <c r="V57" s="4"/>
    </row>
    <row r="58" spans="1:24">
      <c r="A58" s="16" t="s">
        <v>38</v>
      </c>
      <c r="D58" s="112"/>
      <c r="E58" s="14"/>
      <c r="F58" s="14"/>
      <c r="G58" s="14"/>
      <c r="H58" s="14"/>
      <c r="I58" s="14"/>
      <c r="J58" s="14"/>
      <c r="K58" s="14"/>
      <c r="L58" s="14"/>
      <c r="M58" s="14"/>
      <c r="N58" s="14"/>
      <c r="O58" s="14"/>
      <c r="P58" s="14"/>
      <c r="Q58" s="14"/>
      <c r="R58" s="14"/>
      <c r="S58" s="112"/>
      <c r="T58" s="20"/>
      <c r="U58" s="112"/>
      <c r="V58" s="4"/>
    </row>
    <row r="59" spans="1:24">
      <c r="A59" s="3" t="s">
        <v>81</v>
      </c>
      <c r="B59" s="12">
        <v>399</v>
      </c>
      <c r="C59" s="12" t="s">
        <v>55</v>
      </c>
      <c r="D59" s="112">
        <v>0</v>
      </c>
      <c r="E59" s="14"/>
      <c r="F59" s="14"/>
      <c r="G59" s="14"/>
      <c r="H59" s="14"/>
      <c r="I59" s="14"/>
      <c r="J59" s="14"/>
      <c r="K59" s="14"/>
      <c r="L59" s="14"/>
      <c r="M59" s="14"/>
      <c r="N59" s="14"/>
      <c r="O59" s="14"/>
      <c r="P59" s="14"/>
      <c r="Q59" s="14">
        <f>'[12]Lead Sheet'!I10</f>
        <v>53613851.168249354</v>
      </c>
      <c r="R59" s="14"/>
      <c r="S59" s="112">
        <f t="shared" ref="S59:S63" si="25">SUM(D59:R59)</f>
        <v>53613851.168249354</v>
      </c>
      <c r="T59" s="20">
        <f>$D$77</f>
        <v>0.99823234002733419</v>
      </c>
      <c r="U59" s="112">
        <f t="shared" ref="U59:U63" si="26">S59*T59</f>
        <v>53519080.109558776</v>
      </c>
      <c r="V59" s="4">
        <f t="shared" ref="V59:V63" si="27">U59-S59</f>
        <v>-94771.058690577745</v>
      </c>
      <c r="W59" s="12" t="s">
        <v>77</v>
      </c>
      <c r="X59" s="29"/>
    </row>
    <row r="60" spans="1:24">
      <c r="A60" s="3" t="s">
        <v>82</v>
      </c>
      <c r="B60" s="94">
        <v>154</v>
      </c>
      <c r="C60" s="12" t="s">
        <v>55</v>
      </c>
      <c r="D60" s="112">
        <v>0</v>
      </c>
      <c r="E60" s="14"/>
      <c r="F60" s="14"/>
      <c r="G60" s="14"/>
      <c r="H60" s="14"/>
      <c r="I60" s="14"/>
      <c r="J60" s="14"/>
      <c r="K60" s="14"/>
      <c r="L60" s="14"/>
      <c r="M60" s="14"/>
      <c r="N60" s="14"/>
      <c r="O60" s="14"/>
      <c r="P60" s="14"/>
      <c r="Q60" s="14">
        <f>'[12]Lead Sheet'!I11</f>
        <v>2005617.942152187</v>
      </c>
      <c r="R60" s="14"/>
      <c r="S60" s="112">
        <f t="shared" si="25"/>
        <v>2005617.942152187</v>
      </c>
      <c r="T60" s="20">
        <f>$D$77</f>
        <v>0.99823234002733419</v>
      </c>
      <c r="U60" s="112">
        <f t="shared" si="26"/>
        <v>2002072.6915953842</v>
      </c>
      <c r="V60" s="4">
        <f t="shared" si="27"/>
        <v>-3545.2505568028428</v>
      </c>
      <c r="W60" s="12" t="s">
        <v>77</v>
      </c>
      <c r="X60" s="29"/>
    </row>
    <row r="61" spans="1:24">
      <c r="A61" s="93" t="s">
        <v>83</v>
      </c>
      <c r="B61" s="94">
        <v>151</v>
      </c>
      <c r="C61" s="12" t="s">
        <v>55</v>
      </c>
      <c r="D61" s="112">
        <v>0</v>
      </c>
      <c r="E61" s="14"/>
      <c r="F61" s="14"/>
      <c r="G61" s="14"/>
      <c r="H61" s="14"/>
      <c r="I61" s="14"/>
      <c r="J61" s="14"/>
      <c r="K61" s="14"/>
      <c r="L61" s="14"/>
      <c r="M61" s="14"/>
      <c r="N61" s="14"/>
      <c r="O61" s="14"/>
      <c r="P61" s="14"/>
      <c r="Q61" s="14">
        <f>'[12]Lead Sheet'!I12</f>
        <v>2033952.2560125524</v>
      </c>
      <c r="R61" s="14"/>
      <c r="S61" s="112">
        <f t="shared" si="25"/>
        <v>2033952.2560125524</v>
      </c>
      <c r="T61" s="20">
        <f>$D$77</f>
        <v>0.99823234002733419</v>
      </c>
      <c r="U61" s="112">
        <f t="shared" si="26"/>
        <v>2030356.9200232858</v>
      </c>
      <c r="V61" s="4">
        <f t="shared" si="27"/>
        <v>-3595.335989266634</v>
      </c>
      <c r="W61" s="12" t="s">
        <v>77</v>
      </c>
      <c r="X61" s="29"/>
    </row>
    <row r="62" spans="1:24">
      <c r="A62" s="93" t="s">
        <v>84</v>
      </c>
      <c r="B62" s="94" t="s">
        <v>76</v>
      </c>
      <c r="C62" s="12" t="s">
        <v>55</v>
      </c>
      <c r="D62" s="112">
        <v>0</v>
      </c>
      <c r="E62" s="14"/>
      <c r="F62" s="14"/>
      <c r="G62" s="14"/>
      <c r="H62" s="14"/>
      <c r="I62" s="14"/>
      <c r="J62" s="14"/>
      <c r="K62" s="14"/>
      <c r="L62" s="14"/>
      <c r="M62" s="14"/>
      <c r="N62" s="14"/>
      <c r="O62" s="14"/>
      <c r="P62" s="14"/>
      <c r="Q62" s="14">
        <f>'[12]Lead Sheet'!I13</f>
        <v>514243.44230495289</v>
      </c>
      <c r="R62" s="14"/>
      <c r="S62" s="112">
        <f t="shared" si="25"/>
        <v>514243.44230495289</v>
      </c>
      <c r="T62" s="20">
        <f>$D$77</f>
        <v>0.99823234002733419</v>
      </c>
      <c r="U62" s="112">
        <f t="shared" si="26"/>
        <v>513334.43475578452</v>
      </c>
      <c r="V62" s="4">
        <f t="shared" si="27"/>
        <v>-909.0075491683674</v>
      </c>
      <c r="W62" s="12" t="s">
        <v>77</v>
      </c>
      <c r="X62" s="29"/>
    </row>
    <row r="63" spans="1:24">
      <c r="A63" s="93" t="s">
        <v>107</v>
      </c>
      <c r="B63" s="94" t="s">
        <v>75</v>
      </c>
      <c r="C63" s="12" t="s">
        <v>55</v>
      </c>
      <c r="D63" s="112">
        <v>0</v>
      </c>
      <c r="E63" s="14"/>
      <c r="F63" s="14"/>
      <c r="G63" s="14"/>
      <c r="H63" s="14"/>
      <c r="I63" s="14"/>
      <c r="J63" s="14"/>
      <c r="K63" s="14"/>
      <c r="L63" s="14"/>
      <c r="M63" s="14"/>
      <c r="N63" s="14"/>
      <c r="O63" s="14"/>
      <c r="P63" s="14"/>
      <c r="Q63" s="14">
        <f>'[12]Lead Sheet'!I14</f>
        <v>-23449722.352869298</v>
      </c>
      <c r="R63" s="14"/>
      <c r="S63" s="112">
        <f t="shared" si="25"/>
        <v>-23449722.352869298</v>
      </c>
      <c r="T63" s="20">
        <f>$D$77</f>
        <v>0.99823234002733419</v>
      </c>
      <c r="U63" s="112">
        <f t="shared" si="26"/>
        <v>-23408271.217296004</v>
      </c>
      <c r="V63" s="4">
        <f t="shared" si="27"/>
        <v>41451.135573294014</v>
      </c>
      <c r="W63" s="12" t="s">
        <v>77</v>
      </c>
      <c r="X63" s="29"/>
    </row>
    <row r="64" spans="1:24">
      <c r="D64" s="114">
        <f t="shared" ref="D64:R64" si="28">SUM(D59:D63)</f>
        <v>0</v>
      </c>
      <c r="E64" s="95">
        <f t="shared" si="28"/>
        <v>0</v>
      </c>
      <c r="F64" s="95">
        <f t="shared" si="28"/>
        <v>0</v>
      </c>
      <c r="G64" s="95">
        <f t="shared" si="28"/>
        <v>0</v>
      </c>
      <c r="H64" s="95">
        <f t="shared" si="28"/>
        <v>0</v>
      </c>
      <c r="I64" s="95">
        <f t="shared" si="28"/>
        <v>0</v>
      </c>
      <c r="J64" s="95">
        <f t="shared" si="28"/>
        <v>0</v>
      </c>
      <c r="K64" s="95">
        <f t="shared" si="28"/>
        <v>0</v>
      </c>
      <c r="L64" s="95">
        <f t="shared" si="28"/>
        <v>0</v>
      </c>
      <c r="M64" s="95">
        <f t="shared" si="28"/>
        <v>0</v>
      </c>
      <c r="N64" s="95">
        <f t="shared" si="28"/>
        <v>0</v>
      </c>
      <c r="O64" s="95">
        <f t="shared" si="28"/>
        <v>0</v>
      </c>
      <c r="P64" s="95">
        <f t="shared" si="28"/>
        <v>0</v>
      </c>
      <c r="Q64" s="95">
        <f t="shared" si="28"/>
        <v>34717942.455849752</v>
      </c>
      <c r="R64" s="95">
        <f t="shared" si="28"/>
        <v>0</v>
      </c>
      <c r="S64" s="114">
        <f>SUM(S59:S63)</f>
        <v>34717942.455849752</v>
      </c>
      <c r="T64" s="20"/>
      <c r="U64" s="114">
        <f>SUM(U59:U63)</f>
        <v>34656572.938637227</v>
      </c>
      <c r="V64" s="95">
        <f>SUM(V59:V63)</f>
        <v>-61369.517212521576</v>
      </c>
      <c r="X64" s="29"/>
    </row>
    <row r="65" spans="1:24">
      <c r="D65" s="112"/>
      <c r="E65" s="14"/>
      <c r="F65" s="14"/>
      <c r="G65" s="14"/>
      <c r="H65" s="14"/>
      <c r="I65" s="14"/>
      <c r="J65" s="14"/>
      <c r="K65" s="14"/>
      <c r="L65" s="14"/>
      <c r="M65" s="14"/>
      <c r="N65" s="14"/>
      <c r="O65" s="14"/>
      <c r="P65" s="14"/>
      <c r="Q65" s="14"/>
      <c r="R65" s="14"/>
      <c r="S65" s="112"/>
      <c r="T65" s="20"/>
      <c r="U65" s="112"/>
      <c r="V65" s="4"/>
    </row>
    <row r="66" spans="1:24">
      <c r="A66" s="16" t="s">
        <v>60</v>
      </c>
      <c r="D66" s="112"/>
      <c r="E66" s="14"/>
      <c r="F66" s="14"/>
      <c r="G66" s="14"/>
      <c r="H66" s="14"/>
      <c r="I66" s="14"/>
      <c r="J66" s="14"/>
      <c r="K66" s="14"/>
      <c r="L66" s="14"/>
      <c r="M66" s="14"/>
      <c r="N66" s="14"/>
      <c r="O66" s="14"/>
      <c r="P66" s="14"/>
      <c r="Q66" s="14"/>
      <c r="R66" s="14"/>
      <c r="S66" s="112"/>
      <c r="T66" s="20"/>
      <c r="U66" s="112"/>
      <c r="V66" s="4"/>
    </row>
    <row r="67" spans="1:24">
      <c r="A67" s="3" t="s">
        <v>108</v>
      </c>
      <c r="B67" s="12">
        <v>4118</v>
      </c>
      <c r="C67" s="12" t="s">
        <v>10</v>
      </c>
      <c r="D67" s="104">
        <f>[14]Report!$K$327</f>
        <v>-299113.29608875979</v>
      </c>
      <c r="E67" s="48">
        <f>'[2]Lead Sheet'!$I$12</f>
        <v>-237950.87274093495</v>
      </c>
      <c r="F67" s="48"/>
      <c r="G67" s="48"/>
      <c r="H67" s="48"/>
      <c r="I67" s="48"/>
      <c r="J67" s="48"/>
      <c r="K67" s="48"/>
      <c r="L67" s="48"/>
      <c r="M67" s="48"/>
      <c r="N67" s="48"/>
      <c r="O67" s="48"/>
      <c r="P67" s="48"/>
      <c r="Q67" s="48"/>
      <c r="R67" s="48"/>
      <c r="S67" s="112">
        <f t="shared" ref="S67:S68" si="29">SUM(D67:R67)</f>
        <v>-537064.16882969474</v>
      </c>
      <c r="T67" s="20">
        <f>$D$77</f>
        <v>0.99823234002733419</v>
      </c>
      <c r="U67" s="112">
        <f t="shared" ref="U67:U68" si="30">S67*T67</f>
        <v>-536114.82199570141</v>
      </c>
      <c r="V67" s="4">
        <f t="shared" ref="V67:V68" si="31">U67-S67</f>
        <v>949.34683399333153</v>
      </c>
      <c r="W67" s="12" t="s">
        <v>77</v>
      </c>
      <c r="X67" s="29"/>
    </row>
    <row r="68" spans="1:24">
      <c r="A68" s="3" t="s">
        <v>63</v>
      </c>
      <c r="B68" s="12">
        <v>25398</v>
      </c>
      <c r="C68" s="12" t="s">
        <v>10</v>
      </c>
      <c r="D68" s="104">
        <f>[14]Report!$K$2670</f>
        <v>0</v>
      </c>
      <c r="E68" s="48">
        <f>'[2]Lead Sheet'!$I$16</f>
        <v>-4218445.3037073184</v>
      </c>
      <c r="F68" s="48"/>
      <c r="G68" s="48"/>
      <c r="H68" s="48"/>
      <c r="I68" s="48"/>
      <c r="J68" s="48"/>
      <c r="K68" s="48"/>
      <c r="L68" s="48"/>
      <c r="M68" s="48"/>
      <c r="N68" s="48"/>
      <c r="O68" s="48"/>
      <c r="P68" s="48"/>
      <c r="Q68" s="48"/>
      <c r="R68" s="48"/>
      <c r="S68" s="112">
        <f t="shared" si="29"/>
        <v>-4218445.3037073184</v>
      </c>
      <c r="T68" s="20">
        <f>$D$77</f>
        <v>0.99823234002733419</v>
      </c>
      <c r="U68" s="112">
        <f t="shared" si="30"/>
        <v>-4210988.5267970748</v>
      </c>
      <c r="V68" s="4">
        <f t="shared" si="31"/>
        <v>7456.7769102435559</v>
      </c>
      <c r="W68" s="12" t="s">
        <v>77</v>
      </c>
      <c r="X68" s="29"/>
    </row>
    <row r="69" spans="1:24">
      <c r="D69" s="112"/>
      <c r="E69" s="14"/>
      <c r="F69" s="14"/>
      <c r="G69" s="14"/>
      <c r="H69" s="14"/>
      <c r="I69" s="14"/>
      <c r="J69" s="14"/>
      <c r="K69" s="14"/>
      <c r="L69" s="14"/>
      <c r="M69" s="14"/>
      <c r="N69" s="14"/>
      <c r="O69" s="14"/>
      <c r="P69" s="14"/>
      <c r="Q69" s="14"/>
      <c r="R69" s="14"/>
      <c r="S69" s="112"/>
      <c r="T69" s="20"/>
      <c r="U69" s="112"/>
      <c r="V69" s="4"/>
    </row>
    <row r="70" spans="1:24">
      <c r="A70" s="16" t="s">
        <v>62</v>
      </c>
      <c r="D70" s="112"/>
      <c r="E70" s="14"/>
      <c r="F70" s="14"/>
      <c r="G70" s="14"/>
      <c r="H70" s="14"/>
      <c r="I70" s="14"/>
      <c r="J70" s="14"/>
      <c r="K70" s="14"/>
      <c r="L70" s="14"/>
      <c r="M70" s="14"/>
      <c r="N70" s="14"/>
      <c r="O70" s="14"/>
      <c r="P70" s="14"/>
      <c r="Q70" s="14"/>
      <c r="R70" s="14"/>
      <c r="S70" s="112"/>
      <c r="T70" s="20"/>
      <c r="U70" s="112"/>
      <c r="V70" s="4"/>
    </row>
    <row r="71" spans="1:24">
      <c r="A71" s="3" t="s">
        <v>36</v>
      </c>
      <c r="B71" s="12">
        <v>456</v>
      </c>
      <c r="C71" s="12" t="s">
        <v>26</v>
      </c>
      <c r="D71" s="112"/>
      <c r="E71" s="14"/>
      <c r="F71" s="14">
        <f>'[3]Lead Sheet '!$I$9</f>
        <v>-4211638.5008969298</v>
      </c>
      <c r="G71" s="14"/>
      <c r="H71" s="14"/>
      <c r="I71" s="14"/>
      <c r="J71" s="14"/>
      <c r="K71" s="14"/>
      <c r="L71" s="14"/>
      <c r="M71" s="14"/>
      <c r="N71" s="14"/>
      <c r="O71" s="14"/>
      <c r="P71" s="14"/>
      <c r="Q71" s="14"/>
      <c r="R71" s="14"/>
      <c r="S71" s="112">
        <f>SUM(D71:R71)</f>
        <v>-4211638.5008969298</v>
      </c>
      <c r="T71" s="20">
        <f>$D$77</f>
        <v>0.99823234002733419</v>
      </c>
      <c r="U71" s="112">
        <f>S71*T71</f>
        <v>-4204193.7560995556</v>
      </c>
      <c r="V71" s="4">
        <f>U71-S71</f>
        <v>7444.7447973741218</v>
      </c>
      <c r="W71" s="12" t="s">
        <v>77</v>
      </c>
      <c r="X71" s="29"/>
    </row>
    <row r="72" spans="1:24" ht="12.75" thickBot="1">
      <c r="D72" s="115"/>
      <c r="E72" s="14"/>
      <c r="F72" s="14"/>
      <c r="G72" s="14"/>
      <c r="H72" s="14"/>
      <c r="I72" s="14"/>
      <c r="J72" s="14"/>
      <c r="K72" s="14"/>
      <c r="L72" s="14"/>
      <c r="M72" s="14"/>
      <c r="N72" s="14"/>
      <c r="O72" s="14"/>
      <c r="P72" s="14"/>
      <c r="Q72" s="14"/>
      <c r="R72" s="14"/>
      <c r="S72" s="115"/>
      <c r="T72" s="20"/>
      <c r="U72" s="115"/>
      <c r="V72" s="4"/>
    </row>
    <row r="75" spans="1:24">
      <c r="B75" s="17"/>
      <c r="D75" s="4">
        <f>'9.1.4'!G29</f>
        <v>4053671.798</v>
      </c>
      <c r="E75" s="121" t="s">
        <v>21</v>
      </c>
    </row>
    <row r="76" spans="1:24">
      <c r="B76" s="17"/>
      <c r="D76" s="5">
        <f>'9.1.4'!G30</f>
        <v>4060850</v>
      </c>
      <c r="E76" s="121" t="s">
        <v>79</v>
      </c>
    </row>
    <row r="77" spans="1:24">
      <c r="A77" s="122"/>
      <c r="B77" s="123"/>
      <c r="C77" s="94"/>
      <c r="D77" s="124">
        <f>'9.1.4'!G32</f>
        <v>0.99823234002733419</v>
      </c>
      <c r="E77" s="122" t="s">
        <v>0</v>
      </c>
      <c r="F77" s="125"/>
      <c r="V77" s="29"/>
    </row>
    <row r="79" spans="1:24">
      <c r="A79" s="16"/>
    </row>
  </sheetData>
  <phoneticPr fontId="3" type="noConversion"/>
  <conditionalFormatting sqref="A59">
    <cfRule type="cellIs" dxfId="0" priority="1" stopIfTrue="1" operator="equal">
      <formula>"Title"</formula>
    </cfRule>
  </conditionalFormatting>
  <dataValidations disablePrompts="1" count="1">
    <dataValidation type="list" errorStyle="warning" allowBlank="1" showInputMessage="1" showErrorMessage="1" errorTitle="FERC ACCOUNT" error="This FERC Account is not included in the drop-down list. Is this the account you want to use?" sqref="B60:B63">
      <formula1>#REF!</formula1>
    </dataValidation>
  </dataValidations>
  <pageMargins left="0.75" right="0.24" top="0.94" bottom="0.41" header="0.7" footer="0.28999999999999998"/>
  <pageSetup scale="56" fitToWidth="2" orientation="portrait" r:id="rId1"/>
  <headerFooter alignWithMargins="0">
    <oddHeader xml:space="preserve">&amp;L&amp;"Arial,Bold"PacifiCorp
Washington General Rate Case - December 2009
Production Factor Adjustment
&amp;R&amp;12Page 9.1.&amp;P+1 - Revised 11/23/10
</oddHeader>
  </headerFooter>
  <colBreaks count="1" manualBreakCount="1">
    <brk id="14" min="3" max="76" man="1"/>
  </colBreaks>
</worksheet>
</file>

<file path=xl/worksheets/sheet3.xml><?xml version="1.0" encoding="utf-8"?>
<worksheet xmlns="http://schemas.openxmlformats.org/spreadsheetml/2006/main" xmlns:r="http://schemas.openxmlformats.org/officeDocument/2006/relationships">
  <dimension ref="A1:I33"/>
  <sheetViews>
    <sheetView workbookViewId="0">
      <selection activeCell="I1" sqref="I1"/>
    </sheetView>
  </sheetViews>
  <sheetFormatPr defaultRowHeight="12.75"/>
  <cols>
    <col min="2" max="2" width="14.85546875" customWidth="1"/>
    <col min="3" max="3" width="15" bestFit="1" customWidth="1"/>
    <col min="4" max="4" width="8" customWidth="1"/>
    <col min="5" max="5" width="15.28515625" customWidth="1"/>
    <col min="7" max="8" width="10.28515625" bestFit="1" customWidth="1"/>
  </cols>
  <sheetData>
    <row r="1" spans="1:9">
      <c r="A1" s="25" t="s">
        <v>18</v>
      </c>
      <c r="I1" s="126" t="s">
        <v>110</v>
      </c>
    </row>
    <row r="2" spans="1:9">
      <c r="A2" s="25" t="str">
        <f>'Production Factor Adj'!A2</f>
        <v>Washington General Rate Case - December 2009</v>
      </c>
    </row>
    <row r="3" spans="1:9">
      <c r="A3" s="25" t="s">
        <v>19</v>
      </c>
    </row>
    <row r="5" spans="1:9">
      <c r="A5" s="23"/>
      <c r="B5" s="23"/>
      <c r="C5" s="23"/>
      <c r="D5" s="23"/>
      <c r="E5" s="23"/>
      <c r="F5" s="23"/>
      <c r="G5" s="23"/>
      <c r="H5" s="23"/>
    </row>
    <row r="6" spans="1:9">
      <c r="A6" s="32" t="s">
        <v>28</v>
      </c>
      <c r="B6" s="30"/>
      <c r="C6" s="30"/>
      <c r="D6" s="30"/>
      <c r="E6" s="30"/>
      <c r="F6" s="30"/>
      <c r="G6" s="30"/>
      <c r="H6" s="36"/>
    </row>
    <row r="7" spans="1:9">
      <c r="A7" s="33"/>
      <c r="B7" s="30"/>
      <c r="C7" s="30"/>
      <c r="D7" s="30"/>
      <c r="E7" s="30"/>
      <c r="F7" s="30"/>
      <c r="G7" s="30"/>
      <c r="H7" s="36"/>
    </row>
    <row r="8" spans="1:9">
      <c r="A8" s="30"/>
      <c r="B8" s="30"/>
      <c r="C8" s="34" t="s">
        <v>22</v>
      </c>
      <c r="D8" s="30"/>
      <c r="E8" s="30"/>
      <c r="F8" s="30"/>
      <c r="G8" s="30"/>
      <c r="H8" s="36"/>
    </row>
    <row r="9" spans="1:9">
      <c r="A9" s="30" t="s">
        <v>45</v>
      </c>
      <c r="B9" s="30"/>
      <c r="C9" s="35">
        <v>4183738.8939999999</v>
      </c>
      <c r="D9" s="30"/>
      <c r="E9" s="30"/>
      <c r="F9" s="30"/>
      <c r="G9" s="30"/>
      <c r="H9" s="36"/>
    </row>
    <row r="10" spans="1:9">
      <c r="A10" s="30" t="s">
        <v>29</v>
      </c>
      <c r="B10" s="30"/>
      <c r="C10" s="35">
        <v>-7048.21</v>
      </c>
      <c r="D10" s="30"/>
      <c r="E10" s="30"/>
      <c r="F10" s="30"/>
      <c r="G10" s="30"/>
      <c r="H10" s="36"/>
    </row>
    <row r="11" spans="1:9">
      <c r="A11" s="30" t="s">
        <v>23</v>
      </c>
      <c r="B11" s="30"/>
      <c r="C11" s="35">
        <v>-105775.54</v>
      </c>
      <c r="D11" s="30"/>
      <c r="E11" s="30"/>
      <c r="F11" s="30"/>
      <c r="G11" s="30"/>
      <c r="H11" s="36"/>
    </row>
    <row r="12" spans="1:9">
      <c r="A12" s="30" t="s">
        <v>30</v>
      </c>
      <c r="B12" s="30"/>
      <c r="C12" s="37">
        <v>-17243.346000000001</v>
      </c>
      <c r="D12" s="30"/>
      <c r="E12" s="30"/>
      <c r="F12" s="30"/>
      <c r="G12" s="30"/>
      <c r="H12" s="36"/>
    </row>
    <row r="13" spans="1:9">
      <c r="A13" s="30"/>
      <c r="B13" s="30"/>
      <c r="C13" s="34"/>
      <c r="D13" s="30"/>
      <c r="E13" s="30"/>
      <c r="F13" s="30"/>
      <c r="G13" s="30"/>
      <c r="H13" s="36"/>
    </row>
    <row r="14" spans="1:9">
      <c r="A14" s="30"/>
      <c r="B14" s="30"/>
      <c r="C14" s="34"/>
      <c r="D14" s="30"/>
      <c r="E14" s="30"/>
      <c r="F14" s="30"/>
      <c r="G14" s="30"/>
      <c r="H14" s="36"/>
    </row>
    <row r="15" spans="1:9">
      <c r="A15" s="30" t="s">
        <v>24</v>
      </c>
      <c r="B15" s="30"/>
      <c r="C15" s="35">
        <f>SUM(C9:C12)</f>
        <v>4053671.798</v>
      </c>
      <c r="D15" s="38" t="s">
        <v>31</v>
      </c>
      <c r="E15" s="30"/>
      <c r="F15" s="30"/>
      <c r="G15" s="30"/>
      <c r="H15" s="40" t="s">
        <v>35</v>
      </c>
    </row>
    <row r="16" spans="1:9">
      <c r="A16" s="30"/>
      <c r="B16" s="30"/>
      <c r="C16" s="30"/>
      <c r="D16" s="30"/>
      <c r="E16" s="30"/>
      <c r="F16" s="30"/>
      <c r="G16" s="30"/>
      <c r="H16" s="36"/>
    </row>
    <row r="17" spans="1:8">
      <c r="A17" s="30"/>
      <c r="B17" s="30"/>
      <c r="C17" s="30"/>
      <c r="D17" s="30"/>
      <c r="E17" s="30"/>
      <c r="F17" s="30"/>
      <c r="G17" s="30"/>
      <c r="H17" s="36"/>
    </row>
    <row r="18" spans="1:8">
      <c r="A18" s="32" t="s">
        <v>32</v>
      </c>
      <c r="B18" s="30"/>
      <c r="C18" s="30"/>
      <c r="D18" s="30"/>
      <c r="E18" s="30"/>
      <c r="F18" s="30"/>
      <c r="G18" s="30"/>
      <c r="H18" s="36"/>
    </row>
    <row r="19" spans="1:8">
      <c r="A19" s="33"/>
      <c r="B19" s="30"/>
      <c r="C19" s="30"/>
      <c r="D19" s="30"/>
      <c r="E19" s="30"/>
      <c r="F19" s="30"/>
      <c r="G19" s="30"/>
      <c r="H19" s="36"/>
    </row>
    <row r="20" spans="1:8">
      <c r="A20" s="30"/>
      <c r="B20" s="30"/>
      <c r="C20" s="34" t="s">
        <v>22</v>
      </c>
      <c r="D20" s="30"/>
      <c r="E20" s="30"/>
      <c r="F20" s="30"/>
      <c r="G20" s="30"/>
      <c r="H20" s="36"/>
    </row>
    <row r="21" spans="1:8">
      <c r="A21" s="30" t="s">
        <v>27</v>
      </c>
      <c r="B21" s="30"/>
      <c r="C21" s="35">
        <v>4060850</v>
      </c>
      <c r="D21" s="38" t="s">
        <v>33</v>
      </c>
      <c r="E21" s="30"/>
      <c r="F21" s="30"/>
      <c r="G21" s="30"/>
      <c r="H21" s="40"/>
    </row>
    <row r="22" spans="1:8">
      <c r="A22" s="30"/>
      <c r="B22" s="30"/>
      <c r="C22" s="35"/>
      <c r="D22" s="30"/>
      <c r="E22" s="30"/>
      <c r="F22" s="30"/>
      <c r="G22" s="30"/>
      <c r="H22" s="30"/>
    </row>
    <row r="23" spans="1:8">
      <c r="A23" s="31" t="s">
        <v>0</v>
      </c>
      <c r="B23" s="31"/>
      <c r="C23" s="39">
        <f>C15/C21</f>
        <v>0.99823234002733419</v>
      </c>
      <c r="D23" s="30"/>
      <c r="E23" s="30"/>
      <c r="F23" s="30"/>
      <c r="G23" s="30"/>
      <c r="H23" s="40" t="s">
        <v>109</v>
      </c>
    </row>
    <row r="24" spans="1:8">
      <c r="A24" s="30"/>
      <c r="B24" s="30"/>
      <c r="C24" s="30"/>
      <c r="D24" s="30"/>
      <c r="E24" s="30"/>
      <c r="F24" s="30"/>
      <c r="G24" s="30"/>
      <c r="H24" s="30"/>
    </row>
    <row r="27" spans="1:8" ht="15.75">
      <c r="C27" s="128" t="s">
        <v>0</v>
      </c>
      <c r="D27" s="129"/>
      <c r="E27" s="129"/>
      <c r="F27" s="129"/>
      <c r="G27" s="130"/>
    </row>
    <row r="29" spans="1:8">
      <c r="D29" s="26"/>
      <c r="F29" s="17" t="s">
        <v>21</v>
      </c>
      <c r="G29" s="24">
        <f>C15</f>
        <v>4053671.798</v>
      </c>
      <c r="H29" s="3" t="s">
        <v>17</v>
      </c>
    </row>
    <row r="30" spans="1:8">
      <c r="D30" s="26"/>
      <c r="F30" s="17" t="s">
        <v>80</v>
      </c>
      <c r="G30" s="24">
        <f>C21</f>
        <v>4060850</v>
      </c>
      <c r="H30" s="3" t="s">
        <v>17</v>
      </c>
    </row>
    <row r="31" spans="1:8">
      <c r="D31" s="18"/>
    </row>
    <row r="32" spans="1:8" ht="13.5" thickBot="1">
      <c r="D32" s="26" t="s">
        <v>0</v>
      </c>
      <c r="G32" s="27">
        <f>G29/G30</f>
        <v>0.99823234002733419</v>
      </c>
      <c r="H32" s="17"/>
    </row>
    <row r="33" ht="13.5" thickTop="1"/>
  </sheetData>
  <mergeCells count="1">
    <mergeCell ref="C27:G27"/>
  </mergeCells>
  <phoneticPr fontId="3" type="noConversion"/>
  <pageMargins left="0.75" right="0.75" top="1" bottom="1" header="0.5" footer="0.5"/>
  <pageSetup scale="85"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6E45178E737B2439E5D7C497507581C" ma:contentTypeVersion="131" ma:contentTypeDescription="" ma:contentTypeScope="" ma:versionID="c7ae4816fe8ea69c70f4b1a0bddb2ce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2010-05-04T07:00:00+00:00</OpenedDate>
    <Date1 xmlns="dc463f71-b30c-4ab2-9473-d307f9d35888">2010-11-30T08:00:00+00:00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100749</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9FDC9A92-6753-40C2-B786-EFD1C0CD67B6}"/>
</file>

<file path=customXml/itemProps2.xml><?xml version="1.0" encoding="utf-8"?>
<ds:datastoreItem xmlns:ds="http://schemas.openxmlformats.org/officeDocument/2006/customXml" ds:itemID="{7E95B38F-A582-4047-969B-88EF8A06E8BA}"/>
</file>

<file path=customXml/itemProps3.xml><?xml version="1.0" encoding="utf-8"?>
<ds:datastoreItem xmlns:ds="http://schemas.openxmlformats.org/officeDocument/2006/customXml" ds:itemID="{4997EF7E-A6DB-4640-A29F-F579EAF26B43}"/>
</file>

<file path=customXml/itemProps4.xml><?xml version="1.0" encoding="utf-8"?>
<ds:datastoreItem xmlns:ds="http://schemas.openxmlformats.org/officeDocument/2006/customXml" ds:itemID="{876336CF-A139-499C-9E2A-1706ABDEAB1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Lead Sheet</vt:lpstr>
      <vt:lpstr>Production Factor Adj</vt:lpstr>
      <vt:lpstr>9.1.4</vt:lpstr>
      <vt:lpstr>'Lead Sheet'!Print_Area</vt:lpstr>
      <vt:lpstr>'Production Factor Adj'!Print_Area</vt:lpstr>
      <vt:lpstr>'Production Factor Adj'!Print_Titles</vt:lpstr>
    </vt:vector>
  </TitlesOfParts>
  <Company>PacifiCorp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Bryce Dalley</dc:creator>
  <cp:lastModifiedBy>R. Bryce Dalley</cp:lastModifiedBy>
  <cp:lastPrinted>2010-11-20T01:35:41Z</cp:lastPrinted>
  <dcterms:created xsi:type="dcterms:W3CDTF">2009-01-12T23:56:41Z</dcterms:created>
  <dcterms:modified xsi:type="dcterms:W3CDTF">2010-11-23T18:52:48Z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0x0101006E56B4D1795A2E4DB2F0B01679ED314A0096E45178E737B2439E5D7C497507581C</vt:lpwstr>
  </property>
  <property fmtid="{D5CDD505-2E9C-101B-9397-08002B2CF9AE}" pid="3" name="_docset_NoMedatataSyncRequired">
    <vt:lpwstr>False</vt:lpwstr>
  </property>
</Properties>
</file>