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11.bin" ContentType="application/vnd.openxmlformats-officedocument.spreadsheetml.customProperty"/>
  <Override PartName="/xl/customProperty12.bin" ContentType="application/vnd.openxmlformats-officedocument.spreadsheetml.customProperty"/>
  <Override PartName="/xl/customProperty13.bin" ContentType="application/vnd.openxmlformats-officedocument.spreadsheetml.customProperty"/>
  <Override PartName="/xl/calcChain.xml" ContentType="application/vnd.openxmlformats-officedocument.spreadsheetml.calcChain+xml"/>
  <Override PartName="/xl/customProperty6.bin" ContentType="application/vnd.openxmlformats-officedocument.spreadsheetml.customProperty"/>
  <Override PartName="/docProps/app.xml" ContentType="application/vnd.openxmlformats-officedocument.extended-properties+xml"/>
  <Override PartName="/xl/comments1.xml" ContentType="application/vnd.openxmlformats-officedocument.spreadsheetml.comments+xml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ustomProperty10.bin" ContentType="application/vnd.openxmlformats-officedocument.spreadsheetml.customProperty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stdpt2\RPL\GrpRevnu\PUBLIC\# 2024 GRC\01 Original Filing\RevReq-COS-Exhibits\"/>
    </mc:Choice>
  </mc:AlternateContent>
  <xr:revisionPtr revIDLastSave="0" documentId="8_{8F4DCF41-2E15-42AC-B569-5BB84DAD926F}" xr6:coauthVersionLast="47" xr6:coauthVersionMax="47" xr10:uidLastSave="{00000000-0000-0000-0000-000000000000}"/>
  <bookViews>
    <workbookView xWindow="3180" yWindow="1485" windowWidth="25230" windowHeight="13770" tabRatio="834" xr2:uid="{F884E0DA-99C7-4687-B408-486F8EB3A761}"/>
  </bookViews>
  <sheets>
    <sheet name="Exh CTM-7 (Lighting Summary)" sheetId="1" r:id="rId1"/>
    <sheet name="Exh CTM-7 (Rate Design)" sheetId="2" r:id="rId2"/>
    <sheet name="Exh CTM-7 (Unitized Costs)" sheetId="3" r:id="rId3"/>
    <sheet name="Exh CTM-7 (Cost Classification)" sheetId="4" r:id="rId4"/>
    <sheet name="Exh CTM-7 (Tariff Rates Y1)" sheetId="5" r:id="rId5"/>
    <sheet name="Exh CTM-7 (Tariff Rates Y2)" sheetId="6" r:id="rId6"/>
  </sheets>
  <definedNames>
    <definedName name="_xlnm._FilterDatabase" localSheetId="1" hidden="1">'Exh CTM-7 (Rate Design)'!$F$1:$F$192</definedName>
    <definedName name="_xlnm.Print_Area" localSheetId="3">'Exh CTM-7 (Cost Classification)'!$A$1:$K$46</definedName>
    <definedName name="_xlnm.Print_Area" localSheetId="0">'Exh CTM-7 (Lighting Summary)'!$A$1:$N$19</definedName>
    <definedName name="_xlnm.Print_Area" localSheetId="1">'Exh CTM-7 (Rate Design)'!$A$1:$W$228</definedName>
    <definedName name="_xlnm.Print_Area" localSheetId="4">'Exh CTM-7 (Tariff Rates Y1)'!$A$1:$S$218</definedName>
    <definedName name="_xlnm.Print_Area" localSheetId="5">'Exh CTM-7 (Tariff Rates Y2)'!$A$1:$K$111</definedName>
    <definedName name="_xlnm.Print_Area" localSheetId="2">'Exh CTM-7 (Unitized Costs)'!$A$1:$D$64</definedName>
    <definedName name="_xlnm.Print_Titles" localSheetId="0">'Exh CTM-7 (Lighting Summary)'!$A:$E</definedName>
    <definedName name="_xlnm.Print_Titles" localSheetId="1">'Exh CTM-7 (Rate Design)'!$C:$F,'Exh CTM-7 (Rate Design)'!$1:$6</definedName>
    <definedName name="_xlnm.Print_Titles" localSheetId="4">'Exh CTM-7 (Tariff Rates Y1)'!$1:$9</definedName>
    <definedName name="_xlnm.Print_Titles" localSheetId="2">'Exh CTM-7 (Unitized Costs)'!$1:$8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0" i="6" l="1"/>
  <c r="A11" i="6" s="1"/>
  <c r="A12" i="6" s="1"/>
  <c r="A13" i="6"/>
  <c r="A14" i="6" s="1"/>
  <c r="A15" i="6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42" i="6" s="1"/>
  <c r="A43" i="6" s="1"/>
  <c r="A44" i="6" s="1"/>
  <c r="A45" i="6" s="1"/>
  <c r="A46" i="6" s="1"/>
  <c r="A47" i="6" s="1"/>
  <c r="A48" i="6" s="1"/>
  <c r="A49" i="6" s="1"/>
  <c r="A50" i="6" s="1"/>
  <c r="A51" i="6" s="1"/>
  <c r="A52" i="6" s="1"/>
  <c r="A53" i="6" s="1"/>
  <c r="A54" i="6" s="1"/>
  <c r="A55" i="6" s="1"/>
  <c r="A56" i="6" s="1"/>
  <c r="A57" i="6" s="1"/>
  <c r="A58" i="6" s="1"/>
  <c r="A59" i="6" s="1"/>
  <c r="A60" i="6" s="1"/>
  <c r="A61" i="6" s="1"/>
  <c r="A62" i="6" s="1"/>
  <c r="A63" i="6" s="1"/>
  <c r="A64" i="6" s="1"/>
  <c r="A65" i="6" s="1"/>
  <c r="A66" i="6" s="1"/>
  <c r="A67" i="6" s="1"/>
  <c r="A68" i="6" s="1"/>
  <c r="A69" i="6" s="1"/>
  <c r="A70" i="6" s="1"/>
  <c r="A71" i="6" s="1"/>
  <c r="A72" i="6" s="1"/>
  <c r="A73" i="6" s="1"/>
  <c r="A74" i="6" s="1"/>
  <c r="A75" i="6" s="1"/>
  <c r="A76" i="6" s="1"/>
  <c r="A77" i="6" s="1"/>
  <c r="A78" i="6" s="1"/>
  <c r="A79" i="6" s="1"/>
  <c r="A80" i="6" s="1"/>
  <c r="A81" i="6" s="1"/>
  <c r="A82" i="6" s="1"/>
  <c r="A83" i="6" s="1"/>
  <c r="A84" i="6" s="1"/>
  <c r="A85" i="6" s="1"/>
  <c r="A86" i="6" s="1"/>
  <c r="A87" i="6" s="1"/>
  <c r="A88" i="6" s="1"/>
  <c r="A89" i="6" s="1"/>
  <c r="A90" i="6" s="1"/>
  <c r="A91" i="6" s="1"/>
  <c r="A92" i="6" s="1"/>
  <c r="A93" i="6" s="1"/>
  <c r="A94" i="6" s="1"/>
  <c r="A95" i="6" s="1"/>
  <c r="A96" i="6" s="1"/>
  <c r="A97" i="6" s="1"/>
  <c r="A98" i="6" s="1"/>
  <c r="A99" i="6" s="1"/>
  <c r="A100" i="6" s="1"/>
  <c r="A101" i="6" s="1"/>
  <c r="A102" i="6" s="1"/>
  <c r="A103" i="6" s="1"/>
  <c r="A104" i="6" s="1"/>
  <c r="A105" i="6" s="1"/>
  <c r="A106" i="6" s="1"/>
  <c r="A107" i="6" s="1"/>
  <c r="A108" i="6" s="1"/>
  <c r="A109" i="6" s="1"/>
  <c r="A110" i="6" s="1"/>
  <c r="A111" i="6" s="1"/>
  <c r="J21" i="6"/>
  <c r="J22" i="6"/>
  <c r="J31" i="6"/>
  <c r="J32" i="6"/>
  <c r="K71" i="6"/>
  <c r="K81" i="6"/>
  <c r="K94" i="6"/>
  <c r="K104" i="6"/>
  <c r="A11" i="5"/>
  <c r="A12" i="5"/>
  <c r="A13" i="5"/>
  <c r="A14" i="5" s="1"/>
  <c r="A15" i="5"/>
  <c r="A16" i="5" s="1"/>
  <c r="A17" i="5" s="1"/>
  <c r="A18" i="5" s="1"/>
  <c r="A19" i="5" s="1"/>
  <c r="A20" i="5" s="1"/>
  <c r="A21" i="5" s="1"/>
  <c r="A22" i="5" s="1"/>
  <c r="A23" i="5" s="1"/>
  <c r="A24" i="5" s="1"/>
  <c r="A25" i="5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3" i="5" s="1"/>
  <c r="A64" i="5" s="1"/>
  <c r="A65" i="5" s="1"/>
  <c r="A66" i="5" s="1"/>
  <c r="A67" i="5" s="1"/>
  <c r="A68" i="5" s="1"/>
  <c r="A69" i="5" s="1"/>
  <c r="A70" i="5" s="1"/>
  <c r="A71" i="5" s="1"/>
  <c r="A72" i="5" s="1"/>
  <c r="A73" i="5" s="1"/>
  <c r="A74" i="5" s="1"/>
  <c r="A75" i="5" s="1"/>
  <c r="A76" i="5" s="1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A94" i="5" s="1"/>
  <c r="A95" i="5" s="1"/>
  <c r="A96" i="5" s="1"/>
  <c r="A97" i="5" s="1"/>
  <c r="A98" i="5" s="1"/>
  <c r="A99" i="5" s="1"/>
  <c r="A100" i="5" s="1"/>
  <c r="A101" i="5" s="1"/>
  <c r="A102" i="5" s="1"/>
  <c r="A103" i="5" s="1"/>
  <c r="A104" i="5" s="1"/>
  <c r="A105" i="5" s="1"/>
  <c r="A106" i="5" s="1"/>
  <c r="A107" i="5" s="1"/>
  <c r="A108" i="5" s="1"/>
  <c r="A109" i="5" s="1"/>
  <c r="A110" i="5" s="1"/>
  <c r="A111" i="5" s="1"/>
  <c r="A112" i="5" s="1"/>
  <c r="A113" i="5" s="1"/>
  <c r="A114" i="5" s="1"/>
  <c r="A115" i="5" s="1"/>
  <c r="A116" i="5" s="1"/>
  <c r="A117" i="5" s="1"/>
  <c r="A118" i="5" s="1"/>
  <c r="A119" i="5" s="1"/>
  <c r="A120" i="5" s="1"/>
  <c r="A121" i="5" s="1"/>
  <c r="A122" i="5" s="1"/>
  <c r="A123" i="5" s="1"/>
  <c r="A124" i="5" s="1"/>
  <c r="A125" i="5" s="1"/>
  <c r="A126" i="5" s="1"/>
  <c r="A127" i="5" s="1"/>
  <c r="A128" i="5" s="1"/>
  <c r="A129" i="5" s="1"/>
  <c r="A130" i="5" s="1"/>
  <c r="A131" i="5" s="1"/>
  <c r="A132" i="5" s="1"/>
  <c r="A133" i="5" s="1"/>
  <c r="A134" i="5" s="1"/>
  <c r="A135" i="5" s="1"/>
  <c r="A136" i="5" s="1"/>
  <c r="A137" i="5" s="1"/>
  <c r="A138" i="5" s="1"/>
  <c r="A139" i="5" s="1"/>
  <c r="A140" i="5" s="1"/>
  <c r="A141" i="5" s="1"/>
  <c r="A142" i="5" s="1"/>
  <c r="A143" i="5" s="1"/>
  <c r="A144" i="5" s="1"/>
  <c r="A145" i="5" s="1"/>
  <c r="A146" i="5" s="1"/>
  <c r="A147" i="5" s="1"/>
  <c r="A148" i="5" s="1"/>
  <c r="A149" i="5" s="1"/>
  <c r="A150" i="5" s="1"/>
  <c r="A151" i="5" s="1"/>
  <c r="A152" i="5" s="1"/>
  <c r="A153" i="5" s="1"/>
  <c r="A154" i="5" s="1"/>
  <c r="A155" i="5" s="1"/>
  <c r="A156" i="5" s="1"/>
  <c r="A157" i="5" s="1"/>
  <c r="A158" i="5" s="1"/>
  <c r="A159" i="5" s="1"/>
  <c r="A160" i="5" s="1"/>
  <c r="A161" i="5" s="1"/>
  <c r="A162" i="5" s="1"/>
  <c r="A163" i="5" s="1"/>
  <c r="A164" i="5" s="1"/>
  <c r="A165" i="5" s="1"/>
  <c r="A166" i="5" s="1"/>
  <c r="A167" i="5" s="1"/>
  <c r="A168" i="5" s="1"/>
  <c r="A169" i="5"/>
  <c r="A170" i="5" s="1"/>
  <c r="A171" i="5" s="1"/>
  <c r="A172" i="5" s="1"/>
  <c r="A173" i="5" s="1"/>
  <c r="A174" i="5" s="1"/>
  <c r="A175" i="5" s="1"/>
  <c r="A176" i="5" s="1"/>
  <c r="A177" i="5" s="1"/>
  <c r="A178" i="5" s="1"/>
  <c r="A179" i="5" s="1"/>
  <c r="A180" i="5" s="1"/>
  <c r="A181" i="5" s="1"/>
  <c r="A182" i="5" s="1"/>
  <c r="A183" i="5" s="1"/>
  <c r="A184" i="5" s="1"/>
  <c r="A185" i="5" s="1"/>
  <c r="A186" i="5" s="1"/>
  <c r="A187" i="5" s="1"/>
  <c r="A188" i="5" s="1"/>
  <c r="A189" i="5" s="1"/>
  <c r="A190" i="5" s="1"/>
  <c r="A191" i="5" s="1"/>
  <c r="A192" i="5" s="1"/>
  <c r="A193" i="5" s="1"/>
  <c r="A194" i="5" s="1"/>
  <c r="A195" i="5" s="1"/>
  <c r="A196" i="5" s="1"/>
  <c r="A197" i="5" s="1"/>
  <c r="A198" i="5" s="1"/>
  <c r="A199" i="5" s="1"/>
  <c r="A200" i="5" s="1"/>
  <c r="A201" i="5" s="1"/>
  <c r="A202" i="5" s="1"/>
  <c r="A203" i="5" s="1"/>
  <c r="A204" i="5" s="1"/>
  <c r="A205" i="5" s="1"/>
  <c r="A206" i="5" s="1"/>
  <c r="A207" i="5" s="1"/>
  <c r="A208" i="5" s="1"/>
  <c r="A209" i="5" s="1"/>
  <c r="A210" i="5" s="1"/>
  <c r="A211" i="5" s="1"/>
  <c r="A212" i="5" s="1"/>
  <c r="A213" i="5" s="1"/>
  <c r="A214" i="5" s="1"/>
  <c r="A215" i="5" s="1"/>
  <c r="A216" i="5" s="1"/>
  <c r="A217" i="5" s="1"/>
  <c r="A218" i="5" s="1"/>
  <c r="A2" i="4"/>
  <c r="A11" i="4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C11" i="4"/>
  <c r="C12" i="4"/>
  <c r="C13" i="4"/>
  <c r="K16" i="4"/>
  <c r="D16" i="4"/>
  <c r="C15" i="4"/>
  <c r="E16" i="4"/>
  <c r="E19" i="4" s="1"/>
  <c r="F16" i="4"/>
  <c r="G16" i="4"/>
  <c r="G19" i="4" s="1"/>
  <c r="H16" i="4"/>
  <c r="H19" i="4" s="1"/>
  <c r="I16" i="4"/>
  <c r="I19" i="4" s="1"/>
  <c r="F19" i="4"/>
  <c r="K19" i="4"/>
  <c r="C22" i="4"/>
  <c r="C24" i="4"/>
  <c r="I29" i="4"/>
  <c r="F40" i="4"/>
  <c r="D40" i="4"/>
  <c r="E40" i="4"/>
  <c r="K40" i="4"/>
  <c r="A10" i="3"/>
  <c r="A11" i="3"/>
  <c r="A12" i="3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9" i="2"/>
  <c r="E9" i="2"/>
  <c r="M9" i="2"/>
  <c r="A10" i="2"/>
  <c r="E10" i="2"/>
  <c r="I10" i="2"/>
  <c r="M10" i="2"/>
  <c r="A11" i="2"/>
  <c r="E11" i="2"/>
  <c r="H11" i="2"/>
  <c r="A12" i="2"/>
  <c r="A13" i="2" s="1"/>
  <c r="A14" i="2" s="1"/>
  <c r="A15" i="2" s="1"/>
  <c r="A16" i="2" s="1"/>
  <c r="A17" i="2" s="1"/>
  <c r="A18" i="2" s="1"/>
  <c r="A19" i="2" s="1"/>
  <c r="A20" i="2" s="1"/>
  <c r="A21" i="2" s="1"/>
  <c r="E12" i="2"/>
  <c r="I12" i="2"/>
  <c r="H12" i="2"/>
  <c r="H13" i="2"/>
  <c r="E13" i="2"/>
  <c r="I13" i="2"/>
  <c r="E14" i="2"/>
  <c r="I14" i="2"/>
  <c r="L14" i="2"/>
  <c r="M14" i="2"/>
  <c r="E15" i="2"/>
  <c r="M15" i="2"/>
  <c r="I15" i="2"/>
  <c r="E16" i="2"/>
  <c r="H16" i="2"/>
  <c r="E18" i="2"/>
  <c r="H18" i="2"/>
  <c r="E19" i="2"/>
  <c r="H19" i="2"/>
  <c r="H20" i="2"/>
  <c r="E20" i="2"/>
  <c r="E21" i="2"/>
  <c r="I21" i="2"/>
  <c r="M21" i="2"/>
  <c r="A22" i="2"/>
  <c r="A23" i="2" s="1"/>
  <c r="A24" i="2" s="1"/>
  <c r="E22" i="2"/>
  <c r="H22" i="2"/>
  <c r="E23" i="2"/>
  <c r="H24" i="2"/>
  <c r="E24" i="2"/>
  <c r="I24" i="2"/>
  <c r="M24" i="2"/>
  <c r="P24" i="2"/>
  <c r="A25" i="2"/>
  <c r="E25" i="2"/>
  <c r="I25" i="2"/>
  <c r="M25" i="2"/>
  <c r="A26" i="2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E26" i="2"/>
  <c r="I26" i="2"/>
  <c r="M26" i="2"/>
  <c r="E27" i="2"/>
  <c r="H27" i="2"/>
  <c r="H28" i="2"/>
  <c r="E28" i="2"/>
  <c r="I28" i="2"/>
  <c r="L28" i="2"/>
  <c r="M28" i="2"/>
  <c r="E29" i="2"/>
  <c r="I29" i="2"/>
  <c r="M29" i="2"/>
  <c r="E30" i="2"/>
  <c r="H30" i="2"/>
  <c r="E31" i="2"/>
  <c r="H32" i="2"/>
  <c r="E32" i="2"/>
  <c r="I32" i="2"/>
  <c r="M32" i="2"/>
  <c r="E33" i="2"/>
  <c r="I33" i="2"/>
  <c r="M33" i="2"/>
  <c r="E34" i="2"/>
  <c r="M34" i="2"/>
  <c r="I34" i="2"/>
  <c r="H34" i="2"/>
  <c r="E35" i="2"/>
  <c r="E36" i="2"/>
  <c r="I36" i="2"/>
  <c r="H36" i="2"/>
  <c r="M36" i="2"/>
  <c r="P36" i="2"/>
  <c r="E37" i="2"/>
  <c r="I37" i="2"/>
  <c r="A39" i="2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E39" i="2"/>
  <c r="I39" i="2"/>
  <c r="M39" i="2"/>
  <c r="E40" i="2"/>
  <c r="I40" i="2"/>
  <c r="M40" i="2"/>
  <c r="E41" i="2"/>
  <c r="E42" i="2"/>
  <c r="M42" i="2"/>
  <c r="I42" i="2"/>
  <c r="H42" i="2"/>
  <c r="E43" i="2"/>
  <c r="H43" i="2"/>
  <c r="I43" i="2"/>
  <c r="M43" i="2"/>
  <c r="E44" i="2"/>
  <c r="I44" i="2"/>
  <c r="H44" i="2"/>
  <c r="M44" i="2"/>
  <c r="E45" i="2"/>
  <c r="I45" i="2"/>
  <c r="M45" i="2"/>
  <c r="E46" i="2"/>
  <c r="H46" i="2"/>
  <c r="E47" i="2"/>
  <c r="I47" i="2"/>
  <c r="L47" i="2"/>
  <c r="M47" i="2"/>
  <c r="P47" i="2"/>
  <c r="E48" i="2"/>
  <c r="H48" i="2"/>
  <c r="I48" i="2"/>
  <c r="M48" i="2"/>
  <c r="E49" i="2"/>
  <c r="M49" i="2"/>
  <c r="H49" i="2"/>
  <c r="P49" i="2"/>
  <c r="E50" i="2"/>
  <c r="I50" i="2"/>
  <c r="M50" i="2"/>
  <c r="E51" i="2"/>
  <c r="I51" i="2"/>
  <c r="M51" i="2"/>
  <c r="H52" i="2"/>
  <c r="E52" i="2"/>
  <c r="L52" i="2"/>
  <c r="E53" i="2"/>
  <c r="I53" i="2"/>
  <c r="M53" i="2"/>
  <c r="E55" i="2"/>
  <c r="H56" i="2"/>
  <c r="E56" i="2"/>
  <c r="L56" i="2"/>
  <c r="E57" i="2"/>
  <c r="L58" i="2"/>
  <c r="E58" i="2"/>
  <c r="E59" i="2"/>
  <c r="E60" i="2"/>
  <c r="H60" i="2"/>
  <c r="I60" i="2" s="1"/>
  <c r="A61" i="2"/>
  <c r="A62" i="2" s="1"/>
  <c r="A63" i="2" s="1"/>
  <c r="A64" i="2" s="1"/>
  <c r="A65" i="2" s="1"/>
  <c r="E61" i="2"/>
  <c r="H61" i="2"/>
  <c r="I61" i="2"/>
  <c r="E62" i="2"/>
  <c r="E63" i="2"/>
  <c r="H63" i="2"/>
  <c r="H64" i="2"/>
  <c r="E64" i="2"/>
  <c r="E65" i="2"/>
  <c r="H65" i="2"/>
  <c r="A66" i="2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L66" i="2"/>
  <c r="E66" i="2"/>
  <c r="H66" i="2"/>
  <c r="I66" i="2"/>
  <c r="E67" i="2"/>
  <c r="E68" i="2"/>
  <c r="H68" i="2"/>
  <c r="I68" i="2" s="1"/>
  <c r="H69" i="2"/>
  <c r="I69" i="2" s="1"/>
  <c r="E69" i="2"/>
  <c r="E70" i="2"/>
  <c r="E71" i="2"/>
  <c r="H72" i="2"/>
  <c r="E72" i="2"/>
  <c r="L72" i="2"/>
  <c r="E73" i="2"/>
  <c r="L74" i="2"/>
  <c r="E74" i="2"/>
  <c r="E75" i="2"/>
  <c r="L75" i="2"/>
  <c r="E76" i="2"/>
  <c r="H76" i="2"/>
  <c r="E77" i="2"/>
  <c r="E78" i="2"/>
  <c r="E79" i="2"/>
  <c r="E80" i="2"/>
  <c r="E81" i="2"/>
  <c r="I81" i="2"/>
  <c r="H81" i="2"/>
  <c r="L81" i="2"/>
  <c r="L82" i="2"/>
  <c r="E82" i="2"/>
  <c r="I82" i="2"/>
  <c r="H82" i="2"/>
  <c r="E83" i="2"/>
  <c r="L83" i="2"/>
  <c r="E84" i="2"/>
  <c r="E85" i="2"/>
  <c r="E86" i="2"/>
  <c r="E87" i="2"/>
  <c r="E88" i="2"/>
  <c r="E89" i="2"/>
  <c r="I89" i="2"/>
  <c r="H89" i="2"/>
  <c r="L89" i="2"/>
  <c r="H90" i="2"/>
  <c r="E90" i="2"/>
  <c r="E91" i="2"/>
  <c r="M91" i="2"/>
  <c r="I91" i="2"/>
  <c r="E92" i="2"/>
  <c r="I92" i="2"/>
  <c r="H92" i="2"/>
  <c r="L92" i="2"/>
  <c r="M92" i="2"/>
  <c r="E93" i="2"/>
  <c r="M93" i="2"/>
  <c r="E94" i="2"/>
  <c r="I94" i="2"/>
  <c r="M94" i="2"/>
  <c r="E95" i="2"/>
  <c r="I95" i="2"/>
  <c r="M95" i="2"/>
  <c r="E96" i="2"/>
  <c r="I96" i="2"/>
  <c r="E97" i="2"/>
  <c r="I97" i="2"/>
  <c r="L98" i="2"/>
  <c r="E98" i="2"/>
  <c r="M98" i="2"/>
  <c r="I98" i="2"/>
  <c r="P98" i="2"/>
  <c r="E99" i="2"/>
  <c r="I99" i="2"/>
  <c r="M99" i="2"/>
  <c r="E100" i="2"/>
  <c r="M100" i="2"/>
  <c r="I100" i="2"/>
  <c r="H100" i="2"/>
  <c r="H101" i="2"/>
  <c r="E101" i="2"/>
  <c r="I101" i="2"/>
  <c r="M101" i="2"/>
  <c r="E102" i="2"/>
  <c r="I102" i="2"/>
  <c r="M102" i="2"/>
  <c r="E103" i="2"/>
  <c r="I103" i="2"/>
  <c r="M103" i="2"/>
  <c r="E104" i="2"/>
  <c r="E105" i="2"/>
  <c r="I105" i="2"/>
  <c r="H105" i="2"/>
  <c r="L106" i="2"/>
  <c r="E106" i="2"/>
  <c r="M106" i="2"/>
  <c r="H106" i="2"/>
  <c r="I106" i="2"/>
  <c r="P106" i="2"/>
  <c r="E107" i="2"/>
  <c r="I107" i="2"/>
  <c r="M107" i="2"/>
  <c r="E108" i="2"/>
  <c r="M108" i="2"/>
  <c r="I108" i="2"/>
  <c r="H108" i="2"/>
  <c r="H109" i="2"/>
  <c r="E109" i="2"/>
  <c r="I109" i="2"/>
  <c r="L109" i="2"/>
  <c r="M109" i="2"/>
  <c r="E110" i="2"/>
  <c r="I110" i="2"/>
  <c r="M110" i="2"/>
  <c r="E111" i="2"/>
  <c r="I111" i="2"/>
  <c r="M111" i="2"/>
  <c r="E112" i="2"/>
  <c r="E113" i="2"/>
  <c r="I113" i="2"/>
  <c r="E115" i="2"/>
  <c r="I115" i="2"/>
  <c r="L116" i="2"/>
  <c r="E116" i="2"/>
  <c r="M116" i="2"/>
  <c r="H116" i="2"/>
  <c r="I116" i="2"/>
  <c r="E117" i="2"/>
  <c r="I117" i="2"/>
  <c r="M117" i="2"/>
  <c r="E118" i="2"/>
  <c r="M118" i="2"/>
  <c r="I118" i="2"/>
  <c r="H118" i="2"/>
  <c r="H119" i="2"/>
  <c r="E119" i="2"/>
  <c r="M119" i="2"/>
  <c r="I119" i="2"/>
  <c r="L119" i="2"/>
  <c r="E120" i="2"/>
  <c r="I120" i="2"/>
  <c r="M120" i="2"/>
  <c r="E121" i="2"/>
  <c r="I121" i="2"/>
  <c r="M121" i="2"/>
  <c r="E122" i="2"/>
  <c r="E123" i="2"/>
  <c r="I123" i="2"/>
  <c r="H123" i="2"/>
  <c r="L124" i="2"/>
  <c r="E124" i="2"/>
  <c r="M124" i="2"/>
  <c r="H124" i="2"/>
  <c r="I124" i="2"/>
  <c r="P124" i="2"/>
  <c r="E125" i="2"/>
  <c r="H125" i="2"/>
  <c r="I125" i="2"/>
  <c r="L125" i="2"/>
  <c r="M125" i="2"/>
  <c r="P125" i="2"/>
  <c r="E126" i="2"/>
  <c r="M126" i="2"/>
  <c r="H126" i="2"/>
  <c r="I126" i="2"/>
  <c r="L126" i="2"/>
  <c r="E127" i="2"/>
  <c r="M127" i="2"/>
  <c r="I127" i="2"/>
  <c r="E128" i="2"/>
  <c r="I128" i="2"/>
  <c r="M128" i="2"/>
  <c r="H129" i="2"/>
  <c r="E129" i="2"/>
  <c r="I129" i="2"/>
  <c r="E130" i="2"/>
  <c r="H130" i="2"/>
  <c r="E131" i="2"/>
  <c r="I131" i="2"/>
  <c r="M131" i="2"/>
  <c r="L132" i="2"/>
  <c r="E132" i="2"/>
  <c r="M132" i="2"/>
  <c r="H132" i="2"/>
  <c r="I132" i="2"/>
  <c r="E133" i="2"/>
  <c r="H133" i="2"/>
  <c r="L133" i="2"/>
  <c r="E135" i="2"/>
  <c r="E136" i="2"/>
  <c r="H136" i="2"/>
  <c r="E137" i="2"/>
  <c r="E138" i="2"/>
  <c r="E139" i="2"/>
  <c r="H139" i="2"/>
  <c r="L139" i="2"/>
  <c r="E140" i="2"/>
  <c r="E141" i="2"/>
  <c r="E142" i="2"/>
  <c r="H142" i="2"/>
  <c r="E143" i="2"/>
  <c r="E144" i="2"/>
  <c r="E145" i="2"/>
  <c r="H145" i="2"/>
  <c r="E146" i="2"/>
  <c r="E147" i="2"/>
  <c r="E148" i="2"/>
  <c r="E149" i="2"/>
  <c r="E150" i="2"/>
  <c r="H150" i="2"/>
  <c r="E151" i="2"/>
  <c r="E153" i="2"/>
  <c r="E154" i="2"/>
  <c r="E155" i="2"/>
  <c r="H155" i="2"/>
  <c r="E156" i="2"/>
  <c r="E157" i="2"/>
  <c r="I157" i="2"/>
  <c r="H157" i="2"/>
  <c r="E158" i="2"/>
  <c r="E159" i="2"/>
  <c r="E160" i="2"/>
  <c r="H160" i="2"/>
  <c r="H161" i="2"/>
  <c r="I161" i="2" s="1"/>
  <c r="E161" i="2"/>
  <c r="E162" i="2"/>
  <c r="E163" i="2"/>
  <c r="H163" i="2"/>
  <c r="E164" i="2"/>
  <c r="E165" i="2"/>
  <c r="L166" i="2"/>
  <c r="E166" i="2"/>
  <c r="E167" i="2"/>
  <c r="E168" i="2"/>
  <c r="I168" i="2"/>
  <c r="H168" i="2"/>
  <c r="H169" i="2"/>
  <c r="I169" i="2" s="1"/>
  <c r="E169" i="2"/>
  <c r="L169" i="2"/>
  <c r="E170" i="2"/>
  <c r="E171" i="2"/>
  <c r="I171" i="2"/>
  <c r="H171" i="2"/>
  <c r="E172" i="2"/>
  <c r="G191" i="2"/>
  <c r="E173" i="2"/>
  <c r="I173" i="2"/>
  <c r="H173" i="2"/>
  <c r="E174" i="2"/>
  <c r="H174" i="2"/>
  <c r="I174" i="2"/>
  <c r="L174" i="2"/>
  <c r="E175" i="2"/>
  <c r="E176" i="2"/>
  <c r="H176" i="2"/>
  <c r="H177" i="2"/>
  <c r="I177" i="2" s="1"/>
  <c r="E177" i="2"/>
  <c r="H178" i="2"/>
  <c r="I178" i="2" s="1"/>
  <c r="E178" i="2"/>
  <c r="L178" i="2"/>
  <c r="E179" i="2"/>
  <c r="I179" i="2"/>
  <c r="H179" i="2"/>
  <c r="E180" i="2"/>
  <c r="H180" i="2"/>
  <c r="E181" i="2"/>
  <c r="H181" i="2"/>
  <c r="E182" i="2"/>
  <c r="E183" i="2"/>
  <c r="E184" i="2"/>
  <c r="E185" i="2"/>
  <c r="E187" i="2"/>
  <c r="M187" i="2"/>
  <c r="E188" i="2"/>
  <c r="E189" i="2"/>
  <c r="H189" i="2"/>
  <c r="E190" i="2"/>
  <c r="H190" i="2"/>
  <c r="P199" i="2"/>
  <c r="O200" i="2"/>
  <c r="P200" i="2"/>
  <c r="O201" i="2"/>
  <c r="P201" i="2"/>
  <c r="H202" i="2"/>
  <c r="P217" i="2" s="1"/>
  <c r="P202" i="2"/>
  <c r="P203" i="2"/>
  <c r="O203" i="2"/>
  <c r="H204" i="2"/>
  <c r="O204" i="2"/>
  <c r="N204" i="2"/>
  <c r="P204" i="2"/>
  <c r="O205" i="2"/>
  <c r="N206" i="2" s="1"/>
  <c r="P205" i="2"/>
  <c r="H206" i="2"/>
  <c r="P221" i="2" s="1"/>
  <c r="P206" i="2"/>
  <c r="P214" i="2"/>
  <c r="S215" i="2"/>
  <c r="Q216" i="2"/>
  <c r="S216" i="2"/>
  <c r="S217" i="2"/>
  <c r="Q218" i="2"/>
  <c r="P219" i="2"/>
  <c r="S219" i="2"/>
  <c r="Q220" i="2"/>
  <c r="S220" i="2"/>
  <c r="S221" i="2"/>
  <c r="P226" i="2"/>
  <c r="L8" i="1"/>
  <c r="C19" i="1"/>
  <c r="D19" i="1"/>
  <c r="A11" i="1"/>
  <c r="A12" i="1"/>
  <c r="A13" i="1" s="1"/>
  <c r="A14" i="1" s="1"/>
  <c r="A15" i="1" s="1"/>
  <c r="A16" i="1" s="1"/>
  <c r="A17" i="1" s="1"/>
  <c r="A18" i="1" s="1"/>
  <c r="A19" i="1" s="1"/>
  <c r="D68" i="6" l="1"/>
  <c r="D88" i="6"/>
  <c r="D101" i="6"/>
  <c r="D38" i="6"/>
  <c r="D58" i="6"/>
  <c r="D18" i="6"/>
  <c r="D111" i="6"/>
  <c r="D48" i="6"/>
  <c r="D78" i="6"/>
  <c r="D28" i="6"/>
  <c r="N205" i="2"/>
  <c r="D24" i="6"/>
  <c r="D44" i="6"/>
  <c r="D74" i="6"/>
  <c r="D107" i="6"/>
  <c r="D14" i="6"/>
  <c r="D54" i="6"/>
  <c r="D97" i="6"/>
  <c r="D84" i="6"/>
  <c r="D64" i="6"/>
  <c r="D34" i="6"/>
  <c r="N201" i="2"/>
  <c r="H185" i="2"/>
  <c r="I185" i="2" s="1"/>
  <c r="I181" i="2"/>
  <c r="I180" i="2"/>
  <c r="L184" i="2"/>
  <c r="H182" i="2"/>
  <c r="I182" i="2" s="1"/>
  <c r="H183" i="2"/>
  <c r="I183" i="2" s="1"/>
  <c r="L179" i="2"/>
  <c r="H135" i="2"/>
  <c r="I135" i="2" s="1"/>
  <c r="H115" i="2"/>
  <c r="L173" i="2"/>
  <c r="I172" i="2"/>
  <c r="H170" i="2"/>
  <c r="I170" i="2" s="1"/>
  <c r="H165" i="2"/>
  <c r="I163" i="2"/>
  <c r="L157" i="2"/>
  <c r="H156" i="2"/>
  <c r="I155" i="2"/>
  <c r="H147" i="2"/>
  <c r="I139" i="2"/>
  <c r="H91" i="2"/>
  <c r="L61" i="2"/>
  <c r="D36" i="6"/>
  <c r="D26" i="6"/>
  <c r="D46" i="6"/>
  <c r="D76" i="6"/>
  <c r="D109" i="6"/>
  <c r="D86" i="6"/>
  <c r="D66" i="6"/>
  <c r="D99" i="6"/>
  <c r="D56" i="6"/>
  <c r="D16" i="6"/>
  <c r="E27" i="6"/>
  <c r="E47" i="6"/>
  <c r="E77" i="6"/>
  <c r="E110" i="6"/>
  <c r="E17" i="6"/>
  <c r="E57" i="6"/>
  <c r="E87" i="6"/>
  <c r="E67" i="6"/>
  <c r="E37" i="6"/>
  <c r="E100" i="6"/>
  <c r="E63" i="6"/>
  <c r="E83" i="6"/>
  <c r="E96" i="6"/>
  <c r="E33" i="6"/>
  <c r="E43" i="6"/>
  <c r="E73" i="6"/>
  <c r="E23" i="6"/>
  <c r="E53" i="6"/>
  <c r="E13" i="6"/>
  <c r="E106" i="6"/>
  <c r="L168" i="2"/>
  <c r="A3" i="6"/>
  <c r="A3" i="5"/>
  <c r="A3" i="3"/>
  <c r="A3" i="2"/>
  <c r="A3" i="4"/>
  <c r="Q221" i="2"/>
  <c r="Q217" i="2"/>
  <c r="O206" i="2"/>
  <c r="H203" i="2"/>
  <c r="P218" i="2" s="1"/>
  <c r="O202" i="2"/>
  <c r="H184" i="2"/>
  <c r="I184" i="2" s="1"/>
  <c r="L180" i="2"/>
  <c r="H167" i="2"/>
  <c r="I167" i="2" s="1"/>
  <c r="I150" i="2"/>
  <c r="H149" i="2"/>
  <c r="I149" i="2" s="1"/>
  <c r="A1" i="6"/>
  <c r="A1" i="5"/>
  <c r="A1" i="3"/>
  <c r="A1" i="2"/>
  <c r="A1" i="4"/>
  <c r="S218" i="2"/>
  <c r="S214" i="2"/>
  <c r="N202" i="2"/>
  <c r="H172" i="2"/>
  <c r="I165" i="2"/>
  <c r="L160" i="2"/>
  <c r="H154" i="2"/>
  <c r="I154" i="2" s="1"/>
  <c r="H153" i="2"/>
  <c r="I153" i="2" s="1"/>
  <c r="H151" i="2"/>
  <c r="I151" i="2" s="1"/>
  <c r="I147" i="2"/>
  <c r="I146" i="2"/>
  <c r="L142" i="2"/>
  <c r="H138" i="2"/>
  <c r="I138" i="2" s="1"/>
  <c r="H137" i="2"/>
  <c r="I137" i="2" s="1"/>
  <c r="I133" i="2"/>
  <c r="M133" i="2"/>
  <c r="E15" i="6"/>
  <c r="E55" i="6"/>
  <c r="E65" i="6"/>
  <c r="E85" i="6"/>
  <c r="E98" i="6"/>
  <c r="E35" i="6"/>
  <c r="E45" i="6"/>
  <c r="E75" i="6"/>
  <c r="E25" i="6"/>
  <c r="E108" i="6"/>
  <c r="Q214" i="2"/>
  <c r="H200" i="2"/>
  <c r="P215" i="2" s="1"/>
  <c r="O199" i="2"/>
  <c r="D22" i="3"/>
  <c r="H175" i="2"/>
  <c r="I175" i="2" s="1"/>
  <c r="H159" i="2"/>
  <c r="I159" i="2" s="1"/>
  <c r="H148" i="2"/>
  <c r="I148" i="2" s="1"/>
  <c r="H141" i="2"/>
  <c r="I141" i="2" s="1"/>
  <c r="P132" i="2"/>
  <c r="H39" i="2"/>
  <c r="D48" i="3"/>
  <c r="L165" i="2"/>
  <c r="I164" i="2"/>
  <c r="H162" i="2"/>
  <c r="I162" i="2" s="1"/>
  <c r="L147" i="2"/>
  <c r="H146" i="2"/>
  <c r="I145" i="2"/>
  <c r="I130" i="2"/>
  <c r="M130" i="2"/>
  <c r="P101" i="2"/>
  <c r="L101" i="2"/>
  <c r="H158" i="2"/>
  <c r="I158" i="2" s="1"/>
  <c r="H140" i="2"/>
  <c r="I140" i="2" s="1"/>
  <c r="D71" i="6"/>
  <c r="D104" i="6"/>
  <c r="D41" i="6"/>
  <c r="D11" i="6"/>
  <c r="D31" i="6"/>
  <c r="D51" i="6"/>
  <c r="D81" i="6"/>
  <c r="D94" i="6"/>
  <c r="D21" i="6"/>
  <c r="D61" i="6"/>
  <c r="Q219" i="2"/>
  <c r="Q215" i="2"/>
  <c r="H205" i="2"/>
  <c r="P220" i="2" s="1"/>
  <c r="H201" i="2"/>
  <c r="P216" i="2" s="1"/>
  <c r="H166" i="2"/>
  <c r="I166" i="2" s="1"/>
  <c r="I160" i="2"/>
  <c r="I142" i="2"/>
  <c r="H164" i="2"/>
  <c r="I156" i="2"/>
  <c r="L150" i="2"/>
  <c r="H144" i="2"/>
  <c r="I144" i="2" s="1"/>
  <c r="H143" i="2"/>
  <c r="I143" i="2" s="1"/>
  <c r="H131" i="2"/>
  <c r="H128" i="2"/>
  <c r="H127" i="2"/>
  <c r="H120" i="2"/>
  <c r="L118" i="2"/>
  <c r="P118" i="2"/>
  <c r="P109" i="2"/>
  <c r="H102" i="2"/>
  <c r="L97" i="2"/>
  <c r="H94" i="2"/>
  <c r="H88" i="2"/>
  <c r="I88" i="2" s="1"/>
  <c r="H87" i="2"/>
  <c r="I87" i="2" s="1"/>
  <c r="H86" i="2"/>
  <c r="I86" i="2" s="1"/>
  <c r="H85" i="2"/>
  <c r="I85" i="2" s="1"/>
  <c r="H77" i="2"/>
  <c r="I77" i="2" s="1"/>
  <c r="H70" i="2"/>
  <c r="I70" i="2" s="1"/>
  <c r="H50" i="2"/>
  <c r="I176" i="2"/>
  <c r="L171" i="2"/>
  <c r="L163" i="2"/>
  <c r="L155" i="2"/>
  <c r="L145" i="2"/>
  <c r="P126" i="2"/>
  <c r="L123" i="2"/>
  <c r="I122" i="2"/>
  <c r="M122" i="2"/>
  <c r="H110" i="2"/>
  <c r="L105" i="2"/>
  <c r="I104" i="2"/>
  <c r="M104" i="2"/>
  <c r="H98" i="2"/>
  <c r="H79" i="2"/>
  <c r="I79" i="2" s="1"/>
  <c r="H73" i="2"/>
  <c r="L113" i="2"/>
  <c r="I112" i="2"/>
  <c r="M112" i="2"/>
  <c r="L108" i="2"/>
  <c r="P108" i="2"/>
  <c r="H96" i="2"/>
  <c r="H80" i="2"/>
  <c r="H55" i="2"/>
  <c r="L46" i="2"/>
  <c r="L136" i="2"/>
  <c r="M129" i="2"/>
  <c r="H122" i="2"/>
  <c r="P105" i="2"/>
  <c r="H104" i="2"/>
  <c r="H95" i="2"/>
  <c r="L60" i="2"/>
  <c r="L32" i="2"/>
  <c r="P32" i="2"/>
  <c r="H117" i="2"/>
  <c r="H112" i="2"/>
  <c r="H97" i="2"/>
  <c r="H93" i="2"/>
  <c r="H84" i="2"/>
  <c r="I84" i="2" s="1"/>
  <c r="I64" i="2"/>
  <c r="I136" i="2"/>
  <c r="H121" i="2"/>
  <c r="H103" i="2"/>
  <c r="H99" i="2"/>
  <c r="I90" i="2"/>
  <c r="M90" i="2"/>
  <c r="H78" i="2"/>
  <c r="I78" i="2" s="1"/>
  <c r="H71" i="2"/>
  <c r="H35" i="2"/>
  <c r="P119" i="2"/>
  <c r="P116" i="2"/>
  <c r="H113" i="2"/>
  <c r="H111" i="2"/>
  <c r="H107" i="2"/>
  <c r="H57" i="2"/>
  <c r="H53" i="2"/>
  <c r="H67" i="2"/>
  <c r="I67" i="2" s="1"/>
  <c r="H62" i="2"/>
  <c r="I62" i="2" s="1"/>
  <c r="P44" i="2"/>
  <c r="L44" i="2"/>
  <c r="L41" i="2"/>
  <c r="I22" i="2"/>
  <c r="M22" i="2"/>
  <c r="L20" i="2"/>
  <c r="M96" i="2"/>
  <c r="I71" i="2"/>
  <c r="I65" i="2"/>
  <c r="I55" i="2"/>
  <c r="L51" i="2"/>
  <c r="H41" i="2"/>
  <c r="H33" i="2"/>
  <c r="P28" i="2"/>
  <c r="M123" i="2"/>
  <c r="M115" i="2"/>
  <c r="M113" i="2"/>
  <c r="P113" i="2" s="1"/>
  <c r="M105" i="2"/>
  <c r="M97" i="2"/>
  <c r="P97" i="2" s="1"/>
  <c r="H75" i="2"/>
  <c r="I75" i="2" s="1"/>
  <c r="L63" i="2"/>
  <c r="P51" i="2"/>
  <c r="I46" i="2"/>
  <c r="M46" i="2"/>
  <c r="L42" i="2"/>
  <c r="P42" i="2"/>
  <c r="H37" i="2"/>
  <c r="I72" i="2"/>
  <c r="I56" i="2"/>
  <c r="I52" i="2"/>
  <c r="M52" i="2"/>
  <c r="P52" i="2" s="1"/>
  <c r="P43" i="2"/>
  <c r="I31" i="2"/>
  <c r="M31" i="2"/>
  <c r="P29" i="2"/>
  <c r="P92" i="2"/>
  <c r="H83" i="2"/>
  <c r="I83" i="2" s="1"/>
  <c r="L76" i="2"/>
  <c r="H74" i="2"/>
  <c r="I74" i="2" s="1"/>
  <c r="H59" i="2"/>
  <c r="I59" i="2" s="1"/>
  <c r="H58" i="2"/>
  <c r="I58" i="2" s="1"/>
  <c r="H26" i="2"/>
  <c r="H25" i="2"/>
  <c r="I18" i="2"/>
  <c r="M18" i="2"/>
  <c r="I93" i="2"/>
  <c r="I73" i="2"/>
  <c r="I63" i="2"/>
  <c r="I57" i="2"/>
  <c r="H51" i="2"/>
  <c r="H45" i="2"/>
  <c r="L43" i="2"/>
  <c r="H40" i="2"/>
  <c r="I30" i="2"/>
  <c r="M30" i="2"/>
  <c r="L29" i="2"/>
  <c r="H21" i="2"/>
  <c r="M89" i="2"/>
  <c r="P89" i="2" s="1"/>
  <c r="I80" i="2"/>
  <c r="I76" i="2"/>
  <c r="L65" i="2"/>
  <c r="L48" i="2"/>
  <c r="P48" i="2"/>
  <c r="M37" i="2"/>
  <c r="L36" i="2"/>
  <c r="H29" i="2"/>
  <c r="M35" i="2"/>
  <c r="I35" i="2"/>
  <c r="H31" i="2"/>
  <c r="H23" i="2"/>
  <c r="M20" i="2"/>
  <c r="P20" i="2" s="1"/>
  <c r="I20" i="2"/>
  <c r="L19" i="2"/>
  <c r="M16" i="2"/>
  <c r="P16" i="2" s="1"/>
  <c r="I16" i="2"/>
  <c r="P14" i="2"/>
  <c r="L27" i="2"/>
  <c r="L24" i="2"/>
  <c r="I23" i="2"/>
  <c r="M23" i="2"/>
  <c r="L49" i="2"/>
  <c r="L13" i="2"/>
  <c r="P13" i="2"/>
  <c r="J16" i="4"/>
  <c r="J19" i="4" s="1"/>
  <c r="H47" i="2"/>
  <c r="I41" i="2"/>
  <c r="M41" i="2"/>
  <c r="P41" i="2" s="1"/>
  <c r="L34" i="2"/>
  <c r="P34" i="2"/>
  <c r="M19" i="2"/>
  <c r="I19" i="2"/>
  <c r="D19" i="4"/>
  <c r="C16" i="4"/>
  <c r="I49" i="2"/>
  <c r="M27" i="2"/>
  <c r="P27" i="2" s="1"/>
  <c r="I27" i="2"/>
  <c r="L16" i="2"/>
  <c r="C23" i="4"/>
  <c r="C25" i="4"/>
  <c r="I11" i="2"/>
  <c r="M11" i="2"/>
  <c r="H15" i="2"/>
  <c r="H14" i="2"/>
  <c r="L12" i="2"/>
  <c r="H10" i="2"/>
  <c r="H9" i="2"/>
  <c r="C28" i="4"/>
  <c r="H29" i="4"/>
  <c r="M12" i="2"/>
  <c r="P12" i="2" s="1"/>
  <c r="C14" i="4"/>
  <c r="M13" i="2"/>
  <c r="I9" i="2"/>
  <c r="J40" i="4"/>
  <c r="G29" i="4"/>
  <c r="C26" i="4"/>
  <c r="I40" i="4"/>
  <c r="H40" i="4"/>
  <c r="G40" i="4"/>
  <c r="P53" i="2" l="1"/>
  <c r="L53" i="2"/>
  <c r="L146" i="2"/>
  <c r="L115" i="2"/>
  <c r="P115" i="2"/>
  <c r="P11" i="2"/>
  <c r="L11" i="2"/>
  <c r="P9" i="2"/>
  <c r="L9" i="2"/>
  <c r="L18" i="2"/>
  <c r="P18" i="2"/>
  <c r="L21" i="2"/>
  <c r="P21" i="2"/>
  <c r="P40" i="2"/>
  <c r="L40" i="2"/>
  <c r="L68" i="2"/>
  <c r="P111" i="2"/>
  <c r="L111" i="2"/>
  <c r="P35" i="2"/>
  <c r="L35" i="2"/>
  <c r="P104" i="2"/>
  <c r="L104" i="2"/>
  <c r="P110" i="2"/>
  <c r="L110" i="2"/>
  <c r="L85" i="2"/>
  <c r="P120" i="2"/>
  <c r="L120" i="2"/>
  <c r="L144" i="2"/>
  <c r="L164" i="2"/>
  <c r="L140" i="2"/>
  <c r="L148" i="2"/>
  <c r="D12" i="6"/>
  <c r="D52" i="6"/>
  <c r="D32" i="6"/>
  <c r="D62" i="6"/>
  <c r="D82" i="6"/>
  <c r="D95" i="6"/>
  <c r="D105" i="6"/>
  <c r="D22" i="6"/>
  <c r="D42" i="6"/>
  <c r="D72" i="6"/>
  <c r="E34" i="6"/>
  <c r="E24" i="6"/>
  <c r="E44" i="6"/>
  <c r="E74" i="6"/>
  <c r="E107" i="6"/>
  <c r="E14" i="6"/>
  <c r="E54" i="6"/>
  <c r="E64" i="6"/>
  <c r="E84" i="6"/>
  <c r="E97" i="6"/>
  <c r="I191" i="2"/>
  <c r="D16" i="3" s="1"/>
  <c r="P112" i="2"/>
  <c r="L112" i="2"/>
  <c r="E66" i="6"/>
  <c r="E86" i="6"/>
  <c r="E99" i="6"/>
  <c r="E36" i="6"/>
  <c r="E26" i="6"/>
  <c r="E46" i="6"/>
  <c r="E76" i="6"/>
  <c r="E109" i="6"/>
  <c r="E16" i="6"/>
  <c r="E56" i="6"/>
  <c r="P19" i="2"/>
  <c r="L67" i="2"/>
  <c r="L57" i="2"/>
  <c r="P121" i="2"/>
  <c r="L121" i="2"/>
  <c r="L84" i="2"/>
  <c r="L55" i="2"/>
  <c r="L73" i="2"/>
  <c r="L128" i="2"/>
  <c r="P128" i="2"/>
  <c r="L175" i="2"/>
  <c r="E71" i="6"/>
  <c r="E104" i="6"/>
  <c r="E41" i="6"/>
  <c r="E51" i="6"/>
  <c r="E81" i="6"/>
  <c r="E11" i="6"/>
  <c r="E31" i="6"/>
  <c r="E61" i="6"/>
  <c r="E21" i="6"/>
  <c r="E94" i="6"/>
  <c r="L138" i="2"/>
  <c r="L151" i="2"/>
  <c r="E18" i="6"/>
  <c r="E58" i="6"/>
  <c r="E68" i="6"/>
  <c r="E88" i="6"/>
  <c r="E101" i="6"/>
  <c r="E38" i="6"/>
  <c r="E28" i="6"/>
  <c r="E48" i="6"/>
  <c r="E78" i="6"/>
  <c r="E111" i="6"/>
  <c r="L37" i="2"/>
  <c r="P37" i="2"/>
  <c r="E29" i="4"/>
  <c r="J29" i="4"/>
  <c r="K29" i="4"/>
  <c r="P90" i="2"/>
  <c r="L90" i="2"/>
  <c r="L93" i="2"/>
  <c r="P93" i="2"/>
  <c r="L100" i="2"/>
  <c r="P100" i="2"/>
  <c r="P50" i="2"/>
  <c r="L50" i="2"/>
  <c r="L94" i="2"/>
  <c r="P94" i="2"/>
  <c r="P131" i="2"/>
  <c r="L131" i="2"/>
  <c r="L158" i="2"/>
  <c r="L161" i="2"/>
  <c r="L167" i="2"/>
  <c r="L135" i="2"/>
  <c r="L185" i="2"/>
  <c r="P31" i="2"/>
  <c r="L31" i="2"/>
  <c r="L71" i="2"/>
  <c r="P129" i="2"/>
  <c r="L129" i="2"/>
  <c r="L117" i="2"/>
  <c r="P117" i="2"/>
  <c r="L80" i="2"/>
  <c r="L86" i="2"/>
  <c r="L159" i="2"/>
  <c r="L181" i="2"/>
  <c r="P133" i="2"/>
  <c r="L153" i="2"/>
  <c r="N200" i="2"/>
  <c r="P10" i="2"/>
  <c r="L10" i="2"/>
  <c r="C19" i="4"/>
  <c r="L64" i="2"/>
  <c r="L99" i="2"/>
  <c r="P99" i="2"/>
  <c r="P122" i="2"/>
  <c r="L122" i="2"/>
  <c r="L79" i="2"/>
  <c r="L70" i="2"/>
  <c r="L87" i="2"/>
  <c r="D63" i="6"/>
  <c r="D83" i="6"/>
  <c r="D96" i="6"/>
  <c r="D33" i="6"/>
  <c r="D23" i="6"/>
  <c r="D43" i="6"/>
  <c r="D73" i="6"/>
  <c r="D106" i="6"/>
  <c r="D13" i="6"/>
  <c r="D53" i="6"/>
  <c r="L162" i="2"/>
  <c r="L39" i="2"/>
  <c r="P39" i="2"/>
  <c r="N203" i="2"/>
  <c r="L91" i="2"/>
  <c r="P91" i="2"/>
  <c r="L177" i="2"/>
  <c r="L183" i="2"/>
  <c r="L182" i="2"/>
  <c r="L26" i="2"/>
  <c r="P26" i="2"/>
  <c r="P130" i="2"/>
  <c r="L130" i="2"/>
  <c r="P45" i="2"/>
  <c r="L45" i="2"/>
  <c r="L25" i="2"/>
  <c r="P25" i="2"/>
  <c r="L33" i="2"/>
  <c r="P33" i="2"/>
  <c r="P95" i="2"/>
  <c r="L95" i="2"/>
  <c r="P102" i="2"/>
  <c r="L102" i="2"/>
  <c r="D27" i="6"/>
  <c r="D47" i="6"/>
  <c r="D77" i="6"/>
  <c r="D110" i="6"/>
  <c r="D17" i="6"/>
  <c r="D57" i="6"/>
  <c r="D67" i="6"/>
  <c r="D87" i="6"/>
  <c r="D100" i="6"/>
  <c r="D37" i="6"/>
  <c r="L141" i="2"/>
  <c r="L154" i="2"/>
  <c r="L172" i="2"/>
  <c r="L149" i="2"/>
  <c r="L176" i="2"/>
  <c r="D15" i="6"/>
  <c r="D55" i="6"/>
  <c r="D65" i="6"/>
  <c r="D85" i="6"/>
  <c r="D98" i="6"/>
  <c r="D35" i="6"/>
  <c r="D25" i="6"/>
  <c r="D45" i="6"/>
  <c r="D75" i="6"/>
  <c r="D108" i="6"/>
  <c r="L156" i="2"/>
  <c r="L170" i="2"/>
  <c r="P30" i="2"/>
  <c r="L30" i="2"/>
  <c r="L15" i="2"/>
  <c r="P15" i="2"/>
  <c r="P22" i="2"/>
  <c r="L22" i="2"/>
  <c r="F29" i="4"/>
  <c r="P23" i="2"/>
  <c r="L23" i="2"/>
  <c r="L59" i="2"/>
  <c r="L69" i="2"/>
  <c r="L62" i="2"/>
  <c r="L107" i="2"/>
  <c r="P107" i="2"/>
  <c r="L78" i="2"/>
  <c r="P103" i="2"/>
  <c r="L103" i="2"/>
  <c r="P123" i="2"/>
  <c r="P46" i="2"/>
  <c r="P96" i="2"/>
  <c r="L96" i="2"/>
  <c r="L77" i="2"/>
  <c r="L88" i="2"/>
  <c r="P127" i="2"/>
  <c r="L127" i="2"/>
  <c r="L143" i="2"/>
  <c r="E42" i="6"/>
  <c r="E72" i="6"/>
  <c r="E105" i="6"/>
  <c r="E12" i="6"/>
  <c r="E52" i="6"/>
  <c r="E32" i="6"/>
  <c r="E62" i="6"/>
  <c r="E82" i="6"/>
  <c r="E95" i="6"/>
  <c r="E22" i="6"/>
  <c r="L137" i="2"/>
  <c r="L191" i="2" l="1"/>
  <c r="J30" i="4"/>
  <c r="J31" i="4" s="1"/>
  <c r="J32" i="4"/>
  <c r="J34" i="4" s="1"/>
  <c r="E30" i="4"/>
  <c r="E31" i="4" s="1"/>
  <c r="E32" i="4" s="1"/>
  <c r="E34" i="4" s="1"/>
  <c r="F30" i="4"/>
  <c r="F31" i="4" s="1"/>
  <c r="F32" i="4" s="1"/>
  <c r="F34" i="4" s="1"/>
  <c r="C27" i="4"/>
  <c r="C29" i="4" s="1"/>
  <c r="D29" i="4"/>
  <c r="D30" i="4" l="1"/>
  <c r="D57" i="3"/>
  <c r="D41" i="3" s="1"/>
  <c r="I30" i="4"/>
  <c r="I31" i="4" s="1"/>
  <c r="I32" i="4" s="1"/>
  <c r="I34" i="4" s="1"/>
  <c r="G30" i="4"/>
  <c r="G31" i="4" s="1"/>
  <c r="G32" i="4" s="1"/>
  <c r="G34" i="4" s="1"/>
  <c r="H30" i="4"/>
  <c r="H31" i="4" s="1"/>
  <c r="H32" i="4" s="1"/>
  <c r="H34" i="4" s="1"/>
  <c r="K30" i="4"/>
  <c r="K31" i="4" s="1"/>
  <c r="K32" i="4" s="1"/>
  <c r="K34" i="4" s="1"/>
  <c r="L30" i="4" l="1"/>
  <c r="D31" i="4"/>
  <c r="D32" i="4" s="1"/>
  <c r="C32" i="4" l="1"/>
  <c r="D34" i="4"/>
  <c r="C34" i="4" l="1"/>
  <c r="D35" i="4"/>
  <c r="D38" i="4" l="1"/>
  <c r="D36" i="4"/>
  <c r="F35" i="4"/>
  <c r="J35" i="4"/>
  <c r="E35" i="4"/>
  <c r="I35" i="4"/>
  <c r="H35" i="4"/>
  <c r="G35" i="4"/>
  <c r="K35" i="4"/>
  <c r="H38" i="4" l="1"/>
  <c r="H36" i="4"/>
  <c r="I38" i="4"/>
  <c r="I36" i="4"/>
  <c r="E36" i="4"/>
  <c r="E38" i="4"/>
  <c r="J36" i="4"/>
  <c r="J38" i="4"/>
  <c r="F38" i="4"/>
  <c r="F36" i="4"/>
  <c r="D44" i="4"/>
  <c r="K38" i="4"/>
  <c r="K36" i="4"/>
  <c r="L35" i="4"/>
  <c r="G38" i="4"/>
  <c r="G36" i="4"/>
  <c r="D41" i="4"/>
  <c r="D42" i="4"/>
  <c r="J41" i="4" l="1"/>
  <c r="J42" i="4" s="1"/>
  <c r="J44" i="4" s="1"/>
  <c r="G41" i="4"/>
  <c r="G44" i="4" s="1"/>
  <c r="D55" i="3" s="1"/>
  <c r="G42" i="4"/>
  <c r="E41" i="4"/>
  <c r="E44" i="4" s="1"/>
  <c r="E42" i="4"/>
  <c r="K42" i="4"/>
  <c r="K41" i="4"/>
  <c r="K44" i="4" s="1"/>
  <c r="I44" i="4"/>
  <c r="D53" i="3" s="1"/>
  <c r="D11" i="3"/>
  <c r="I42" i="4"/>
  <c r="I41" i="4"/>
  <c r="F41" i="4"/>
  <c r="C41" i="4" s="1"/>
  <c r="F42" i="4"/>
  <c r="F44" i="4" s="1"/>
  <c r="D38" i="3" s="1"/>
  <c r="H41" i="4"/>
  <c r="H42" i="4" s="1"/>
  <c r="D45" i="3" l="1"/>
  <c r="D47" i="3" s="1"/>
  <c r="C42" i="4"/>
  <c r="D12" i="3"/>
  <c r="D14" i="3" s="1"/>
  <c r="H44" i="4"/>
  <c r="D54" i="3" s="1"/>
  <c r="D56" i="3"/>
  <c r="D58" i="3" s="1"/>
  <c r="D59" i="3" s="1"/>
  <c r="C44" i="4" l="1"/>
  <c r="D21" i="3"/>
  <c r="D23" i="3" s="1"/>
  <c r="M188" i="2" s="1"/>
  <c r="D15" i="3"/>
  <c r="D17" i="3" s="1"/>
  <c r="D18" i="3" s="1"/>
  <c r="N188" i="2"/>
  <c r="D49" i="3"/>
  <c r="D39" i="3" s="1"/>
  <c r="D40" i="3" s="1"/>
  <c r="D42" i="3" s="1"/>
  <c r="D43" i="3" s="1"/>
  <c r="N9" i="2" s="1"/>
  <c r="N10" i="2" l="1"/>
  <c r="N14" i="2"/>
  <c r="N13" i="2"/>
  <c r="N12" i="2"/>
  <c r="N11" i="2"/>
  <c r="N21" i="2"/>
  <c r="N29" i="2"/>
  <c r="N20" i="2"/>
  <c r="N28" i="2"/>
  <c r="N36" i="2"/>
  <c r="N16" i="2"/>
  <c r="N18" i="2"/>
  <c r="N26" i="2"/>
  <c r="N19" i="2"/>
  <c r="N25" i="2"/>
  <c r="N33" i="2"/>
  <c r="N43" i="2"/>
  <c r="N51" i="2"/>
  <c r="N24" i="2"/>
  <c r="N32" i="2"/>
  <c r="N42" i="2"/>
  <c r="N50" i="2"/>
  <c r="N45" i="2"/>
  <c r="N48" i="2"/>
  <c r="N53" i="2"/>
  <c r="N62" i="2"/>
  <c r="Q62" i="2" s="1"/>
  <c r="N70" i="2"/>
  <c r="Q70" i="2" s="1"/>
  <c r="N78" i="2"/>
  <c r="Q78" i="2" s="1"/>
  <c r="N86" i="2"/>
  <c r="Q86" i="2" s="1"/>
  <c r="N94" i="2"/>
  <c r="N61" i="2"/>
  <c r="Q61" i="2" s="1"/>
  <c r="N69" i="2"/>
  <c r="Q69" i="2" s="1"/>
  <c r="N77" i="2"/>
  <c r="Q77" i="2" s="1"/>
  <c r="N35" i="2"/>
  <c r="N46" i="2"/>
  <c r="N60" i="2"/>
  <c r="Q60" i="2" s="1"/>
  <c r="N68" i="2"/>
  <c r="Q68" i="2" s="1"/>
  <c r="N22" i="2"/>
  <c r="N47" i="2"/>
  <c r="N57" i="2"/>
  <c r="Q57" i="2" s="1"/>
  <c r="N65" i="2"/>
  <c r="Q65" i="2" s="1"/>
  <c r="N73" i="2"/>
  <c r="Q73" i="2" s="1"/>
  <c r="N44" i="2"/>
  <c r="N75" i="2"/>
  <c r="Q75" i="2" s="1"/>
  <c r="N81" i="2"/>
  <c r="Q81" i="2" s="1"/>
  <c r="N92" i="2"/>
  <c r="N95" i="2"/>
  <c r="N102" i="2"/>
  <c r="N110" i="2"/>
  <c r="N120" i="2"/>
  <c r="N128" i="2"/>
  <c r="N138" i="2"/>
  <c r="Q138" i="2" s="1"/>
  <c r="N37" i="2"/>
  <c r="N66" i="2"/>
  <c r="Q66" i="2" s="1"/>
  <c r="N84" i="2"/>
  <c r="Q84" i="2" s="1"/>
  <c r="N87" i="2"/>
  <c r="Q87" i="2" s="1"/>
  <c r="N89" i="2"/>
  <c r="N101" i="2"/>
  <c r="N109" i="2"/>
  <c r="N119" i="2"/>
  <c r="N127" i="2"/>
  <c r="N137" i="2"/>
  <c r="Q137" i="2" s="1"/>
  <c r="N23" i="2"/>
  <c r="N55" i="2"/>
  <c r="Q55" i="2" s="1"/>
  <c r="N71" i="2"/>
  <c r="Q71" i="2" s="1"/>
  <c r="N100" i="2"/>
  <c r="N108" i="2"/>
  <c r="N118" i="2"/>
  <c r="N126" i="2"/>
  <c r="N40" i="2"/>
  <c r="N59" i="2"/>
  <c r="Q59" i="2" s="1"/>
  <c r="N64" i="2"/>
  <c r="Q64" i="2" s="1"/>
  <c r="N76" i="2"/>
  <c r="Q76" i="2" s="1"/>
  <c r="N82" i="2"/>
  <c r="Q82" i="2" s="1"/>
  <c r="N91" i="2"/>
  <c r="N99" i="2"/>
  <c r="N107" i="2"/>
  <c r="N117" i="2"/>
  <c r="N125" i="2"/>
  <c r="N15" i="2"/>
  <c r="N27" i="2"/>
  <c r="N30" i="2"/>
  <c r="N98" i="2"/>
  <c r="N106" i="2"/>
  <c r="N116" i="2"/>
  <c r="N124" i="2"/>
  <c r="N58" i="2"/>
  <c r="Q58" i="2" s="1"/>
  <c r="N74" i="2"/>
  <c r="Q74" i="2" s="1"/>
  <c r="N79" i="2"/>
  <c r="Q79" i="2" s="1"/>
  <c r="N88" i="2"/>
  <c r="Q88" i="2" s="1"/>
  <c r="N93" i="2"/>
  <c r="N97" i="2"/>
  <c r="N105" i="2"/>
  <c r="N113" i="2"/>
  <c r="N115" i="2"/>
  <c r="N123" i="2"/>
  <c r="N31" i="2"/>
  <c r="N39" i="2"/>
  <c r="N63" i="2"/>
  <c r="Q63" i="2" s="1"/>
  <c r="N80" i="2"/>
  <c r="Q80" i="2" s="1"/>
  <c r="N83" i="2"/>
  <c r="Q83" i="2" s="1"/>
  <c r="N85" i="2"/>
  <c r="Q85" i="2" s="1"/>
  <c r="N90" i="2"/>
  <c r="N96" i="2"/>
  <c r="N144" i="2"/>
  <c r="Q144" i="2" s="1"/>
  <c r="N154" i="2"/>
  <c r="Q154" i="2" s="1"/>
  <c r="N162" i="2"/>
  <c r="Q162" i="2" s="1"/>
  <c r="N170" i="2"/>
  <c r="Q170" i="2" s="1"/>
  <c r="N178" i="2"/>
  <c r="Q178" i="2" s="1"/>
  <c r="N135" i="2"/>
  <c r="Q135" i="2" s="1"/>
  <c r="N143" i="2"/>
  <c r="Q143" i="2" s="1"/>
  <c r="N151" i="2"/>
  <c r="Q151" i="2" s="1"/>
  <c r="N153" i="2"/>
  <c r="Q153" i="2" s="1"/>
  <c r="N161" i="2"/>
  <c r="Q161" i="2" s="1"/>
  <c r="N169" i="2"/>
  <c r="Q169" i="2" s="1"/>
  <c r="N177" i="2"/>
  <c r="Q177" i="2" s="1"/>
  <c r="N49" i="2"/>
  <c r="N72" i="2"/>
  <c r="Q72" i="2" s="1"/>
  <c r="N132" i="2"/>
  <c r="N142" i="2"/>
  <c r="Q142" i="2" s="1"/>
  <c r="N150" i="2"/>
  <c r="Q150" i="2" s="1"/>
  <c r="N160" i="2"/>
  <c r="Q160" i="2" s="1"/>
  <c r="N168" i="2"/>
  <c r="Q168" i="2" s="1"/>
  <c r="N176" i="2"/>
  <c r="Q176" i="2" s="1"/>
  <c r="N141" i="2"/>
  <c r="Q141" i="2" s="1"/>
  <c r="N149" i="2"/>
  <c r="Q149" i="2" s="1"/>
  <c r="N159" i="2"/>
  <c r="Q159" i="2" s="1"/>
  <c r="N167" i="2"/>
  <c r="Q167" i="2" s="1"/>
  <c r="N175" i="2"/>
  <c r="Q175" i="2" s="1"/>
  <c r="N67" i="2"/>
  <c r="Q67" i="2" s="1"/>
  <c r="N129" i="2"/>
  <c r="N136" i="2"/>
  <c r="Q136" i="2" s="1"/>
  <c r="N140" i="2"/>
  <c r="Q140" i="2" s="1"/>
  <c r="N148" i="2"/>
  <c r="Q148" i="2" s="1"/>
  <c r="N158" i="2"/>
  <c r="Q158" i="2" s="1"/>
  <c r="N166" i="2"/>
  <c r="Q166" i="2" s="1"/>
  <c r="N174" i="2"/>
  <c r="Q174" i="2" s="1"/>
  <c r="N52" i="2"/>
  <c r="N56" i="2"/>
  <c r="Q56" i="2" s="1"/>
  <c r="N111" i="2"/>
  <c r="N130" i="2"/>
  <c r="N133" i="2"/>
  <c r="N147" i="2"/>
  <c r="Q147" i="2" s="1"/>
  <c r="N157" i="2"/>
  <c r="Q157" i="2" s="1"/>
  <c r="N165" i="2"/>
  <c r="Q165" i="2" s="1"/>
  <c r="N173" i="2"/>
  <c r="Q173" i="2" s="1"/>
  <c r="N34" i="2"/>
  <c r="N41" i="2"/>
  <c r="N103" i="2"/>
  <c r="N112" i="2"/>
  <c r="N121" i="2"/>
  <c r="N139" i="2"/>
  <c r="Q139" i="2" s="1"/>
  <c r="N146" i="2"/>
  <c r="Q146" i="2" s="1"/>
  <c r="N156" i="2"/>
  <c r="Q156" i="2" s="1"/>
  <c r="N172" i="2"/>
  <c r="Q172" i="2" s="1"/>
  <c r="N179" i="2"/>
  <c r="Q179" i="2" s="1"/>
  <c r="N180" i="2"/>
  <c r="Q180" i="2" s="1"/>
  <c r="N104" i="2"/>
  <c r="N155" i="2"/>
  <c r="Q155" i="2" s="1"/>
  <c r="N185" i="2"/>
  <c r="Q185" i="2" s="1"/>
  <c r="N163" i="2"/>
  <c r="Q163" i="2" s="1"/>
  <c r="N184" i="2"/>
  <c r="Q184" i="2" s="1"/>
  <c r="N171" i="2"/>
  <c r="Q171" i="2" s="1"/>
  <c r="N164" i="2"/>
  <c r="Q164" i="2" s="1"/>
  <c r="N183" i="2"/>
  <c r="Q183" i="2" s="1"/>
  <c r="N131" i="2"/>
  <c r="N182" i="2"/>
  <c r="Q182" i="2" s="1"/>
  <c r="N122" i="2"/>
  <c r="N145" i="2"/>
  <c r="Q145" i="2" s="1"/>
  <c r="N181" i="2"/>
  <c r="Q181" i="2" s="1"/>
  <c r="O9" i="2"/>
  <c r="T9" i="2" s="1"/>
  <c r="W9" i="2" s="1"/>
  <c r="Q9" i="2"/>
  <c r="R9" i="2" s="1"/>
  <c r="Q188" i="2"/>
  <c r="N189" i="2"/>
  <c r="M62" i="2"/>
  <c r="M87" i="2"/>
  <c r="M65" i="2"/>
  <c r="M78" i="2"/>
  <c r="M86" i="2"/>
  <c r="M58" i="2"/>
  <c r="M70" i="2"/>
  <c r="M74" i="2"/>
  <c r="M57" i="2"/>
  <c r="M63" i="2"/>
  <c r="M73" i="2"/>
  <c r="M80" i="2"/>
  <c r="M83" i="2"/>
  <c r="M75" i="2"/>
  <c r="M177" i="2"/>
  <c r="M142" i="2"/>
  <c r="M150" i="2"/>
  <c r="M160" i="2"/>
  <c r="M168" i="2"/>
  <c r="M81" i="2"/>
  <c r="M138" i="2"/>
  <c r="M147" i="2"/>
  <c r="M157" i="2"/>
  <c r="M165" i="2"/>
  <c r="M173" i="2"/>
  <c r="M154" i="2"/>
  <c r="M163" i="2"/>
  <c r="M178" i="2"/>
  <c r="M184" i="2"/>
  <c r="M170" i="2"/>
  <c r="M162" i="2"/>
  <c r="M179" i="2"/>
  <c r="M144" i="2"/>
  <c r="M182" i="2"/>
  <c r="M139" i="2"/>
  <c r="M164" i="2"/>
  <c r="M156" i="2"/>
  <c r="M64" i="2"/>
  <c r="M60" i="2"/>
  <c r="M71" i="2"/>
  <c r="M174" i="2"/>
  <c r="M84" i="2"/>
  <c r="M185" i="2"/>
  <c r="M183" i="2"/>
  <c r="M180" i="2"/>
  <c r="M145" i="2"/>
  <c r="M175" i="2"/>
  <c r="M137" i="2"/>
  <c r="M59" i="2"/>
  <c r="M56" i="2"/>
  <c r="M68" i="2"/>
  <c r="M69" i="2"/>
  <c r="M166" i="2"/>
  <c r="M169" i="2"/>
  <c r="M143" i="2"/>
  <c r="M159" i="2"/>
  <c r="M141" i="2"/>
  <c r="M136" i="2"/>
  <c r="M146" i="2"/>
  <c r="M76" i="2"/>
  <c r="M85" i="2"/>
  <c r="M155" i="2"/>
  <c r="M149" i="2"/>
  <c r="M176" i="2"/>
  <c r="M161" i="2"/>
  <c r="M158" i="2"/>
  <c r="M140" i="2"/>
  <c r="M72" i="2"/>
  <c r="M82" i="2"/>
  <c r="M153" i="2"/>
  <c r="M148" i="2"/>
  <c r="M167" i="2"/>
  <c r="M66" i="2"/>
  <c r="M88" i="2"/>
  <c r="M67" i="2"/>
  <c r="M181" i="2"/>
  <c r="M135" i="2"/>
  <c r="M151" i="2"/>
  <c r="M79" i="2"/>
  <c r="M61" i="2"/>
  <c r="M55" i="2"/>
  <c r="M77" i="2"/>
  <c r="M172" i="2"/>
  <c r="M171" i="2"/>
  <c r="M189" i="2"/>
  <c r="P188" i="2"/>
  <c r="R188" i="2" s="1"/>
  <c r="N187" i="2"/>
  <c r="O187" i="2" s="1"/>
  <c r="O88" i="2" l="1"/>
  <c r="P88" i="2"/>
  <c r="R88" i="2" s="1"/>
  <c r="O158" i="2"/>
  <c r="T158" i="2" s="1"/>
  <c r="W158" i="2" s="1"/>
  <c r="P158" i="2"/>
  <c r="R158" i="2" s="1"/>
  <c r="O136" i="2"/>
  <c r="T136" i="2" s="1"/>
  <c r="W136" i="2" s="1"/>
  <c r="P136" i="2"/>
  <c r="R136" i="2" s="1"/>
  <c r="O56" i="2"/>
  <c r="P56" i="2"/>
  <c r="R56" i="2" s="1"/>
  <c r="O84" i="2"/>
  <c r="P84" i="2"/>
  <c r="R84" i="2" s="1"/>
  <c r="O182" i="2"/>
  <c r="T182" i="2" s="1"/>
  <c r="W182" i="2" s="1"/>
  <c r="P182" i="2"/>
  <c r="R182" i="2" s="1"/>
  <c r="O154" i="2"/>
  <c r="T154" i="2" s="1"/>
  <c r="W154" i="2" s="1"/>
  <c r="P154" i="2"/>
  <c r="R154" i="2" s="1"/>
  <c r="O160" i="2"/>
  <c r="T160" i="2" s="1"/>
  <c r="W160" i="2" s="1"/>
  <c r="P160" i="2"/>
  <c r="R160" i="2" s="1"/>
  <c r="O63" i="2"/>
  <c r="P63" i="2"/>
  <c r="R63" i="2" s="1"/>
  <c r="O87" i="2"/>
  <c r="P87" i="2"/>
  <c r="R87" i="2" s="1"/>
  <c r="O122" i="2"/>
  <c r="T122" i="2" s="1"/>
  <c r="W122" i="2" s="1"/>
  <c r="Q122" i="2"/>
  <c r="R122" i="2" s="1"/>
  <c r="O96" i="2"/>
  <c r="T96" i="2" s="1"/>
  <c r="W96" i="2" s="1"/>
  <c r="Q96" i="2"/>
  <c r="R96" i="2" s="1"/>
  <c r="Q123" i="2"/>
  <c r="R123" i="2" s="1"/>
  <c r="O123" i="2"/>
  <c r="T123" i="2" s="1"/>
  <c r="W123" i="2" s="1"/>
  <c r="O15" i="2"/>
  <c r="T15" i="2" s="1"/>
  <c r="W15" i="2" s="1"/>
  <c r="Q15" i="2"/>
  <c r="R15" i="2" s="1"/>
  <c r="O102" i="2"/>
  <c r="T102" i="2" s="1"/>
  <c r="W102" i="2" s="1"/>
  <c r="Q102" i="2"/>
  <c r="R102" i="2" s="1"/>
  <c r="Q48" i="2"/>
  <c r="R48" i="2" s="1"/>
  <c r="O48" i="2"/>
  <c r="T48" i="2" s="1"/>
  <c r="W48" i="2" s="1"/>
  <c r="O33" i="2"/>
  <c r="Q33" i="2"/>
  <c r="R33" i="2" s="1"/>
  <c r="V33" i="2" s="1"/>
  <c r="U33" i="2" s="1"/>
  <c r="Q20" i="2"/>
  <c r="R20" i="2" s="1"/>
  <c r="O20" i="2"/>
  <c r="O66" i="2"/>
  <c r="T66" i="2" s="1"/>
  <c r="W66" i="2" s="1"/>
  <c r="P66" i="2"/>
  <c r="R66" i="2" s="1"/>
  <c r="O174" i="2"/>
  <c r="T174" i="2" s="1"/>
  <c r="W174" i="2" s="1"/>
  <c r="P174" i="2"/>
  <c r="R174" i="2" s="1"/>
  <c r="O62" i="2"/>
  <c r="P62" i="2"/>
  <c r="R62" i="2" s="1"/>
  <c r="O121" i="2"/>
  <c r="T121" i="2" s="1"/>
  <c r="W121" i="2" s="1"/>
  <c r="Q121" i="2"/>
  <c r="R121" i="2" s="1"/>
  <c r="O132" i="2"/>
  <c r="T132" i="2" s="1"/>
  <c r="W132" i="2" s="1"/>
  <c r="Q132" i="2"/>
  <c r="R132" i="2" s="1"/>
  <c r="Q90" i="2"/>
  <c r="R90" i="2" s="1"/>
  <c r="O90" i="2"/>
  <c r="T90" i="2" s="1"/>
  <c r="W90" i="2" s="1"/>
  <c r="O115" i="2"/>
  <c r="T115" i="2" s="1"/>
  <c r="W115" i="2" s="1"/>
  <c r="Q115" i="2"/>
  <c r="R115" i="2" s="1"/>
  <c r="O125" i="2"/>
  <c r="T125" i="2" s="1"/>
  <c r="W125" i="2" s="1"/>
  <c r="Q125" i="2"/>
  <c r="R125" i="2" s="1"/>
  <c r="Q23" i="2"/>
  <c r="R23" i="2" s="1"/>
  <c r="O23" i="2"/>
  <c r="O95" i="2"/>
  <c r="T95" i="2" s="1"/>
  <c r="W95" i="2" s="1"/>
  <c r="Q95" i="2"/>
  <c r="R95" i="2" s="1"/>
  <c r="O47" i="2"/>
  <c r="T47" i="2" s="1"/>
  <c r="W47" i="2" s="1"/>
  <c r="Q47" i="2"/>
  <c r="R47" i="2" s="1"/>
  <c r="O45" i="2"/>
  <c r="T45" i="2" s="1"/>
  <c r="W45" i="2" s="1"/>
  <c r="Q45" i="2"/>
  <c r="R45" i="2" s="1"/>
  <c r="O25" i="2"/>
  <c r="T25" i="2" s="1"/>
  <c r="W25" i="2" s="1"/>
  <c r="Q25" i="2"/>
  <c r="R25" i="2" s="1"/>
  <c r="Q29" i="2"/>
  <c r="R29" i="2" s="1"/>
  <c r="V29" i="2" s="1"/>
  <c r="U29" i="2" s="1"/>
  <c r="O29" i="2"/>
  <c r="O61" i="2"/>
  <c r="T61" i="2" s="1"/>
  <c r="W61" i="2" s="1"/>
  <c r="P61" i="2"/>
  <c r="R61" i="2" s="1"/>
  <c r="O167" i="2"/>
  <c r="T167" i="2" s="1"/>
  <c r="W167" i="2" s="1"/>
  <c r="P167" i="2"/>
  <c r="R167" i="2" s="1"/>
  <c r="O176" i="2"/>
  <c r="T176" i="2" s="1"/>
  <c r="W176" i="2" s="1"/>
  <c r="P176" i="2"/>
  <c r="R176" i="2" s="1"/>
  <c r="O159" i="2"/>
  <c r="T159" i="2" s="1"/>
  <c r="W159" i="2" s="1"/>
  <c r="P159" i="2"/>
  <c r="R159" i="2" s="1"/>
  <c r="O137" i="2"/>
  <c r="T137" i="2" s="1"/>
  <c r="W137" i="2" s="1"/>
  <c r="P137" i="2"/>
  <c r="R137" i="2" s="1"/>
  <c r="O71" i="2"/>
  <c r="T71" i="2" s="1"/>
  <c r="W71" i="2" s="1"/>
  <c r="P71" i="2"/>
  <c r="R71" i="2" s="1"/>
  <c r="O179" i="2"/>
  <c r="T179" i="2" s="1"/>
  <c r="W179" i="2" s="1"/>
  <c r="P179" i="2"/>
  <c r="R179" i="2" s="1"/>
  <c r="P165" i="2"/>
  <c r="R165" i="2" s="1"/>
  <c r="O165" i="2"/>
  <c r="T165" i="2" s="1"/>
  <c r="W165" i="2" s="1"/>
  <c r="O142" i="2"/>
  <c r="T142" i="2" s="1"/>
  <c r="W142" i="2" s="1"/>
  <c r="P142" i="2"/>
  <c r="R142" i="2" s="1"/>
  <c r="O74" i="2"/>
  <c r="T74" i="2" s="1"/>
  <c r="W74" i="2" s="1"/>
  <c r="P74" i="2"/>
  <c r="R74" i="2" s="1"/>
  <c r="Q189" i="2"/>
  <c r="N190" i="2"/>
  <c r="Q190" i="2" s="1"/>
  <c r="O131" i="2"/>
  <c r="T131" i="2" s="1"/>
  <c r="W131" i="2" s="1"/>
  <c r="Q131" i="2"/>
  <c r="R131" i="2" s="1"/>
  <c r="O104" i="2"/>
  <c r="T104" i="2" s="1"/>
  <c r="W104" i="2" s="1"/>
  <c r="Q104" i="2"/>
  <c r="R104" i="2" s="1"/>
  <c r="Q112" i="2"/>
  <c r="R112" i="2" s="1"/>
  <c r="O112" i="2"/>
  <c r="T112" i="2" s="1"/>
  <c r="W112" i="2" s="1"/>
  <c r="Q133" i="2"/>
  <c r="R133" i="2" s="1"/>
  <c r="O133" i="2"/>
  <c r="T133" i="2" s="1"/>
  <c r="W133" i="2" s="1"/>
  <c r="Q113" i="2"/>
  <c r="R113" i="2" s="1"/>
  <c r="O113" i="2"/>
  <c r="T113" i="2" s="1"/>
  <c r="W113" i="2" s="1"/>
  <c r="Q124" i="2"/>
  <c r="R124" i="2" s="1"/>
  <c r="O124" i="2"/>
  <c r="T124" i="2" s="1"/>
  <c r="W124" i="2" s="1"/>
  <c r="O117" i="2"/>
  <c r="T117" i="2" s="1"/>
  <c r="W117" i="2" s="1"/>
  <c r="Q117" i="2"/>
  <c r="R117" i="2" s="1"/>
  <c r="O40" i="2"/>
  <c r="T40" i="2" s="1"/>
  <c r="W40" i="2" s="1"/>
  <c r="Q40" i="2"/>
  <c r="R40" i="2" s="1"/>
  <c r="Q92" i="2"/>
  <c r="R92" i="2" s="1"/>
  <c r="O92" i="2"/>
  <c r="T92" i="2" s="1"/>
  <c r="W92" i="2" s="1"/>
  <c r="Q22" i="2"/>
  <c r="R22" i="2" s="1"/>
  <c r="O22" i="2"/>
  <c r="T22" i="2" s="1"/>
  <c r="W22" i="2" s="1"/>
  <c r="O94" i="2"/>
  <c r="T94" i="2" s="1"/>
  <c r="W94" i="2" s="1"/>
  <c r="Q94" i="2"/>
  <c r="R94" i="2" s="1"/>
  <c r="O50" i="2"/>
  <c r="T50" i="2" s="1"/>
  <c r="W50" i="2" s="1"/>
  <c r="Q50" i="2"/>
  <c r="R50" i="2" s="1"/>
  <c r="Q19" i="2"/>
  <c r="R19" i="2" s="1"/>
  <c r="O19" i="2"/>
  <c r="O21" i="2"/>
  <c r="Q21" i="2"/>
  <c r="R21" i="2" s="1"/>
  <c r="O141" i="2"/>
  <c r="T141" i="2" s="1"/>
  <c r="W141" i="2" s="1"/>
  <c r="P141" i="2"/>
  <c r="R141" i="2" s="1"/>
  <c r="O150" i="2"/>
  <c r="T150" i="2" s="1"/>
  <c r="W150" i="2" s="1"/>
  <c r="P150" i="2"/>
  <c r="R150" i="2" s="1"/>
  <c r="J177" i="5"/>
  <c r="V187" i="2"/>
  <c r="O79" i="2"/>
  <c r="P79" i="2"/>
  <c r="R79" i="2" s="1"/>
  <c r="O148" i="2"/>
  <c r="T148" i="2" s="1"/>
  <c r="W148" i="2" s="1"/>
  <c r="P148" i="2"/>
  <c r="R148" i="2" s="1"/>
  <c r="O149" i="2"/>
  <c r="T149" i="2" s="1"/>
  <c r="W149" i="2" s="1"/>
  <c r="P149" i="2"/>
  <c r="R149" i="2" s="1"/>
  <c r="O143" i="2"/>
  <c r="T143" i="2" s="1"/>
  <c r="W143" i="2" s="1"/>
  <c r="P143" i="2"/>
  <c r="R143" i="2" s="1"/>
  <c r="O175" i="2"/>
  <c r="T175" i="2" s="1"/>
  <c r="W175" i="2" s="1"/>
  <c r="P175" i="2"/>
  <c r="R175" i="2" s="1"/>
  <c r="O60" i="2"/>
  <c r="P60" i="2"/>
  <c r="R60" i="2" s="1"/>
  <c r="O162" i="2"/>
  <c r="T162" i="2" s="1"/>
  <c r="W162" i="2" s="1"/>
  <c r="P162" i="2"/>
  <c r="R162" i="2" s="1"/>
  <c r="O157" i="2"/>
  <c r="T157" i="2" s="1"/>
  <c r="W157" i="2" s="1"/>
  <c r="P157" i="2"/>
  <c r="R157" i="2" s="1"/>
  <c r="O177" i="2"/>
  <c r="T177" i="2" s="1"/>
  <c r="W177" i="2" s="1"/>
  <c r="P177" i="2"/>
  <c r="R177" i="2" s="1"/>
  <c r="O70" i="2"/>
  <c r="T70" i="2" s="1"/>
  <c r="W70" i="2" s="1"/>
  <c r="P70" i="2"/>
  <c r="R70" i="2" s="1"/>
  <c r="O103" i="2"/>
  <c r="T103" i="2" s="1"/>
  <c r="W103" i="2" s="1"/>
  <c r="Q103" i="2"/>
  <c r="R103" i="2" s="1"/>
  <c r="Q130" i="2"/>
  <c r="R130" i="2" s="1"/>
  <c r="O130" i="2"/>
  <c r="T130" i="2" s="1"/>
  <c r="W130" i="2" s="1"/>
  <c r="O49" i="2"/>
  <c r="T49" i="2" s="1"/>
  <c r="W49" i="2" s="1"/>
  <c r="Q49" i="2"/>
  <c r="R49" i="2" s="1"/>
  <c r="Q105" i="2"/>
  <c r="R105" i="2" s="1"/>
  <c r="O105" i="2"/>
  <c r="T105" i="2" s="1"/>
  <c r="W105" i="2" s="1"/>
  <c r="Q116" i="2"/>
  <c r="R116" i="2" s="1"/>
  <c r="O116" i="2"/>
  <c r="T116" i="2" s="1"/>
  <c r="W116" i="2" s="1"/>
  <c r="O107" i="2"/>
  <c r="T107" i="2" s="1"/>
  <c r="W107" i="2" s="1"/>
  <c r="Q107" i="2"/>
  <c r="R107" i="2" s="1"/>
  <c r="Q126" i="2"/>
  <c r="R126" i="2" s="1"/>
  <c r="O126" i="2"/>
  <c r="T126" i="2" s="1"/>
  <c r="W126" i="2" s="1"/>
  <c r="O127" i="2"/>
  <c r="T127" i="2" s="1"/>
  <c r="W127" i="2" s="1"/>
  <c r="Q127" i="2"/>
  <c r="R127" i="2" s="1"/>
  <c r="Q37" i="2"/>
  <c r="R37" i="2" s="1"/>
  <c r="V37" i="2" s="1"/>
  <c r="U37" i="2" s="1"/>
  <c r="O37" i="2"/>
  <c r="Q42" i="2"/>
  <c r="R42" i="2" s="1"/>
  <c r="O42" i="2"/>
  <c r="T42" i="2" s="1"/>
  <c r="W42" i="2" s="1"/>
  <c r="O26" i="2"/>
  <c r="Q26" i="2"/>
  <c r="R26" i="2" s="1"/>
  <c r="Q11" i="2"/>
  <c r="R11" i="2" s="1"/>
  <c r="O11" i="2"/>
  <c r="T11" i="2" s="1"/>
  <c r="W11" i="2" s="1"/>
  <c r="O161" i="2"/>
  <c r="T161" i="2" s="1"/>
  <c r="W161" i="2" s="1"/>
  <c r="P161" i="2"/>
  <c r="R161" i="2" s="1"/>
  <c r="J174" i="5"/>
  <c r="V188" i="2"/>
  <c r="O151" i="2"/>
  <c r="T151" i="2" s="1"/>
  <c r="W151" i="2" s="1"/>
  <c r="P151" i="2"/>
  <c r="R151" i="2" s="1"/>
  <c r="O153" i="2"/>
  <c r="T153" i="2" s="1"/>
  <c r="W153" i="2" s="1"/>
  <c r="P153" i="2"/>
  <c r="R153" i="2" s="1"/>
  <c r="O155" i="2"/>
  <c r="T155" i="2" s="1"/>
  <c r="W155" i="2" s="1"/>
  <c r="P155" i="2"/>
  <c r="R155" i="2" s="1"/>
  <c r="O169" i="2"/>
  <c r="T169" i="2" s="1"/>
  <c r="W169" i="2" s="1"/>
  <c r="P169" i="2"/>
  <c r="R169" i="2" s="1"/>
  <c r="O145" i="2"/>
  <c r="T145" i="2" s="1"/>
  <c r="W145" i="2" s="1"/>
  <c r="P145" i="2"/>
  <c r="R145" i="2" s="1"/>
  <c r="O64" i="2"/>
  <c r="T64" i="2" s="1"/>
  <c r="W64" i="2" s="1"/>
  <c r="P64" i="2"/>
  <c r="R64" i="2" s="1"/>
  <c r="O170" i="2"/>
  <c r="T170" i="2" s="1"/>
  <c r="W170" i="2" s="1"/>
  <c r="P170" i="2"/>
  <c r="R170" i="2" s="1"/>
  <c r="O147" i="2"/>
  <c r="T147" i="2" s="1"/>
  <c r="W147" i="2" s="1"/>
  <c r="P147" i="2"/>
  <c r="R147" i="2" s="1"/>
  <c r="O75" i="2"/>
  <c r="T75" i="2" s="1"/>
  <c r="W75" i="2" s="1"/>
  <c r="P75" i="2"/>
  <c r="R75" i="2" s="1"/>
  <c r="O58" i="2"/>
  <c r="T58" i="2" s="1"/>
  <c r="W58" i="2" s="1"/>
  <c r="P58" i="2"/>
  <c r="R58" i="2" s="1"/>
  <c r="J11" i="5"/>
  <c r="V9" i="2"/>
  <c r="Q41" i="2"/>
  <c r="R41" i="2" s="1"/>
  <c r="O41" i="2"/>
  <c r="T41" i="2" s="1"/>
  <c r="W41" i="2" s="1"/>
  <c r="O111" i="2"/>
  <c r="T111" i="2" s="1"/>
  <c r="W111" i="2" s="1"/>
  <c r="Q111" i="2"/>
  <c r="R111" i="2" s="1"/>
  <c r="Q97" i="2"/>
  <c r="R97" i="2" s="1"/>
  <c r="O97" i="2"/>
  <c r="T97" i="2" s="1"/>
  <c r="W97" i="2" s="1"/>
  <c r="Q106" i="2"/>
  <c r="R106" i="2" s="1"/>
  <c r="O106" i="2"/>
  <c r="T106" i="2" s="1"/>
  <c r="W106" i="2" s="1"/>
  <c r="O99" i="2"/>
  <c r="T99" i="2" s="1"/>
  <c r="W99" i="2" s="1"/>
  <c r="Q99" i="2"/>
  <c r="R99" i="2" s="1"/>
  <c r="Q118" i="2"/>
  <c r="R118" i="2" s="1"/>
  <c r="O118" i="2"/>
  <c r="T118" i="2" s="1"/>
  <c r="W118" i="2" s="1"/>
  <c r="Q119" i="2"/>
  <c r="R119" i="2" s="1"/>
  <c r="O119" i="2"/>
  <c r="T119" i="2" s="1"/>
  <c r="W119" i="2" s="1"/>
  <c r="O32" i="2"/>
  <c r="Q32" i="2"/>
  <c r="R32" i="2" s="1"/>
  <c r="V32" i="2" s="1"/>
  <c r="U32" i="2" s="1"/>
  <c r="O18" i="2"/>
  <c r="Q18" i="2"/>
  <c r="R18" i="2" s="1"/>
  <c r="Q12" i="2"/>
  <c r="R12" i="2" s="1"/>
  <c r="O12" i="2"/>
  <c r="T12" i="2" s="1"/>
  <c r="W12" i="2" s="1"/>
  <c r="O55" i="2"/>
  <c r="P55" i="2"/>
  <c r="R55" i="2" s="1"/>
  <c r="O59" i="2"/>
  <c r="P59" i="2"/>
  <c r="R59" i="2" s="1"/>
  <c r="O173" i="2"/>
  <c r="T173" i="2" s="1"/>
  <c r="W173" i="2" s="1"/>
  <c r="P173" i="2"/>
  <c r="R173" i="2" s="1"/>
  <c r="O135" i="2"/>
  <c r="T135" i="2" s="1"/>
  <c r="W135" i="2" s="1"/>
  <c r="P135" i="2"/>
  <c r="R135" i="2" s="1"/>
  <c r="O85" i="2"/>
  <c r="P85" i="2"/>
  <c r="R85" i="2" s="1"/>
  <c r="O166" i="2"/>
  <c r="T166" i="2" s="1"/>
  <c r="W166" i="2" s="1"/>
  <c r="P166" i="2"/>
  <c r="R166" i="2" s="1"/>
  <c r="O156" i="2"/>
  <c r="T156" i="2" s="1"/>
  <c r="W156" i="2" s="1"/>
  <c r="P156" i="2"/>
  <c r="R156" i="2" s="1"/>
  <c r="O138" i="2"/>
  <c r="T138" i="2" s="1"/>
  <c r="W138" i="2" s="1"/>
  <c r="P138" i="2"/>
  <c r="R138" i="2" s="1"/>
  <c r="O83" i="2"/>
  <c r="P83" i="2"/>
  <c r="R83" i="2" s="1"/>
  <c r="O86" i="2"/>
  <c r="P86" i="2"/>
  <c r="R86" i="2" s="1"/>
  <c r="Q34" i="2"/>
  <c r="R34" i="2" s="1"/>
  <c r="V34" i="2" s="1"/>
  <c r="U34" i="2" s="1"/>
  <c r="O34" i="2"/>
  <c r="O129" i="2"/>
  <c r="T129" i="2" s="1"/>
  <c r="W129" i="2" s="1"/>
  <c r="Q129" i="2"/>
  <c r="R129" i="2" s="1"/>
  <c r="O93" i="2"/>
  <c r="T93" i="2" s="1"/>
  <c r="W93" i="2" s="1"/>
  <c r="Q93" i="2"/>
  <c r="R93" i="2" s="1"/>
  <c r="Q98" i="2"/>
  <c r="R98" i="2" s="1"/>
  <c r="O98" i="2"/>
  <c r="T98" i="2" s="1"/>
  <c r="W98" i="2" s="1"/>
  <c r="O91" i="2"/>
  <c r="T91" i="2" s="1"/>
  <c r="W91" i="2" s="1"/>
  <c r="Q91" i="2"/>
  <c r="R91" i="2" s="1"/>
  <c r="Q108" i="2"/>
  <c r="R108" i="2" s="1"/>
  <c r="O108" i="2"/>
  <c r="T108" i="2" s="1"/>
  <c r="W108" i="2" s="1"/>
  <c r="O109" i="2"/>
  <c r="T109" i="2" s="1"/>
  <c r="W109" i="2" s="1"/>
  <c r="Q109" i="2"/>
  <c r="R109" i="2" s="1"/>
  <c r="O128" i="2"/>
  <c r="T128" i="2" s="1"/>
  <c r="W128" i="2" s="1"/>
  <c r="Q128" i="2"/>
  <c r="R128" i="2" s="1"/>
  <c r="O44" i="2"/>
  <c r="T44" i="2" s="1"/>
  <c r="W44" i="2" s="1"/>
  <c r="Q44" i="2"/>
  <c r="R44" i="2" s="1"/>
  <c r="Q46" i="2"/>
  <c r="R46" i="2" s="1"/>
  <c r="O46" i="2"/>
  <c r="O24" i="2"/>
  <c r="T24" i="2" s="1"/>
  <c r="W24" i="2" s="1"/>
  <c r="Q24" i="2"/>
  <c r="R24" i="2" s="1"/>
  <c r="Q16" i="2"/>
  <c r="R16" i="2" s="1"/>
  <c r="O16" i="2"/>
  <c r="T16" i="2" s="1"/>
  <c r="W16" i="2" s="1"/>
  <c r="Q13" i="2"/>
  <c r="R13" i="2" s="1"/>
  <c r="O13" i="2"/>
  <c r="T13" i="2" s="1"/>
  <c r="W13" i="2" s="1"/>
  <c r="O77" i="2"/>
  <c r="T77" i="2" s="1"/>
  <c r="W77" i="2" s="1"/>
  <c r="P77" i="2"/>
  <c r="R77" i="2" s="1"/>
  <c r="O144" i="2"/>
  <c r="T144" i="2" s="1"/>
  <c r="W144" i="2" s="1"/>
  <c r="P144" i="2"/>
  <c r="R144" i="2" s="1"/>
  <c r="O82" i="2"/>
  <c r="P82" i="2"/>
  <c r="R82" i="2" s="1"/>
  <c r="O184" i="2"/>
  <c r="T184" i="2" s="1"/>
  <c r="W184" i="2" s="1"/>
  <c r="P184" i="2"/>
  <c r="R184" i="2" s="1"/>
  <c r="O171" i="2"/>
  <c r="T171" i="2" s="1"/>
  <c r="W171" i="2" s="1"/>
  <c r="P171" i="2"/>
  <c r="R171" i="2" s="1"/>
  <c r="O181" i="2"/>
  <c r="T181" i="2" s="1"/>
  <c r="W181" i="2" s="1"/>
  <c r="P181" i="2"/>
  <c r="R181" i="2" s="1"/>
  <c r="O72" i="2"/>
  <c r="T72" i="2" s="1"/>
  <c r="W72" i="2" s="1"/>
  <c r="P72" i="2"/>
  <c r="R72" i="2" s="1"/>
  <c r="O76" i="2"/>
  <c r="T76" i="2" s="1"/>
  <c r="W76" i="2" s="1"/>
  <c r="P76" i="2"/>
  <c r="R76" i="2" s="1"/>
  <c r="O69" i="2"/>
  <c r="P69" i="2"/>
  <c r="R69" i="2" s="1"/>
  <c r="O183" i="2"/>
  <c r="T183" i="2" s="1"/>
  <c r="W183" i="2" s="1"/>
  <c r="P183" i="2"/>
  <c r="R183" i="2" s="1"/>
  <c r="O164" i="2"/>
  <c r="T164" i="2" s="1"/>
  <c r="W164" i="2" s="1"/>
  <c r="P164" i="2"/>
  <c r="R164" i="2" s="1"/>
  <c r="O178" i="2"/>
  <c r="T178" i="2" s="1"/>
  <c r="W178" i="2" s="1"/>
  <c r="P178" i="2"/>
  <c r="R178" i="2" s="1"/>
  <c r="O81" i="2"/>
  <c r="P81" i="2"/>
  <c r="R81" i="2" s="1"/>
  <c r="O80" i="2"/>
  <c r="P80" i="2"/>
  <c r="R80" i="2" s="1"/>
  <c r="O78" i="2"/>
  <c r="T78" i="2" s="1"/>
  <c r="W78" i="2" s="1"/>
  <c r="P78" i="2"/>
  <c r="R78" i="2" s="1"/>
  <c r="Q52" i="2"/>
  <c r="R52" i="2" s="1"/>
  <c r="O52" i="2"/>
  <c r="T52" i="2" s="1"/>
  <c r="W52" i="2" s="1"/>
  <c r="O39" i="2"/>
  <c r="T39" i="2" s="1"/>
  <c r="W39" i="2" s="1"/>
  <c r="Q39" i="2"/>
  <c r="R39" i="2" s="1"/>
  <c r="O30" i="2"/>
  <c r="Q30" i="2"/>
  <c r="R30" i="2" s="1"/>
  <c r="V30" i="2" s="1"/>
  <c r="U30" i="2" s="1"/>
  <c r="O100" i="2"/>
  <c r="T100" i="2" s="1"/>
  <c r="W100" i="2" s="1"/>
  <c r="Q100" i="2"/>
  <c r="R100" i="2" s="1"/>
  <c r="O101" i="2"/>
  <c r="T101" i="2" s="1"/>
  <c r="W101" i="2" s="1"/>
  <c r="Q101" i="2"/>
  <c r="R101" i="2" s="1"/>
  <c r="O120" i="2"/>
  <c r="T120" i="2" s="1"/>
  <c r="W120" i="2" s="1"/>
  <c r="Q120" i="2"/>
  <c r="R120" i="2" s="1"/>
  <c r="Q35" i="2"/>
  <c r="R35" i="2" s="1"/>
  <c r="V35" i="2" s="1"/>
  <c r="U35" i="2" s="1"/>
  <c r="O35" i="2"/>
  <c r="O51" i="2"/>
  <c r="T51" i="2" s="1"/>
  <c r="W51" i="2" s="1"/>
  <c r="Q51" i="2"/>
  <c r="R51" i="2" s="1"/>
  <c r="O36" i="2"/>
  <c r="Q36" i="2"/>
  <c r="R36" i="2" s="1"/>
  <c r="V36" i="2" s="1"/>
  <c r="U36" i="2" s="1"/>
  <c r="O14" i="2"/>
  <c r="T14" i="2" s="1"/>
  <c r="W14" i="2" s="1"/>
  <c r="Q14" i="2"/>
  <c r="R14" i="2" s="1"/>
  <c r="O57" i="2"/>
  <c r="P57" i="2"/>
  <c r="R57" i="2" s="1"/>
  <c r="M190" i="2"/>
  <c r="P190" i="2" s="1"/>
  <c r="R190" i="2" s="1"/>
  <c r="P189" i="2"/>
  <c r="R189" i="2" s="1"/>
  <c r="O180" i="2"/>
  <c r="T180" i="2" s="1"/>
  <c r="W180" i="2" s="1"/>
  <c r="P180" i="2"/>
  <c r="R180" i="2" s="1"/>
  <c r="O172" i="2"/>
  <c r="T172" i="2" s="1"/>
  <c r="W172" i="2" s="1"/>
  <c r="P172" i="2"/>
  <c r="R172" i="2" s="1"/>
  <c r="O67" i="2"/>
  <c r="T67" i="2" s="1"/>
  <c r="W67" i="2" s="1"/>
  <c r="P67" i="2"/>
  <c r="R67" i="2" s="1"/>
  <c r="O140" i="2"/>
  <c r="T140" i="2" s="1"/>
  <c r="W140" i="2" s="1"/>
  <c r="P140" i="2"/>
  <c r="R140" i="2" s="1"/>
  <c r="O146" i="2"/>
  <c r="T146" i="2" s="1"/>
  <c r="W146" i="2" s="1"/>
  <c r="P146" i="2"/>
  <c r="R146" i="2" s="1"/>
  <c r="O68" i="2"/>
  <c r="T68" i="2" s="1"/>
  <c r="W68" i="2" s="1"/>
  <c r="P68" i="2"/>
  <c r="R68" i="2" s="1"/>
  <c r="O185" i="2"/>
  <c r="T185" i="2" s="1"/>
  <c r="W185" i="2" s="1"/>
  <c r="P185" i="2"/>
  <c r="R185" i="2" s="1"/>
  <c r="O139" i="2"/>
  <c r="T139" i="2" s="1"/>
  <c r="W139" i="2" s="1"/>
  <c r="P139" i="2"/>
  <c r="R139" i="2" s="1"/>
  <c r="O163" i="2"/>
  <c r="T163" i="2" s="1"/>
  <c r="W163" i="2" s="1"/>
  <c r="P163" i="2"/>
  <c r="R163" i="2" s="1"/>
  <c r="O168" i="2"/>
  <c r="T168" i="2" s="1"/>
  <c r="W168" i="2" s="1"/>
  <c r="P168" i="2"/>
  <c r="R168" i="2" s="1"/>
  <c r="O73" i="2"/>
  <c r="T73" i="2" s="1"/>
  <c r="W73" i="2" s="1"/>
  <c r="P73" i="2"/>
  <c r="R73" i="2" s="1"/>
  <c r="O65" i="2"/>
  <c r="T65" i="2" s="1"/>
  <c r="W65" i="2" s="1"/>
  <c r="P65" i="2"/>
  <c r="R65" i="2" s="1"/>
  <c r="Q31" i="2"/>
  <c r="R31" i="2" s="1"/>
  <c r="V31" i="2" s="1"/>
  <c r="U31" i="2" s="1"/>
  <c r="O31" i="2"/>
  <c r="Q27" i="2"/>
  <c r="R27" i="2" s="1"/>
  <c r="O27" i="2"/>
  <c r="T27" i="2" s="1"/>
  <c r="W27" i="2" s="1"/>
  <c r="Q89" i="2"/>
  <c r="R89" i="2" s="1"/>
  <c r="O89" i="2"/>
  <c r="T89" i="2" s="1"/>
  <c r="W89" i="2" s="1"/>
  <c r="O110" i="2"/>
  <c r="T110" i="2" s="1"/>
  <c r="W110" i="2" s="1"/>
  <c r="Q110" i="2"/>
  <c r="R110" i="2" s="1"/>
  <c r="O53" i="2"/>
  <c r="Q53" i="2"/>
  <c r="R53" i="2" s="1"/>
  <c r="Q43" i="2"/>
  <c r="R43" i="2" s="1"/>
  <c r="O43" i="2"/>
  <c r="T43" i="2" s="1"/>
  <c r="W43" i="2" s="1"/>
  <c r="O28" i="2"/>
  <c r="Q28" i="2"/>
  <c r="R28" i="2" s="1"/>
  <c r="V28" i="2" s="1"/>
  <c r="U28" i="2" s="1"/>
  <c r="O10" i="2"/>
  <c r="T10" i="2" s="1"/>
  <c r="W10" i="2" s="1"/>
  <c r="Q10" i="2"/>
  <c r="R10" i="2" s="1"/>
  <c r="J87" i="5" l="1"/>
  <c r="V73" i="2"/>
  <c r="U73" i="2" s="1"/>
  <c r="J216" i="5"/>
  <c r="V185" i="2"/>
  <c r="U185" i="2" s="1"/>
  <c r="J80" i="5"/>
  <c r="V67" i="2"/>
  <c r="U67" i="2" s="1"/>
  <c r="J69" i="5"/>
  <c r="V57" i="2"/>
  <c r="U57" i="2" s="1"/>
  <c r="J43" i="5"/>
  <c r="T35" i="2"/>
  <c r="W35" i="2" s="1"/>
  <c r="J214" i="5"/>
  <c r="V183" i="2"/>
  <c r="U183" i="2" s="1"/>
  <c r="J212" i="5"/>
  <c r="V181" i="2"/>
  <c r="U181" i="2" s="1"/>
  <c r="J165" i="5"/>
  <c r="V144" i="2"/>
  <c r="U144" i="2" s="1"/>
  <c r="J31" i="5"/>
  <c r="V24" i="2"/>
  <c r="U24" i="2" s="1"/>
  <c r="J127" i="5"/>
  <c r="V109" i="2"/>
  <c r="U109" i="2" s="1"/>
  <c r="J109" i="5"/>
  <c r="V93" i="2"/>
  <c r="U93" i="2" s="1"/>
  <c r="J195" i="5"/>
  <c r="V166" i="2"/>
  <c r="U166" i="2" s="1"/>
  <c r="J71" i="5"/>
  <c r="V59" i="2"/>
  <c r="U59" i="2" s="1"/>
  <c r="U9" i="2"/>
  <c r="J201" i="5"/>
  <c r="V170" i="2"/>
  <c r="U170" i="2" s="1"/>
  <c r="J182" i="5"/>
  <c r="V155" i="2"/>
  <c r="U155" i="2" s="1"/>
  <c r="K174" i="5"/>
  <c r="S174" i="5"/>
  <c r="J53" i="5"/>
  <c r="V42" i="2"/>
  <c r="U42" i="2" s="1"/>
  <c r="J149" i="5"/>
  <c r="V130" i="2"/>
  <c r="U130" i="2" s="1"/>
  <c r="G91" i="6"/>
  <c r="T187" i="2"/>
  <c r="W187" i="2"/>
  <c r="W204" i="2" s="1"/>
  <c r="L16" i="1" s="1"/>
  <c r="L200" i="2"/>
  <c r="J150" i="5"/>
  <c r="V131" i="2"/>
  <c r="U131" i="2" s="1"/>
  <c r="J187" i="5"/>
  <c r="V159" i="2"/>
  <c r="U159" i="2" s="1"/>
  <c r="J37" i="5"/>
  <c r="T29" i="2"/>
  <c r="W29" i="2" s="1"/>
  <c r="J111" i="5"/>
  <c r="V95" i="2"/>
  <c r="U95" i="2" s="1"/>
  <c r="J205" i="5"/>
  <c r="V174" i="2"/>
  <c r="U174" i="2" s="1"/>
  <c r="J112" i="5"/>
  <c r="V96" i="2"/>
  <c r="U96" i="2" s="1"/>
  <c r="J188" i="5"/>
  <c r="V160" i="2"/>
  <c r="U160" i="2" s="1"/>
  <c r="J68" i="5"/>
  <c r="V56" i="2"/>
  <c r="U56" i="2" s="1"/>
  <c r="K11" i="5"/>
  <c r="J189" i="5"/>
  <c r="V161" i="2"/>
  <c r="U161" i="2" s="1"/>
  <c r="J45" i="5"/>
  <c r="T37" i="2"/>
  <c r="W37" i="2" s="1"/>
  <c r="J120" i="5"/>
  <c r="V103" i="2"/>
  <c r="U103" i="2" s="1"/>
  <c r="J190" i="5"/>
  <c r="V162" i="2"/>
  <c r="U162" i="2" s="1"/>
  <c r="J170" i="5"/>
  <c r="V149" i="2"/>
  <c r="U149" i="2" s="1"/>
  <c r="K177" i="5"/>
  <c r="S177" i="5"/>
  <c r="J26" i="5"/>
  <c r="V19" i="2"/>
  <c r="U19" i="2" s="1"/>
  <c r="J108" i="5"/>
  <c r="V92" i="2"/>
  <c r="U92" i="2" s="1"/>
  <c r="J131" i="5"/>
  <c r="V113" i="2"/>
  <c r="U113" i="2" s="1"/>
  <c r="J194" i="5"/>
  <c r="V165" i="2"/>
  <c r="U165" i="2" s="1"/>
  <c r="J106" i="5"/>
  <c r="V90" i="2"/>
  <c r="U90" i="2" s="1"/>
  <c r="J60" i="5"/>
  <c r="V48" i="2"/>
  <c r="U48" i="2" s="1"/>
  <c r="K201" i="2"/>
  <c r="J38" i="5"/>
  <c r="T30" i="2"/>
  <c r="W30" i="2" s="1"/>
  <c r="J95" i="5"/>
  <c r="V80" i="2"/>
  <c r="U80" i="2" s="1"/>
  <c r="J101" i="5"/>
  <c r="V86" i="2"/>
  <c r="U86" i="2" s="1"/>
  <c r="K203" i="2"/>
  <c r="J40" i="5"/>
  <c r="T32" i="2"/>
  <c r="W32" i="2" s="1"/>
  <c r="J124" i="5"/>
  <c r="V106" i="2"/>
  <c r="U106" i="2" s="1"/>
  <c r="J198" i="5"/>
  <c r="V168" i="2"/>
  <c r="U168" i="2" s="1"/>
  <c r="J81" i="5"/>
  <c r="V68" i="2"/>
  <c r="U68" i="2" s="1"/>
  <c r="J203" i="5"/>
  <c r="V172" i="2"/>
  <c r="U172" i="2" s="1"/>
  <c r="J18" i="5"/>
  <c r="V14" i="2"/>
  <c r="U14" i="2" s="1"/>
  <c r="J138" i="5"/>
  <c r="V120" i="2"/>
  <c r="U120" i="2" s="1"/>
  <c r="J50" i="5"/>
  <c r="V39" i="2"/>
  <c r="J83" i="5"/>
  <c r="V69" i="2"/>
  <c r="U69" i="2" s="1"/>
  <c r="J202" i="5"/>
  <c r="V171" i="2"/>
  <c r="U171" i="2" s="1"/>
  <c r="J91" i="5"/>
  <c r="V77" i="2"/>
  <c r="U77" i="2" s="1"/>
  <c r="L205" i="2"/>
  <c r="J148" i="5"/>
  <c r="V129" i="2"/>
  <c r="U129" i="2" s="1"/>
  <c r="J67" i="5"/>
  <c r="V55" i="2"/>
  <c r="J70" i="5"/>
  <c r="V58" i="2"/>
  <c r="U58" i="2" s="1"/>
  <c r="J77" i="5"/>
  <c r="V64" i="2"/>
  <c r="U64" i="2" s="1"/>
  <c r="J180" i="5"/>
  <c r="V153" i="2"/>
  <c r="J134" i="5"/>
  <c r="V116" i="2"/>
  <c r="U116" i="2" s="1"/>
  <c r="J171" i="5"/>
  <c r="V150" i="2"/>
  <c r="U150" i="2" s="1"/>
  <c r="J62" i="5"/>
  <c r="V50" i="2"/>
  <c r="U50" i="2" s="1"/>
  <c r="J51" i="5"/>
  <c r="V40" i="2"/>
  <c r="U40" i="2" s="1"/>
  <c r="J210" i="5"/>
  <c r="V179" i="2"/>
  <c r="U179" i="2" s="1"/>
  <c r="J207" i="5"/>
  <c r="V176" i="2"/>
  <c r="U176" i="2" s="1"/>
  <c r="J32" i="5"/>
  <c r="V25" i="2"/>
  <c r="U25" i="2" s="1"/>
  <c r="L203" i="2"/>
  <c r="J151" i="5"/>
  <c r="V132" i="2"/>
  <c r="U132" i="2" s="1"/>
  <c r="J79" i="5"/>
  <c r="V66" i="2"/>
  <c r="U66" i="2" s="1"/>
  <c r="J119" i="5"/>
  <c r="V102" i="2"/>
  <c r="U102" i="2" s="1"/>
  <c r="J140" i="5"/>
  <c r="V122" i="2"/>
  <c r="U122" i="2" s="1"/>
  <c r="J181" i="5"/>
  <c r="V154" i="2"/>
  <c r="U154" i="2" s="1"/>
  <c r="J155" i="5"/>
  <c r="V136" i="2"/>
  <c r="U136" i="2" s="1"/>
  <c r="J105" i="5"/>
  <c r="V89" i="2"/>
  <c r="U89" i="2" s="1"/>
  <c r="J54" i="5"/>
  <c r="V43" i="2"/>
  <c r="U43" i="2" s="1"/>
  <c r="J34" i="5"/>
  <c r="V27" i="2"/>
  <c r="U27" i="2" s="1"/>
  <c r="J96" i="5"/>
  <c r="V81" i="2"/>
  <c r="U81" i="2" s="1"/>
  <c r="K199" i="2"/>
  <c r="J57" i="5"/>
  <c r="V46" i="2"/>
  <c r="U46" i="2" s="1"/>
  <c r="J126" i="5"/>
  <c r="V108" i="2"/>
  <c r="U108" i="2" s="1"/>
  <c r="J98" i="5"/>
  <c r="V83" i="2"/>
  <c r="U83" i="2" s="1"/>
  <c r="J100" i="5"/>
  <c r="V85" i="2"/>
  <c r="U85" i="2" s="1"/>
  <c r="K200" i="2"/>
  <c r="J137" i="5"/>
  <c r="V119" i="2"/>
  <c r="U119" i="2" s="1"/>
  <c r="J113" i="5"/>
  <c r="V97" i="2"/>
  <c r="U97" i="2" s="1"/>
  <c r="W205" i="2"/>
  <c r="L17" i="1" s="1"/>
  <c r="J146" i="5"/>
  <c r="V127" i="2"/>
  <c r="U127" i="2" s="1"/>
  <c r="J84" i="5"/>
  <c r="V70" i="2"/>
  <c r="U70" i="2" s="1"/>
  <c r="J72" i="5"/>
  <c r="V60" i="2"/>
  <c r="U60" i="2" s="1"/>
  <c r="J169" i="5"/>
  <c r="V148" i="2"/>
  <c r="U148" i="2" s="1"/>
  <c r="J152" i="5"/>
  <c r="V133" i="2"/>
  <c r="U133" i="2" s="1"/>
  <c r="J30" i="5"/>
  <c r="V23" i="2"/>
  <c r="U23" i="2" s="1"/>
  <c r="J65" i="5"/>
  <c r="V53" i="2"/>
  <c r="U53" i="2" s="1"/>
  <c r="J39" i="5"/>
  <c r="T31" i="2"/>
  <c r="W31" i="2" s="1"/>
  <c r="J192" i="5"/>
  <c r="V163" i="2"/>
  <c r="U163" i="2" s="1"/>
  <c r="J167" i="5"/>
  <c r="V146" i="2"/>
  <c r="U146" i="2" s="1"/>
  <c r="J211" i="5"/>
  <c r="V180" i="2"/>
  <c r="U180" i="2" s="1"/>
  <c r="J118" i="5"/>
  <c r="V101" i="2"/>
  <c r="U101" i="2" s="1"/>
  <c r="J209" i="5"/>
  <c r="V178" i="2"/>
  <c r="U178" i="2" s="1"/>
  <c r="J90" i="5"/>
  <c r="V76" i="2"/>
  <c r="U76" i="2" s="1"/>
  <c r="J215" i="5"/>
  <c r="V184" i="2"/>
  <c r="U184" i="2" s="1"/>
  <c r="J55" i="5"/>
  <c r="V44" i="2"/>
  <c r="U44" i="2" s="1"/>
  <c r="J107" i="5"/>
  <c r="V91" i="2"/>
  <c r="U91" i="2" s="1"/>
  <c r="J42" i="5"/>
  <c r="T34" i="2"/>
  <c r="W34" i="2" s="1"/>
  <c r="J157" i="5"/>
  <c r="V138" i="2"/>
  <c r="U138" i="2" s="1"/>
  <c r="J154" i="5"/>
  <c r="V135" i="2"/>
  <c r="J129" i="5"/>
  <c r="V111" i="2"/>
  <c r="U111" i="2" s="1"/>
  <c r="J89" i="5"/>
  <c r="V75" i="2"/>
  <c r="U75" i="2" s="1"/>
  <c r="J166" i="5"/>
  <c r="V145" i="2"/>
  <c r="U145" i="2" s="1"/>
  <c r="J172" i="5"/>
  <c r="V151" i="2"/>
  <c r="U151" i="2" s="1"/>
  <c r="J14" i="5"/>
  <c r="V11" i="2"/>
  <c r="U11" i="2" s="1"/>
  <c r="J123" i="5"/>
  <c r="V105" i="2"/>
  <c r="U105" i="2" s="1"/>
  <c r="K204" i="2"/>
  <c r="J161" i="5"/>
  <c r="V141" i="2"/>
  <c r="U141" i="2" s="1"/>
  <c r="J110" i="5"/>
  <c r="V94" i="2"/>
  <c r="U94" i="2" s="1"/>
  <c r="J135" i="5"/>
  <c r="V117" i="2"/>
  <c r="U117" i="2" s="1"/>
  <c r="J88" i="5"/>
  <c r="V74" i="2"/>
  <c r="U74" i="2" s="1"/>
  <c r="J85" i="5"/>
  <c r="V71" i="2"/>
  <c r="U71" i="2" s="1"/>
  <c r="J196" i="5"/>
  <c r="V167" i="2"/>
  <c r="U167" i="2" s="1"/>
  <c r="J56" i="5"/>
  <c r="V45" i="2"/>
  <c r="U45" i="2" s="1"/>
  <c r="J144" i="5"/>
  <c r="V125" i="2"/>
  <c r="U125" i="2" s="1"/>
  <c r="J139" i="5"/>
  <c r="V121" i="2"/>
  <c r="U121" i="2" s="1"/>
  <c r="L201" i="2"/>
  <c r="J19" i="5"/>
  <c r="V15" i="2"/>
  <c r="U15" i="2" s="1"/>
  <c r="J213" i="5"/>
  <c r="V182" i="2"/>
  <c r="U182" i="2" s="1"/>
  <c r="J185" i="5"/>
  <c r="V158" i="2"/>
  <c r="U158" i="2" s="1"/>
  <c r="J44" i="5"/>
  <c r="T36" i="2"/>
  <c r="W36" i="2" s="1"/>
  <c r="J64" i="5"/>
  <c r="V52" i="2"/>
  <c r="U52" i="2" s="1"/>
  <c r="J17" i="5"/>
  <c r="V13" i="2"/>
  <c r="U13" i="2" s="1"/>
  <c r="W203" i="2"/>
  <c r="L15" i="1" s="1"/>
  <c r="J15" i="5"/>
  <c r="V12" i="2"/>
  <c r="U12" i="2" s="1"/>
  <c r="J136" i="5"/>
  <c r="V118" i="2"/>
  <c r="U118" i="2" s="1"/>
  <c r="J33" i="5"/>
  <c r="V26" i="2"/>
  <c r="U26" i="2" s="1"/>
  <c r="J61" i="5"/>
  <c r="V49" i="2"/>
  <c r="U49" i="2" s="1"/>
  <c r="J208" i="5"/>
  <c r="V177" i="2"/>
  <c r="U177" i="2" s="1"/>
  <c r="J206" i="5"/>
  <c r="V175" i="2"/>
  <c r="U175" i="2" s="1"/>
  <c r="J130" i="5"/>
  <c r="V112" i="2"/>
  <c r="U112" i="2" s="1"/>
  <c r="J27" i="5"/>
  <c r="V20" i="2"/>
  <c r="U20" i="2" s="1"/>
  <c r="J102" i="5"/>
  <c r="V87" i="2"/>
  <c r="U87" i="2" s="1"/>
  <c r="L206" i="2"/>
  <c r="J13" i="5"/>
  <c r="V10" i="2"/>
  <c r="U10" i="2" s="1"/>
  <c r="J128" i="5"/>
  <c r="V110" i="2"/>
  <c r="U110" i="2" s="1"/>
  <c r="J78" i="5"/>
  <c r="V65" i="2"/>
  <c r="U65" i="2" s="1"/>
  <c r="J158" i="5"/>
  <c r="V139" i="2"/>
  <c r="U139" i="2" s="1"/>
  <c r="J159" i="5"/>
  <c r="V140" i="2"/>
  <c r="U140" i="2" s="1"/>
  <c r="J175" i="5"/>
  <c r="V189" i="2"/>
  <c r="U189" i="2" s="1"/>
  <c r="J63" i="5"/>
  <c r="V51" i="2"/>
  <c r="U51" i="2" s="1"/>
  <c r="J117" i="5"/>
  <c r="V100" i="2"/>
  <c r="U100" i="2" s="1"/>
  <c r="J92" i="5"/>
  <c r="V78" i="2"/>
  <c r="U78" i="2" s="1"/>
  <c r="J193" i="5"/>
  <c r="V164" i="2"/>
  <c r="U164" i="2" s="1"/>
  <c r="J86" i="5"/>
  <c r="V72" i="2"/>
  <c r="U72" i="2" s="1"/>
  <c r="J147" i="5"/>
  <c r="V128" i="2"/>
  <c r="U128" i="2" s="1"/>
  <c r="W198" i="2"/>
  <c r="J183" i="5"/>
  <c r="V156" i="2"/>
  <c r="U156" i="2" s="1"/>
  <c r="J204" i="5"/>
  <c r="V173" i="2"/>
  <c r="U173" i="2" s="1"/>
  <c r="J25" i="5"/>
  <c r="V18" i="2"/>
  <c r="J116" i="5"/>
  <c r="V99" i="2"/>
  <c r="U99" i="2" s="1"/>
  <c r="J168" i="5"/>
  <c r="V147" i="2"/>
  <c r="U147" i="2" s="1"/>
  <c r="J199" i="5"/>
  <c r="V169" i="2"/>
  <c r="U169" i="2" s="1"/>
  <c r="U188" i="2"/>
  <c r="U206" i="2" s="1"/>
  <c r="E18" i="1" s="1"/>
  <c r="F18" i="1" s="1"/>
  <c r="L204" i="2"/>
  <c r="J145" i="5"/>
  <c r="V126" i="2"/>
  <c r="U126" i="2" s="1"/>
  <c r="J94" i="5"/>
  <c r="V79" i="2"/>
  <c r="U79" i="2" s="1"/>
  <c r="J28" i="5"/>
  <c r="V21" i="2"/>
  <c r="U21" i="2" s="1"/>
  <c r="J122" i="5"/>
  <c r="V104" i="2"/>
  <c r="U104" i="2" s="1"/>
  <c r="J163" i="5"/>
  <c r="V142" i="2"/>
  <c r="U142" i="2" s="1"/>
  <c r="J156" i="5"/>
  <c r="V137" i="2"/>
  <c r="U137" i="2" s="1"/>
  <c r="J73" i="5"/>
  <c r="V61" i="2"/>
  <c r="U61" i="2" s="1"/>
  <c r="J59" i="5"/>
  <c r="V47" i="2"/>
  <c r="U47" i="2" s="1"/>
  <c r="J133" i="5"/>
  <c r="V115" i="2"/>
  <c r="J74" i="5"/>
  <c r="V62" i="2"/>
  <c r="U62" i="2" s="1"/>
  <c r="V63" i="2"/>
  <c r="U63" i="2" s="1"/>
  <c r="J75" i="5"/>
  <c r="J36" i="5"/>
  <c r="T28" i="2"/>
  <c r="W28" i="2" s="1"/>
  <c r="K202" i="2"/>
  <c r="J218" i="5"/>
  <c r="V190" i="2"/>
  <c r="U190" i="2" s="1"/>
  <c r="J97" i="5"/>
  <c r="V82" i="2"/>
  <c r="U82" i="2" s="1"/>
  <c r="J20" i="5"/>
  <c r="V16" i="2"/>
  <c r="U16" i="2" s="1"/>
  <c r="J115" i="5"/>
  <c r="V98" i="2"/>
  <c r="U98" i="2" s="1"/>
  <c r="L199" i="2"/>
  <c r="J52" i="5"/>
  <c r="V41" i="2"/>
  <c r="U41" i="2" s="1"/>
  <c r="J71" i="6"/>
  <c r="J81" i="6" s="1"/>
  <c r="T189" i="2"/>
  <c r="P223" i="2"/>
  <c r="W188" i="2"/>
  <c r="J125" i="5"/>
  <c r="V107" i="2"/>
  <c r="U107" i="2" s="1"/>
  <c r="J184" i="5"/>
  <c r="V157" i="2"/>
  <c r="U157" i="2" s="1"/>
  <c r="J164" i="5"/>
  <c r="V143" i="2"/>
  <c r="U143" i="2" s="1"/>
  <c r="V204" i="2"/>
  <c r="G16" i="1" s="1"/>
  <c r="I16" i="1" s="1"/>
  <c r="J16" i="1" s="1"/>
  <c r="K16" i="1" s="1"/>
  <c r="U187" i="2"/>
  <c r="U204" i="2" s="1"/>
  <c r="E16" i="1" s="1"/>
  <c r="F16" i="1" s="1"/>
  <c r="L202" i="2"/>
  <c r="J29" i="5"/>
  <c r="V22" i="2"/>
  <c r="U22" i="2" s="1"/>
  <c r="J143" i="5"/>
  <c r="V124" i="2"/>
  <c r="U124" i="2" s="1"/>
  <c r="W202" i="2"/>
  <c r="L14" i="1" s="1"/>
  <c r="K205" i="2"/>
  <c r="J41" i="5"/>
  <c r="T33" i="2"/>
  <c r="W33" i="2" s="1"/>
  <c r="J141" i="5"/>
  <c r="V123" i="2"/>
  <c r="U123" i="2" s="1"/>
  <c r="K206" i="2"/>
  <c r="J99" i="5"/>
  <c r="V84" i="2"/>
  <c r="U84" i="2" s="1"/>
  <c r="J103" i="5"/>
  <c r="V88" i="2"/>
  <c r="U88" i="2" s="1"/>
  <c r="T21" i="2" l="1"/>
  <c r="W21" i="2" s="1"/>
  <c r="R202" i="2"/>
  <c r="W217" i="2" s="1"/>
  <c r="K25" i="5"/>
  <c r="T87" i="2"/>
  <c r="W87" i="2"/>
  <c r="K206" i="5"/>
  <c r="K136" i="5"/>
  <c r="T55" i="2"/>
  <c r="W55" i="2" s="1"/>
  <c r="Q200" i="2"/>
  <c r="V215" i="2" s="1"/>
  <c r="K126" i="5"/>
  <c r="K155" i="5"/>
  <c r="K79" i="5"/>
  <c r="K207" i="5"/>
  <c r="K171" i="5"/>
  <c r="K70" i="5"/>
  <c r="K91" i="5"/>
  <c r="K138" i="5"/>
  <c r="K198" i="5"/>
  <c r="T86" i="2"/>
  <c r="W86" i="2"/>
  <c r="T56" i="2"/>
  <c r="W56" i="2" s="1"/>
  <c r="Q201" i="2"/>
  <c r="V216" i="2" s="1"/>
  <c r="K131" i="5"/>
  <c r="K170" i="5"/>
  <c r="K189" i="5"/>
  <c r="K112" i="5"/>
  <c r="K187" i="5"/>
  <c r="K195" i="5"/>
  <c r="K165" i="5"/>
  <c r="K69" i="5"/>
  <c r="K41" i="5"/>
  <c r="S41" i="5"/>
  <c r="K125" i="5"/>
  <c r="T18" i="2"/>
  <c r="W18" i="2" s="1"/>
  <c r="R199" i="2"/>
  <c r="W214" i="2" s="1"/>
  <c r="V206" i="2"/>
  <c r="G18" i="1" s="1"/>
  <c r="I18" i="1" s="1"/>
  <c r="J18" i="1" s="1"/>
  <c r="K18" i="1" s="1"/>
  <c r="K99" i="5"/>
  <c r="S99" i="5"/>
  <c r="T62" i="2"/>
  <c r="W62" i="2" s="1"/>
  <c r="Q205" i="2"/>
  <c r="V220" i="2" s="1"/>
  <c r="K218" i="5"/>
  <c r="S218" i="5"/>
  <c r="K74" i="5"/>
  <c r="K156" i="5"/>
  <c r="T79" i="2"/>
  <c r="W79" i="2"/>
  <c r="K86" i="5"/>
  <c r="K63" i="5"/>
  <c r="K78" i="5"/>
  <c r="K44" i="5"/>
  <c r="S44" i="5"/>
  <c r="T20" i="2"/>
  <c r="W20" i="2" s="1"/>
  <c r="R201" i="2"/>
  <c r="W216" i="2" s="1"/>
  <c r="K196" i="5"/>
  <c r="K110" i="5"/>
  <c r="K14" i="5"/>
  <c r="K129" i="5"/>
  <c r="K107" i="5"/>
  <c r="K209" i="5"/>
  <c r="K192" i="5"/>
  <c r="K152" i="5"/>
  <c r="K146" i="5"/>
  <c r="V201" i="2"/>
  <c r="G13" i="1" s="1"/>
  <c r="U55" i="2"/>
  <c r="U201" i="2" s="1"/>
  <c r="E13" i="1" s="1"/>
  <c r="F13" i="1" s="1"/>
  <c r="S101" i="5"/>
  <c r="K101" i="5"/>
  <c r="K149" i="5"/>
  <c r="K201" i="5"/>
  <c r="K115" i="5"/>
  <c r="V202" i="2"/>
  <c r="G14" i="1" s="1"/>
  <c r="U115" i="2"/>
  <c r="U202" i="2" s="1"/>
  <c r="E14" i="1" s="1"/>
  <c r="F14" i="1" s="1"/>
  <c r="K94" i="5"/>
  <c r="S94" i="5"/>
  <c r="K199" i="5"/>
  <c r="K204" i="5"/>
  <c r="K102" i="5"/>
  <c r="S102" i="5"/>
  <c r="K208" i="5"/>
  <c r="K15" i="5"/>
  <c r="V203" i="2"/>
  <c r="G15" i="1" s="1"/>
  <c r="U135" i="2"/>
  <c r="U203" i="2" s="1"/>
  <c r="E15" i="1" s="1"/>
  <c r="F15" i="1" s="1"/>
  <c r="T85" i="2"/>
  <c r="W85" i="2"/>
  <c r="K57" i="5"/>
  <c r="K34" i="5"/>
  <c r="K181" i="5"/>
  <c r="K151" i="5"/>
  <c r="K210" i="5"/>
  <c r="K134" i="5"/>
  <c r="K67" i="5"/>
  <c r="K202" i="5"/>
  <c r="K18" i="5"/>
  <c r="K124" i="5"/>
  <c r="K60" i="5"/>
  <c r="K108" i="5"/>
  <c r="K190" i="5"/>
  <c r="K205" i="5"/>
  <c r="K150" i="5"/>
  <c r="U198" i="2"/>
  <c r="K109" i="5"/>
  <c r="K212" i="5"/>
  <c r="K80" i="5"/>
  <c r="T190" i="2"/>
  <c r="W189" i="2"/>
  <c r="T57" i="2"/>
  <c r="W57" i="2" s="1"/>
  <c r="Q202" i="2"/>
  <c r="V217" i="2" s="1"/>
  <c r="K133" i="5"/>
  <c r="K163" i="5"/>
  <c r="K193" i="5"/>
  <c r="K175" i="5"/>
  <c r="S175" i="5"/>
  <c r="K128" i="5"/>
  <c r="M15" i="1"/>
  <c r="K185" i="5"/>
  <c r="K139" i="5"/>
  <c r="K85" i="5"/>
  <c r="K161" i="5"/>
  <c r="K172" i="5"/>
  <c r="K154" i="5"/>
  <c r="K55" i="5"/>
  <c r="K118" i="5"/>
  <c r="S39" i="5"/>
  <c r="K39" i="5"/>
  <c r="K169" i="5"/>
  <c r="S100" i="5"/>
  <c r="K100" i="5"/>
  <c r="V205" i="2"/>
  <c r="G17" i="1" s="1"/>
  <c r="M17" i="1" s="1"/>
  <c r="U153" i="2"/>
  <c r="U205" i="2" s="1"/>
  <c r="E17" i="1" s="1"/>
  <c r="F17" i="1" s="1"/>
  <c r="T80" i="2"/>
  <c r="W80" i="2"/>
  <c r="K53" i="5"/>
  <c r="V198" i="2"/>
  <c r="K143" i="5"/>
  <c r="K164" i="5"/>
  <c r="K20" i="5"/>
  <c r="S20" i="5"/>
  <c r="K145" i="5"/>
  <c r="K168" i="5"/>
  <c r="K183" i="5"/>
  <c r="K27" i="5"/>
  <c r="K61" i="5"/>
  <c r="K113" i="5"/>
  <c r="T69" i="2"/>
  <c r="W69" i="2" s="1"/>
  <c r="Q199" i="2"/>
  <c r="V214" i="2" s="1"/>
  <c r="K54" i="5"/>
  <c r="K140" i="5"/>
  <c r="T23" i="2"/>
  <c r="W23" i="2" s="1"/>
  <c r="R203" i="2"/>
  <c r="W218" i="2" s="1"/>
  <c r="K51" i="5"/>
  <c r="K180" i="5"/>
  <c r="K148" i="5"/>
  <c r="K83" i="5"/>
  <c r="K203" i="5"/>
  <c r="S40" i="5"/>
  <c r="K40" i="5"/>
  <c r="S95" i="5"/>
  <c r="K95" i="5"/>
  <c r="K106" i="5"/>
  <c r="K26" i="5"/>
  <c r="K120" i="5"/>
  <c r="K68" i="5"/>
  <c r="K111" i="5"/>
  <c r="T19" i="2"/>
  <c r="W19" i="2" s="1"/>
  <c r="R200" i="2"/>
  <c r="W215" i="2" s="1"/>
  <c r="V191" i="2"/>
  <c r="V193" i="2" s="1"/>
  <c r="K127" i="5"/>
  <c r="K214" i="5"/>
  <c r="K216" i="5"/>
  <c r="K141" i="5"/>
  <c r="L10" i="1"/>
  <c r="K92" i="5"/>
  <c r="K159" i="5"/>
  <c r="K13" i="5"/>
  <c r="K17" i="5"/>
  <c r="K213" i="5"/>
  <c r="K144" i="5"/>
  <c r="K88" i="5"/>
  <c r="T60" i="2"/>
  <c r="W60" i="2" s="1"/>
  <c r="Q204" i="2"/>
  <c r="V219" i="2" s="1"/>
  <c r="K166" i="5"/>
  <c r="K157" i="5"/>
  <c r="K215" i="5"/>
  <c r="K211" i="5"/>
  <c r="K65" i="5"/>
  <c r="K72" i="5"/>
  <c r="T83" i="2"/>
  <c r="W83" i="2"/>
  <c r="V200" i="2"/>
  <c r="G12" i="1" s="1"/>
  <c r="U39" i="2"/>
  <c r="U200" i="2" s="1"/>
  <c r="E12" i="1" s="1"/>
  <c r="F12" i="1" s="1"/>
  <c r="M16" i="1"/>
  <c r="N16" i="1" s="1"/>
  <c r="T63" i="2"/>
  <c r="W63" i="2" s="1"/>
  <c r="Q206" i="2"/>
  <c r="V221" i="2" s="1"/>
  <c r="T88" i="2"/>
  <c r="W88" i="2"/>
  <c r="S36" i="5"/>
  <c r="K36" i="5"/>
  <c r="K59" i="5"/>
  <c r="K122" i="5"/>
  <c r="S103" i="5"/>
  <c r="K103" i="5"/>
  <c r="K29" i="5"/>
  <c r="K184" i="5"/>
  <c r="K52" i="5"/>
  <c r="W82" i="2"/>
  <c r="T82" i="2"/>
  <c r="K75" i="5"/>
  <c r="T26" i="2"/>
  <c r="W26" i="2" s="1"/>
  <c r="R204" i="2"/>
  <c r="W219" i="2" s="1"/>
  <c r="K116" i="5"/>
  <c r="K130" i="5"/>
  <c r="K33" i="5"/>
  <c r="K137" i="5"/>
  <c r="S98" i="5"/>
  <c r="K98" i="5"/>
  <c r="T81" i="2"/>
  <c r="W81" i="2"/>
  <c r="K105" i="5"/>
  <c r="K119" i="5"/>
  <c r="K32" i="5"/>
  <c r="K62" i="5"/>
  <c r="K77" i="5"/>
  <c r="T46" i="2"/>
  <c r="W46" i="2" s="1"/>
  <c r="W200" i="2" s="1"/>
  <c r="L12" i="1" s="1"/>
  <c r="R205" i="2"/>
  <c r="W220" i="2" s="1"/>
  <c r="K50" i="5"/>
  <c r="K81" i="5"/>
  <c r="T59" i="2"/>
  <c r="W59" i="2" s="1"/>
  <c r="Q203" i="2"/>
  <c r="V218" i="2" s="1"/>
  <c r="K38" i="5"/>
  <c r="S38" i="5"/>
  <c r="K194" i="5"/>
  <c r="S45" i="5"/>
  <c r="K45" i="5"/>
  <c r="K188" i="5"/>
  <c r="S37" i="5"/>
  <c r="K37" i="5"/>
  <c r="K71" i="5"/>
  <c r="K31" i="5"/>
  <c r="K43" i="5"/>
  <c r="S43" i="5"/>
  <c r="K87" i="5"/>
  <c r="T84" i="2"/>
  <c r="W84" i="2"/>
  <c r="K97" i="5"/>
  <c r="S97" i="5"/>
  <c r="K73" i="5"/>
  <c r="K28" i="5"/>
  <c r="V199" i="2"/>
  <c r="G11" i="1" s="1"/>
  <c r="U18" i="2"/>
  <c r="U199" i="2" s="1"/>
  <c r="E11" i="1" s="1"/>
  <c r="F11" i="1" s="1"/>
  <c r="K147" i="5"/>
  <c r="K117" i="5"/>
  <c r="K158" i="5"/>
  <c r="T53" i="2"/>
  <c r="W53" i="2" s="1"/>
  <c r="R206" i="2"/>
  <c r="W221" i="2" s="1"/>
  <c r="K64" i="5"/>
  <c r="K19" i="5"/>
  <c r="K56" i="5"/>
  <c r="K135" i="5"/>
  <c r="K123" i="5"/>
  <c r="K89" i="5"/>
  <c r="S42" i="5"/>
  <c r="K42" i="5"/>
  <c r="K90" i="5"/>
  <c r="K167" i="5"/>
  <c r="K30" i="5"/>
  <c r="K84" i="5"/>
  <c r="K96" i="5"/>
  <c r="S96" i="5"/>
  <c r="K182" i="5"/>
  <c r="S113" i="5"/>
  <c r="S190" i="5"/>
  <c r="S75" i="5"/>
  <c r="S215" i="5"/>
  <c r="S141" i="5"/>
  <c r="S214" i="5"/>
  <c r="S216" i="5"/>
  <c r="S65" i="5"/>
  <c r="E10" i="1" l="1"/>
  <c r="U207" i="2"/>
  <c r="G63" i="6"/>
  <c r="G33" i="6"/>
  <c r="G23" i="6"/>
  <c r="G13" i="6"/>
  <c r="G53" i="6"/>
  <c r="H21" i="6"/>
  <c r="H22" i="6" s="1"/>
  <c r="H23" i="6" s="1"/>
  <c r="H24" i="6" s="1"/>
  <c r="H25" i="6" s="1"/>
  <c r="H26" i="6" s="1"/>
  <c r="H27" i="6" s="1"/>
  <c r="H28" i="6" s="1"/>
  <c r="H61" i="6"/>
  <c r="H62" i="6" s="1"/>
  <c r="H63" i="6" s="1"/>
  <c r="H64" i="6" s="1"/>
  <c r="H65" i="6" s="1"/>
  <c r="H66" i="6" s="1"/>
  <c r="H67" i="6" s="1"/>
  <c r="H68" i="6" s="1"/>
  <c r="H51" i="6"/>
  <c r="H52" i="6" s="1"/>
  <c r="H53" i="6" s="1"/>
  <c r="H54" i="6" s="1"/>
  <c r="H55" i="6" s="1"/>
  <c r="H56" i="6" s="1"/>
  <c r="H57" i="6" s="1"/>
  <c r="H58" i="6" s="1"/>
  <c r="H11" i="6"/>
  <c r="H12" i="6" s="1"/>
  <c r="H13" i="6" s="1"/>
  <c r="H14" i="6" s="1"/>
  <c r="H15" i="6" s="1"/>
  <c r="H16" i="6" s="1"/>
  <c r="H17" i="6" s="1"/>
  <c r="H18" i="6" s="1"/>
  <c r="H31" i="6"/>
  <c r="H32" i="6" s="1"/>
  <c r="H33" i="6" s="1"/>
  <c r="H34" i="6" s="1"/>
  <c r="H35" i="6" s="1"/>
  <c r="H36" i="6" s="1"/>
  <c r="H37" i="6" s="1"/>
  <c r="H38" i="6" s="1"/>
  <c r="G21" i="6"/>
  <c r="G61" i="6"/>
  <c r="G11" i="6"/>
  <c r="G31" i="6"/>
  <c r="G51" i="6"/>
  <c r="G45" i="6"/>
  <c r="G75" i="6"/>
  <c r="G85" i="6" s="1"/>
  <c r="G98" i="6" s="1"/>
  <c r="G108" i="6" s="1"/>
  <c r="H45" i="6"/>
  <c r="H75" i="6"/>
  <c r="H85" i="6" s="1"/>
  <c r="H98" i="6" s="1"/>
  <c r="H108" i="6" s="1"/>
  <c r="J94" i="6"/>
  <c r="J104" i="6" s="1"/>
  <c r="W190" i="2"/>
  <c r="W206" i="2" s="1"/>
  <c r="L18" i="1" s="1"/>
  <c r="M18" i="1" s="1"/>
  <c r="N18" i="1" s="1"/>
  <c r="U191" i="2"/>
  <c r="U193" i="2" s="1"/>
  <c r="W199" i="2"/>
  <c r="W191" i="2"/>
  <c r="W193" i="2" s="1"/>
  <c r="G12" i="6"/>
  <c r="G52" i="6"/>
  <c r="G32" i="6"/>
  <c r="G62" i="6"/>
  <c r="G22" i="6"/>
  <c r="G71" i="6"/>
  <c r="G81" i="6" s="1"/>
  <c r="G94" i="6" s="1"/>
  <c r="G104" i="6" s="1"/>
  <c r="H71" i="6"/>
  <c r="H81" i="6" s="1"/>
  <c r="H94" i="6" s="1"/>
  <c r="H104" i="6" s="1"/>
  <c r="G41" i="6"/>
  <c r="H41" i="6"/>
  <c r="G47" i="6"/>
  <c r="G77" i="6"/>
  <c r="G87" i="6" s="1"/>
  <c r="G100" i="6" s="1"/>
  <c r="G110" i="6" s="1"/>
  <c r="H47" i="6"/>
  <c r="H77" i="6"/>
  <c r="H87" i="6" s="1"/>
  <c r="H100" i="6" s="1"/>
  <c r="H110" i="6" s="1"/>
  <c r="G18" i="6"/>
  <c r="G58" i="6"/>
  <c r="G38" i="6"/>
  <c r="G68" i="6"/>
  <c r="G28" i="6"/>
  <c r="G35" i="6"/>
  <c r="G25" i="6"/>
  <c r="G15" i="6"/>
  <c r="G65" i="6"/>
  <c r="G55" i="6"/>
  <c r="G42" i="6"/>
  <c r="G72" i="6"/>
  <c r="G82" i="6" s="1"/>
  <c r="G95" i="6" s="1"/>
  <c r="G105" i="6" s="1"/>
  <c r="H42" i="6"/>
  <c r="H72" i="6"/>
  <c r="H82" i="6" s="1"/>
  <c r="H95" i="6" s="1"/>
  <c r="H105" i="6" s="1"/>
  <c r="H48" i="6"/>
  <c r="H78" i="6"/>
  <c r="H88" i="6" s="1"/>
  <c r="H101" i="6" s="1"/>
  <c r="H111" i="6" s="1"/>
  <c r="G48" i="6"/>
  <c r="G78" i="6"/>
  <c r="G88" i="6" s="1"/>
  <c r="G101" i="6" s="1"/>
  <c r="G111" i="6" s="1"/>
  <c r="M14" i="1"/>
  <c r="W201" i="2"/>
  <c r="L13" i="1" s="1"/>
  <c r="M13" i="1" s="1"/>
  <c r="G66" i="6"/>
  <c r="G36" i="6"/>
  <c r="G56" i="6"/>
  <c r="G16" i="6"/>
  <c r="G26" i="6"/>
  <c r="G10" i="1"/>
  <c r="V207" i="2"/>
  <c r="V208" i="2" s="1"/>
  <c r="G44" i="6"/>
  <c r="G74" i="6"/>
  <c r="G84" i="6" s="1"/>
  <c r="G97" i="6" s="1"/>
  <c r="G107" i="6" s="1"/>
  <c r="H44" i="6"/>
  <c r="H74" i="6"/>
  <c r="H84" i="6" s="1"/>
  <c r="H97" i="6" s="1"/>
  <c r="H107" i="6" s="1"/>
  <c r="G43" i="6"/>
  <c r="G73" i="6"/>
  <c r="G83" i="6" s="1"/>
  <c r="G96" i="6" s="1"/>
  <c r="G106" i="6" s="1"/>
  <c r="H43" i="6"/>
  <c r="H73" i="6"/>
  <c r="H83" i="6" s="1"/>
  <c r="H96" i="6" s="1"/>
  <c r="H106" i="6" s="1"/>
  <c r="G34" i="6"/>
  <c r="G24" i="6"/>
  <c r="G54" i="6"/>
  <c r="G14" i="6"/>
  <c r="G64" i="6"/>
  <c r="G37" i="6"/>
  <c r="G27" i="6"/>
  <c r="G17" i="6"/>
  <c r="G57" i="6"/>
  <c r="G67" i="6"/>
  <c r="M12" i="1"/>
  <c r="H46" i="6"/>
  <c r="H76" i="6"/>
  <c r="H86" i="6" s="1"/>
  <c r="H99" i="6" s="1"/>
  <c r="H109" i="6" s="1"/>
  <c r="G46" i="6"/>
  <c r="G76" i="6"/>
  <c r="G86" i="6" s="1"/>
  <c r="G99" i="6" s="1"/>
  <c r="G109" i="6" s="1"/>
  <c r="M10" i="1"/>
  <c r="S64" i="5"/>
  <c r="S189" i="5"/>
  <c r="S159" i="5"/>
  <c r="S15" i="5"/>
  <c r="S211" i="5"/>
  <c r="S74" i="5"/>
  <c r="S120" i="5"/>
  <c r="S19" i="5"/>
  <c r="S213" i="5"/>
  <c r="S140" i="5"/>
  <c r="S57" i="5"/>
  <c r="S81" i="5"/>
  <c r="S199" i="5"/>
  <c r="S185" i="5"/>
  <c r="S212" i="5"/>
  <c r="S112" i="5"/>
  <c r="S196" i="5"/>
  <c r="U208" i="2" l="1"/>
  <c r="L11" i="1"/>
  <c r="W207" i="2"/>
  <c r="W208" i="2" s="1"/>
  <c r="F10" i="1"/>
  <c r="F19" i="1" s="1"/>
  <c r="E19" i="1"/>
  <c r="G19" i="1"/>
  <c r="M11" i="1" l="1"/>
  <c r="L19" i="1"/>
  <c r="M19" i="1" l="1"/>
  <c r="S161" i="5" l="1"/>
  <c r="S110" i="5"/>
  <c r="S63" i="5"/>
  <c r="S209" i="5"/>
  <c r="S188" i="5"/>
  <c r="S34" i="5"/>
  <c r="S195" i="5"/>
  <c r="S152" i="5"/>
  <c r="S130" i="5"/>
  <c r="S172" i="5"/>
  <c r="S119" i="5"/>
  <c r="S33" i="5"/>
  <c r="S151" i="5"/>
  <c r="S210" i="5"/>
  <c r="S92" i="5"/>
  <c r="S111" i="5"/>
  <c r="S138" i="5"/>
  <c r="S184" i="5"/>
  <c r="S158" i="5"/>
  <c r="S56" i="5"/>
  <c r="S72" i="5"/>
  <c r="S73" i="5"/>
  <c r="S198" i="5"/>
  <c r="S131" i="5"/>
  <c r="S171" i="5"/>
  <c r="S55" i="5"/>
  <c r="S80" i="5"/>
  <c r="S139" i="5"/>
  <c r="S91" i="5"/>
  <c r="S165" i="5" l="1"/>
  <c r="S52" i="5"/>
  <c r="S127" i="5"/>
  <c r="S107" i="5"/>
  <c r="S155" i="5"/>
  <c r="S86" i="5"/>
  <c r="S84" i="5"/>
  <c r="S137" i="5"/>
  <c r="S144" i="5"/>
  <c r="S87" i="5"/>
  <c r="S128" i="5"/>
  <c r="S207" i="5"/>
  <c r="S89" i="5"/>
  <c r="S118" i="5"/>
  <c r="S90" i="5"/>
  <c r="S168" i="5"/>
  <c r="S117" i="5"/>
  <c r="S134" i="5"/>
  <c r="S85" i="5"/>
  <c r="S208" i="5"/>
  <c r="S166" i="5"/>
  <c r="S164" i="5"/>
  <c r="S27" i="5"/>
  <c r="S183" i="5"/>
  <c r="S204" i="5"/>
  <c r="S59" i="5"/>
  <c r="S145" i="5"/>
  <c r="S50" i="5"/>
  <c r="S203" i="5"/>
  <c r="S150" i="5"/>
  <c r="S124" i="5"/>
  <c r="S135" i="5"/>
  <c r="S205" i="5"/>
  <c r="S148" i="5"/>
  <c r="S18" i="5"/>
  <c r="S170" i="5"/>
  <c r="S115" i="5"/>
  <c r="S32" i="5"/>
  <c r="S54" i="5"/>
  <c r="S129" i="5"/>
  <c r="S60" i="5"/>
  <c r="S109" i="5"/>
  <c r="S61" i="5"/>
  <c r="S79" i="5"/>
  <c r="S116" i="5"/>
  <c r="S70" i="5"/>
  <c r="S182" i="5"/>
  <c r="S169" i="5"/>
  <c r="S123" i="5"/>
  <c r="S13" i="5"/>
  <c r="S31" i="5"/>
  <c r="S29" i="5"/>
  <c r="S62" i="5"/>
  <c r="S77" i="5"/>
  <c r="S133" i="5"/>
  <c r="S167" i="5"/>
  <c r="S17" i="5"/>
  <c r="S149" i="5"/>
  <c r="S88" i="5"/>
  <c r="S28" i="5"/>
  <c r="S193" i="5"/>
  <c r="S68" i="5"/>
  <c r="S26" i="5"/>
  <c r="S146" i="5"/>
  <c r="S192" i="5"/>
  <c r="S147" i="5"/>
  <c r="S181" i="5"/>
  <c r="S106" i="5"/>
  <c r="S156" i="5"/>
  <c r="S194" i="5"/>
  <c r="S67" i="5"/>
  <c r="S206" i="5"/>
  <c r="S125" i="5"/>
  <c r="S202" i="5"/>
  <c r="S187" i="5"/>
  <c r="S108" i="5"/>
  <c r="S71" i="5"/>
  <c r="S69" i="5"/>
  <c r="S78" i="5"/>
  <c r="S157" i="5"/>
  <c r="S53" i="5"/>
  <c r="S30" i="5"/>
  <c r="S51" i="5"/>
  <c r="S136" i="5"/>
  <c r="S180" i="5"/>
  <c r="S126" i="5"/>
  <c r="S154" i="5"/>
  <c r="S105" i="5"/>
  <c r="S14" i="5"/>
  <c r="S143" i="5" l="1"/>
  <c r="S25" i="5"/>
  <c r="S83" i="5"/>
  <c r="S11" i="5"/>
  <c r="S201" i="5"/>
  <c r="S163" i="5"/>
  <c r="S122" i="5"/>
  <c r="N17" i="1" l="1"/>
  <c r="I17" i="1"/>
  <c r="J17" i="1" s="1"/>
  <c r="K17" i="1" s="1"/>
  <c r="N15" i="1"/>
  <c r="I15" i="1"/>
  <c r="J15" i="1" s="1"/>
  <c r="K15" i="1" s="1"/>
  <c r="I14" i="1"/>
  <c r="J14" i="1" s="1"/>
  <c r="K14" i="1" s="1"/>
  <c r="N14" i="1"/>
  <c r="I11" i="1"/>
  <c r="J11" i="1" s="1"/>
  <c r="K11" i="1" s="1"/>
  <c r="N11" i="1"/>
  <c r="I12" i="1"/>
  <c r="J12" i="1" s="1"/>
  <c r="K12" i="1" s="1"/>
  <c r="N12" i="1"/>
  <c r="I13" i="1" l="1"/>
  <c r="J13" i="1" s="1"/>
  <c r="K13" i="1" s="1"/>
  <c r="N13" i="1"/>
  <c r="H19" i="1"/>
  <c r="N19" i="1" s="1"/>
  <c r="N10" i="1"/>
  <c r="I10" i="1"/>
  <c r="I19" i="1" l="1"/>
  <c r="J10" i="1"/>
  <c r="J19" i="1" l="1"/>
  <c r="K19" i="1" s="1"/>
  <c r="K10" i="1"/>
  <c r="D64" i="3" l="1"/>
  <c r="J48" i="5" l="1"/>
  <c r="J22" i="5"/>
  <c r="K23" i="5"/>
  <c r="S23" i="5"/>
  <c r="J47" i="5" l="1"/>
  <c r="K22" i="5"/>
  <c r="S22" i="5"/>
  <c r="K32" i="6"/>
  <c r="K22" i="6"/>
  <c r="K48" i="5"/>
  <c r="S48" i="5"/>
  <c r="K31" i="6" l="1"/>
  <c r="K21" i="6"/>
  <c r="K47" i="5"/>
  <c r="S47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Puget Sound Energy</author>
    <author>Regan, Jared</author>
  </authors>
  <commentList>
    <comment ref="H6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Puget Sound Energy:</t>
        </r>
        <r>
          <rPr>
            <sz val="9"/>
            <color indexed="81"/>
            <rFont val="Tahoma"/>
            <family val="2"/>
          </rPr>
          <t xml:space="preserve">
used for capital cost allocation for PSE finaniced equipment</t>
        </r>
      </text>
    </comment>
    <comment ref="S6" authorId="1" shapeId="0" xr:uid="{00000000-0006-0000-0400-000002000000}">
      <text>
        <r>
          <rPr>
            <b/>
            <sz val="9"/>
            <color indexed="81"/>
            <rFont val="Tahoma"/>
            <family val="2"/>
          </rPr>
          <t>Regan, Jared:</t>
        </r>
        <r>
          <rPr>
            <sz val="9"/>
            <color indexed="81"/>
            <rFont val="Tahoma"/>
            <family val="2"/>
          </rPr>
          <t xml:space="preserve">
Actual Tariffed Rate will be based on wattage range near bottom of tab.</t>
        </r>
      </text>
    </comment>
    <comment ref="T6" authorId="1" shapeId="0" xr:uid="{00000000-0006-0000-0400-000003000000}">
      <text>
        <r>
          <rPr>
            <b/>
            <sz val="9"/>
            <color indexed="81"/>
            <rFont val="Tahoma"/>
            <family val="2"/>
          </rPr>
          <t>Regan, Jared:</t>
        </r>
        <r>
          <rPr>
            <sz val="9"/>
            <color indexed="81"/>
            <rFont val="Tahoma"/>
            <family val="2"/>
          </rPr>
          <t xml:space="preserve">
Actual Tariffed Rate will be based on wattage range near bottom of tab.</t>
        </r>
      </text>
    </comment>
    <comment ref="O187" authorId="0" shapeId="0" xr:uid="{00000000-0006-0000-0400-000004000000}">
      <text>
        <r>
          <rPr>
            <b/>
            <sz val="9"/>
            <color indexed="81"/>
            <rFont val="Tahoma"/>
            <family val="2"/>
          </rPr>
          <t>Puget Sound Energy:</t>
        </r>
        <r>
          <rPr>
            <sz val="9"/>
            <color indexed="81"/>
            <rFont val="Tahoma"/>
            <family val="2"/>
          </rPr>
          <t xml:space="preserve">
Special Case: This is a monthly per watt of connected load charge</t>
        </r>
      </text>
    </comment>
  </commentList>
</comments>
</file>

<file path=xl/sharedStrings.xml><?xml version="1.0" encoding="utf-8"?>
<sst xmlns="http://schemas.openxmlformats.org/spreadsheetml/2006/main" count="1323" uniqueCount="349">
  <si>
    <t xml:space="preserve">Cross check </t>
  </si>
  <si>
    <t>All Lighting</t>
  </si>
  <si>
    <t>Pole Rentals</t>
  </si>
  <si>
    <t>SCHEDULES 58 &amp; 59</t>
  </si>
  <si>
    <t>SCHEDULE 57</t>
  </si>
  <si>
    <t>SCHEDULES 55 &amp; 56</t>
  </si>
  <si>
    <t>SCHEDULE 54</t>
  </si>
  <si>
    <t>SCHEDULE 53</t>
  </si>
  <si>
    <t>SCHEDULE 52</t>
  </si>
  <si>
    <t>SCHEDULE 51</t>
  </si>
  <si>
    <t>SCHEDULE 50</t>
  </si>
  <si>
    <t>m</t>
  </si>
  <si>
    <t>l</t>
  </si>
  <si>
    <t>k</t>
  </si>
  <si>
    <t>j</t>
  </si>
  <si>
    <t>i</t>
  </si>
  <si>
    <t>h</t>
  </si>
  <si>
    <t>g</t>
  </si>
  <si>
    <t>f</t>
  </si>
  <si>
    <t>e</t>
  </si>
  <si>
    <t>d</t>
  </si>
  <si>
    <t>c</t>
  </si>
  <si>
    <t>b</t>
  </si>
  <si>
    <t>a</t>
  </si>
  <si>
    <t>% Change from RY1 (Base)</t>
  </si>
  <si>
    <t>Revenue Change from RY1 (Base)</t>
  </si>
  <si>
    <t>TOTAL % Change from Current  (Base + 141CGR + 141DCARB + 141WFP)</t>
  </si>
  <si>
    <t>TOTAL Revenue Change from Current (Base + 141CGR + 141DCARB + 141WFP)</t>
  </si>
  <si>
    <t>Proposed TOTAL</t>
  </si>
  <si>
    <t>Annual Proposed Revenue (141CGR + 141DCARB + 141WFP)</t>
  </si>
  <si>
    <t>Annual Proposed Revenue
(Base)</t>
  </si>
  <si>
    <t>Change at Migration 
(Base Rate+141N+R)</t>
  </si>
  <si>
    <t>Annual Current Revenue at Migration 
(Base Rate+141N+R)</t>
  </si>
  <si>
    <t>Annual Current Revenue
(Base Rate+141N+R)</t>
  </si>
  <si>
    <t>Test year Annual Inventory</t>
  </si>
  <si>
    <t>Schedule</t>
  </si>
  <si>
    <t>Line No.</t>
  </si>
  <si>
    <t>MYRP 2026, Effective January 2026</t>
  </si>
  <si>
    <t>MYRP 2025, Effective January 2025</t>
  </si>
  <si>
    <t>Current Base Rate vs Proposed</t>
  </si>
  <si>
    <t>Lighting Revenues Summary</t>
  </si>
  <si>
    <t xml:space="preserve">2024 GRC Test year: 12 Months ended June 2023 and MYRP 2025, MYRP 2026 </t>
  </si>
  <si>
    <t>Option B</t>
  </si>
  <si>
    <t>Option A</t>
  </si>
  <si>
    <t>Monthly per Pole</t>
  </si>
  <si>
    <t>Actual</t>
  </si>
  <si>
    <t>Energy Rate (per kWh)</t>
  </si>
  <si>
    <t>Metered 
(Smart LED)
($/kWh)</t>
  </si>
  <si>
    <t>Unmetered 
(per Lamp)</t>
  </si>
  <si>
    <t>Range</t>
  </si>
  <si>
    <t>Wattage</t>
  </si>
  <si>
    <t>Customer Owned</t>
  </si>
  <si>
    <t>Company Owned</t>
  </si>
  <si>
    <t>Billed kWh</t>
  </si>
  <si>
    <t>MYRP 2026 Remapped Structure</t>
  </si>
  <si>
    <t>Owned</t>
  </si>
  <si>
    <t>Customer</t>
  </si>
  <si>
    <t>Company</t>
  </si>
  <si>
    <t>Unmetered</t>
  </si>
  <si>
    <t>diff</t>
  </si>
  <si>
    <t>TOTAL</t>
  </si>
  <si>
    <t>N/A</t>
  </si>
  <si>
    <t>Adjustment</t>
  </si>
  <si>
    <t>v</t>
  </si>
  <si>
    <t>u</t>
  </si>
  <si>
    <t>t</t>
  </si>
  <si>
    <t>s</t>
  </si>
  <si>
    <t>r</t>
  </si>
  <si>
    <t>q</t>
  </si>
  <si>
    <t>p</t>
  </si>
  <si>
    <t>o</t>
  </si>
  <si>
    <t>n</t>
  </si>
  <si>
    <t>Total Proposed Revenue Per Year (2026)</t>
  </si>
  <si>
    <t>Total Proposed Revenue Per Year (2025)</t>
  </si>
  <si>
    <t>Total Current Revenue Per Year</t>
  </si>
  <si>
    <t>Total Cost of Service of Single Lamp/Fixture (2026)</t>
  </si>
  <si>
    <t>Total $/kWh (2026)</t>
  </si>
  <si>
    <t>Total Cost of Service of Single Lamp/Fixture (2025)</t>
  </si>
  <si>
    <t>Other Costs Charge</t>
  </si>
  <si>
    <t>Capital Charge</t>
  </si>
  <si>
    <t>Total $/kWh (2025)</t>
  </si>
  <si>
    <t>$ / kWh (all other costs)</t>
  </si>
  <si>
    <t>$ / kWh (capital costs)</t>
  </si>
  <si>
    <t>Annual Billed kWh based on Wattage Range</t>
  </si>
  <si>
    <t>Billed kWh based on Wattage Range</t>
  </si>
  <si>
    <t>Wattage Range Mapping</t>
  </si>
  <si>
    <t>Total Cost</t>
  </si>
  <si>
    <t>Installed Cost</t>
  </si>
  <si>
    <t>TY Annual Inventory Count</t>
  </si>
  <si>
    <t>Financier</t>
  </si>
  <si>
    <t>Billing Unit</t>
  </si>
  <si>
    <t>Inventory Wattage
(W)</t>
  </si>
  <si>
    <t>Lighting Type</t>
  </si>
  <si>
    <t>Schedule Group</t>
  </si>
  <si>
    <t>Lighting Rate Design</t>
  </si>
  <si>
    <t>2024 GRC Test year: 12 Months ended June 2023</t>
  </si>
  <si>
    <t>Facilities Charge Percentage (Monthly)</t>
  </si>
  <si>
    <t>Facilities Charge Percentage (Annual)</t>
  </si>
  <si>
    <t>Distribution Facilities Charge</t>
  </si>
  <si>
    <t>Facility Charge</t>
  </si>
  <si>
    <t>Per kWh Commodity Cost (Monthly)</t>
  </si>
  <si>
    <t>Per kWh Commodity Cost (Annual)</t>
  </si>
  <si>
    <t>Total Count of kWh (Annual)</t>
  </si>
  <si>
    <t>Total Revenue Required From Rates</t>
  </si>
  <si>
    <t>Total Revenue Required From Rates (Demand Exp)</t>
  </si>
  <si>
    <t>Total Revenue Required From Rates (Commodity)</t>
  </si>
  <si>
    <t>Total Revenue Required From Rates (Customer Exp)</t>
  </si>
  <si>
    <t>Other Expense (Sch 50 - 59)</t>
  </si>
  <si>
    <t>Other</t>
  </si>
  <si>
    <t>Cost Recovered from Poles</t>
  </si>
  <si>
    <t>Pole Count</t>
  </si>
  <si>
    <t>Per Pole O&amp;M Cost (Monthly)</t>
  </si>
  <si>
    <t>Total Monthly Count</t>
  </si>
  <si>
    <t>Revenue Required Less Poles per kWh (Monthly)</t>
  </si>
  <si>
    <t>Revenue Required Less Poles per kWh (Annual)</t>
  </si>
  <si>
    <t>Total Monthly Billed kWh</t>
  </si>
  <si>
    <t>Revenue Required from Lamps Less Facilities charge Recovery</t>
  </si>
  <si>
    <t>Recovery from 58&amp;59 Pole Rentals</t>
  </si>
  <si>
    <t>Distribution O&amp;M (Sch 50 - 59)</t>
  </si>
  <si>
    <t>O&amp;M</t>
  </si>
  <si>
    <t>Install Cost</t>
  </si>
  <si>
    <t>Lamp Wattage Range (top)</t>
  </si>
  <si>
    <t>PSE Finance Equipment</t>
  </si>
  <si>
    <t>Per Install Dollar Capital Cost</t>
  </si>
  <si>
    <t>Total Capital Cost of Rented Poles</t>
  </si>
  <si>
    <t>Total Revenue Required from Pole Rentals</t>
  </si>
  <si>
    <t xml:space="preserve"> Capital  (Pole Rental)</t>
  </si>
  <si>
    <t>Recovery per Install Dollar Capital Cost (Monthly)</t>
  </si>
  <si>
    <t>Recovery per Install Dollar Capital Cost (Annual)</t>
  </si>
  <si>
    <t>Total Install Cost</t>
  </si>
  <si>
    <t>Total Capital Revenue Required Less Poles</t>
  </si>
  <si>
    <t>Dist. Cap. (Poles) Revenue Required from Rental Poles</t>
  </si>
  <si>
    <t>% of Distribution Cap. (Poles) Required from Rentals</t>
  </si>
  <si>
    <t>Total Revenue Required from Distribution Capital (Poles)</t>
  </si>
  <si>
    <t>Total Revenue Required from Distribution Capital (Lamps)</t>
  </si>
  <si>
    <t xml:space="preserve"> Capital  (Sch 50 - 59)</t>
  </si>
  <si>
    <t>Capital</t>
  </si>
  <si>
    <t>Proposed</t>
  </si>
  <si>
    <t>Unitized Revenue</t>
  </si>
  <si>
    <t>Cost</t>
  </si>
  <si>
    <t>Effective January 2025</t>
  </si>
  <si>
    <t>Development of Unitized Lighting Costs</t>
  </si>
  <si>
    <t>(1) lighting admin programs that serve all lighting customers, regardless of whether PSE or customer maintained</t>
  </si>
  <si>
    <t>cross check</t>
  </si>
  <si>
    <t>Revenue Required from Rates</t>
  </si>
  <si>
    <t>Adjusted ProForma Revenue (Billed)</t>
  </si>
  <si>
    <t>Adjustment to ProForma Revenue (Change in Unbilled)</t>
  </si>
  <si>
    <t>check</t>
  </si>
  <si>
    <t>Allocate ProForma Revenue (Delivered)</t>
  </si>
  <si>
    <t>Allocate Deficiency</t>
  </si>
  <si>
    <t>Total Cost of Service</t>
  </si>
  <si>
    <t>Total Expense</t>
  </si>
  <si>
    <t>Indirect Expenses (Taxes, etc)</t>
  </si>
  <si>
    <t xml:space="preserve">  % to total</t>
  </si>
  <si>
    <t>Subtotal Expense</t>
  </si>
  <si>
    <t>Other A&amp;G Expense</t>
  </si>
  <si>
    <t>Depreciation Expense - Other</t>
  </si>
  <si>
    <t>Depreciation Expense - Direct</t>
  </si>
  <si>
    <t>Other O&amp;M Expense Exp</t>
  </si>
  <si>
    <t>O&amp;M Direct - a/c 911 (1)</t>
  </si>
  <si>
    <t>O&amp;M Direct - a/c 596</t>
  </si>
  <si>
    <t>O&amp;M Direct - a/c 585</t>
  </si>
  <si>
    <t>Expense</t>
  </si>
  <si>
    <t>Return on Rate base</t>
  </si>
  <si>
    <t>Rate of Return</t>
  </si>
  <si>
    <t>Total Plant</t>
  </si>
  <si>
    <t>Other Rate base - Indirect</t>
  </si>
  <si>
    <t>Other Direct Depreciation</t>
  </si>
  <si>
    <t>Other Direct Plant</t>
  </si>
  <si>
    <t>Street Lights Plant FERC 373 Accum Depreciation</t>
  </si>
  <si>
    <t>Street Lights Plant FERC 373</t>
  </si>
  <si>
    <t>Direct Capital</t>
  </si>
  <si>
    <t>Rate base items</t>
  </si>
  <si>
    <t>Customer Related Overheads</t>
  </si>
  <si>
    <t>Energy Related Overheads</t>
  </si>
  <si>
    <t>Demand Related Overheads</t>
  </si>
  <si>
    <t>Capital  (Pole)</t>
  </si>
  <si>
    <t>Capital  (Lamps)</t>
  </si>
  <si>
    <t>Description</t>
  </si>
  <si>
    <t>Production / Transmission Components (Energy Related)</t>
  </si>
  <si>
    <t>Production / Transmission Components (Demand Related)</t>
  </si>
  <si>
    <t>A&amp;G</t>
  </si>
  <si>
    <t>Distribution O&amp;M Components</t>
  </si>
  <si>
    <t>Total</t>
  </si>
  <si>
    <t>Classification of Lighting Costs</t>
  </si>
  <si>
    <t>per pole</t>
  </si>
  <si>
    <t>per lamp</t>
  </si>
  <si>
    <t>n/a</t>
  </si>
  <si>
    <t>per watt</t>
  </si>
  <si>
    <t>per kWh</t>
  </si>
  <si>
    <t>percentage</t>
  </si>
  <si>
    <t>$</t>
  </si>
  <si>
    <t>CURRENT
(Inc. Base, 141N, 141R)</t>
  </si>
  <si>
    <t>Charge Type</t>
  </si>
  <si>
    <t>Billing Wattage Range</t>
  </si>
  <si>
    <t>Lamp Wattage</t>
  </si>
  <si>
    <t>Lamp Type</t>
  </si>
  <si>
    <t>Rate
Schedule</t>
  </si>
  <si>
    <t>Combined Charge</t>
  </si>
  <si>
    <t>141WFP Charge</t>
  </si>
  <si>
    <t>141DCARB Charge</t>
  </si>
  <si>
    <t>141CGR Charge</t>
  </si>
  <si>
    <t>Base Charge</t>
  </si>
  <si>
    <t>MYRP 2025 Lighting Tariff Rates</t>
  </si>
  <si>
    <t>2024 GRC Test year: 12 Months ended June 2023 and MYRP 2025</t>
  </si>
  <si>
    <t>Sch. 59</t>
  </si>
  <si>
    <t>Sch. 58</t>
  </si>
  <si>
    <t>Sch. 57</t>
  </si>
  <si>
    <t>Sch. 56</t>
  </si>
  <si>
    <t>Sch. 55</t>
  </si>
  <si>
    <t>Sch. 54</t>
  </si>
  <si>
    <t>Sch. 53</t>
  </si>
  <si>
    <t>Sch. 52</t>
  </si>
  <si>
    <t>Sch. 51</t>
  </si>
  <si>
    <t xml:space="preserve">Customer </t>
  </si>
  <si>
    <t>Sch. 50</t>
  </si>
  <si>
    <t>Facilities Charges</t>
  </si>
  <si>
    <t>Wattage Range</t>
  </si>
  <si>
    <t>Tariffed Owner</t>
  </si>
  <si>
    <t>Rate Schedule</t>
  </si>
  <si>
    <t>Effective January 2026</t>
  </si>
  <si>
    <t>MYRP 2026 Lighting Tariff Rates</t>
  </si>
  <si>
    <t xml:space="preserve">MYRP 2026 </t>
  </si>
  <si>
    <t>CF 22</t>
  </si>
  <si>
    <t>MV 100</t>
  </si>
  <si>
    <t>MV 175</t>
  </si>
  <si>
    <t>MV 400</t>
  </si>
  <si>
    <t>MV 700</t>
  </si>
  <si>
    <t>LED 0-030</t>
  </si>
  <si>
    <t>LED 030.01-060</t>
  </si>
  <si>
    <t>LED 060.01-090</t>
  </si>
  <si>
    <t>LED 090.01-120</t>
  </si>
  <si>
    <t>LED 120.01-150</t>
  </si>
  <si>
    <t>LED 150.01-180</t>
  </si>
  <si>
    <t>LED 180.01-210</t>
  </si>
  <si>
    <t>LED 210.01-240</t>
  </si>
  <si>
    <t>LED 240.01-270</t>
  </si>
  <si>
    <t>LED 270.01-300</t>
  </si>
  <si>
    <t>SV 50</t>
  </si>
  <si>
    <t>SV 070</t>
  </si>
  <si>
    <t>SV 100</t>
  </si>
  <si>
    <t>SV 150</t>
  </si>
  <si>
    <t>SV 200</t>
  </si>
  <si>
    <t>SV 250</t>
  </si>
  <si>
    <t>SV 310</t>
  </si>
  <si>
    <t>SV 400</t>
  </si>
  <si>
    <t>MH 070</t>
  </si>
  <si>
    <t>MH 100</t>
  </si>
  <si>
    <t>MH 150</t>
  </si>
  <si>
    <t>MH 175</t>
  </si>
  <si>
    <t>MH 250</t>
  </si>
  <si>
    <t>MH 400</t>
  </si>
  <si>
    <t>MH 1000</t>
  </si>
  <si>
    <t>SV 050</t>
  </si>
  <si>
    <t>SV 1000</t>
  </si>
  <si>
    <t>MH 70</t>
  </si>
  <si>
    <t>DSV 070</t>
  </si>
  <si>
    <t>DSV 100</t>
  </si>
  <si>
    <t>DSV 150</t>
  </si>
  <si>
    <t>DSV 200</t>
  </si>
  <si>
    <t>DSV 250</t>
  </si>
  <si>
    <t>DSV 400</t>
  </si>
  <si>
    <t>DMH 175</t>
  </si>
  <si>
    <t>DMH 250</t>
  </si>
  <si>
    <t>DMH 400</t>
  </si>
  <si>
    <t>DMH 1000</t>
  </si>
  <si>
    <t>HSV 100</t>
  </si>
  <si>
    <t>HSV 150</t>
  </si>
  <si>
    <t>HSV 200</t>
  </si>
  <si>
    <t>HSV 250</t>
  </si>
  <si>
    <t>HSV 400</t>
  </si>
  <si>
    <t>HMH 250</t>
  </si>
  <si>
    <t>HMH 400</t>
  </si>
  <si>
    <t>LED 300.01-400</t>
  </si>
  <si>
    <t>LED 400.01-500</t>
  </si>
  <si>
    <t>LED 500.01-600</t>
  </si>
  <si>
    <t>LED 600.01-700</t>
  </si>
  <si>
    <t>LED 700.01-800</t>
  </si>
  <si>
    <t>LED 800.01-900</t>
  </si>
  <si>
    <t>TRFC</t>
  </si>
  <si>
    <t>Old</t>
  </si>
  <si>
    <t>New</t>
  </si>
  <si>
    <t>PUGET SOUND ENERGY</t>
  </si>
  <si>
    <t>2024 General Rate Case Docket No. UE-240004 and UG-240005</t>
  </si>
  <si>
    <t>55 &amp; 56</t>
  </si>
  <si>
    <t>58 &amp; 59</t>
  </si>
  <si>
    <t>Compact Fluorescent - Energy Only</t>
  </si>
  <si>
    <t>22 Watts</t>
  </si>
  <si>
    <t>Mercury Vapor Street Lighting</t>
  </si>
  <si>
    <t>100 Watts</t>
  </si>
  <si>
    <t>175 Watts</t>
  </si>
  <si>
    <t>400 Watts</t>
  </si>
  <si>
    <t>Mercury Vapor Lighting - Energy Only</t>
  </si>
  <si>
    <t>700 Watts</t>
  </si>
  <si>
    <t>Company Owned LED Facilities Charge</t>
  </si>
  <si>
    <t>Option A O&amp;M Rate</t>
  </si>
  <si>
    <t>Option B O&amp;M Rate</t>
  </si>
  <si>
    <t>Company Owned LED Lamp Charge</t>
  </si>
  <si>
    <t>0-30 Watts</t>
  </si>
  <si>
    <t>30.01-60 Watts</t>
  </si>
  <si>
    <t>60.01-90 Watts</t>
  </si>
  <si>
    <t>90.01-120 Watts</t>
  </si>
  <si>
    <t>120.01-150 Watts</t>
  </si>
  <si>
    <t>150.01-180 Watts</t>
  </si>
  <si>
    <t>180.01-210 Watts</t>
  </si>
  <si>
    <t>210.01-240 Watts</t>
  </si>
  <si>
    <t>240.01-270 Watts</t>
  </si>
  <si>
    <t>270.01-300 Watts</t>
  </si>
  <si>
    <t>Smart Company Owned LED Lamp Charge</t>
  </si>
  <si>
    <t>Custom Sodium Vapor Lighting Facilities Charge</t>
  </si>
  <si>
    <t>Custom Sodium Vapor Lighting</t>
  </si>
  <si>
    <t>50 Watts</t>
  </si>
  <si>
    <t>70 Watts</t>
  </si>
  <si>
    <t>150 Watts</t>
  </si>
  <si>
    <t>200 Watts</t>
  </si>
  <si>
    <t>250 Watts</t>
  </si>
  <si>
    <t>310 Watts</t>
  </si>
  <si>
    <t>Custom Metal Halide Lighting</t>
  </si>
  <si>
    <t>1000 Watts</t>
  </si>
  <si>
    <t>Sodium Vapor Lighting - Company Owned</t>
  </si>
  <si>
    <t>Metal Halide Lighting - Company Owned</t>
  </si>
  <si>
    <t>LED Lighting - Company Owned</t>
  </si>
  <si>
    <t>Smart LED Lighting - Company Owned</t>
  </si>
  <si>
    <t>Sodium Vapor Lighting - Customer Owned</t>
  </si>
  <si>
    <t>Metal Halide Lighting - Customer Owned</t>
  </si>
  <si>
    <t>LED Lighting - Customer Owned</t>
  </si>
  <si>
    <t>Sodium Vapor Lighting - Energy Only</t>
  </si>
  <si>
    <t>LED Energy Service - Customer Owned</t>
  </si>
  <si>
    <t>30-60 Watts</t>
  </si>
  <si>
    <t>Sodium Vapor Area Lighting</t>
  </si>
  <si>
    <t>Metal Halide Area Lighting</t>
  </si>
  <si>
    <t>LED Lighting - Area Lighting</t>
  </si>
  <si>
    <t>Area Lighting</t>
  </si>
  <si>
    <t>Pole Charge (Old) (Pre 11/74)</t>
  </si>
  <si>
    <t>Pole Charge (New) (Post 10-28-99)</t>
  </si>
  <si>
    <t>Continuous Lighting</t>
  </si>
  <si>
    <t>$ / watt</t>
  </si>
  <si>
    <t>Minimum Charge</t>
  </si>
  <si>
    <t>Sodium Vapor Flood Lighting - Directional</t>
  </si>
  <si>
    <t>Metal Halide Flood Lighting - Directional</t>
  </si>
  <si>
    <t>Sodium Vapor Flood Lighting - Horizontal</t>
  </si>
  <si>
    <t>Metal Halide Flood Lighting - Horizontal</t>
  </si>
  <si>
    <t>LED Flood Lighting</t>
  </si>
  <si>
    <t>300.01-400 Watts</t>
  </si>
  <si>
    <t>400.01-500 Watts</t>
  </si>
  <si>
    <t>500.01-600 Watts</t>
  </si>
  <si>
    <t>600.01-700 Watts</t>
  </si>
  <si>
    <t>700.01-800 Watts</t>
  </si>
  <si>
    <t>800.01-900 Watts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</si>
</sst>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0.0%"/>
    <numFmt numFmtId="167" formatCode="_(&quot;$&quot;* #,##0.00000_);_(&quot;$&quot;* \(#,##0.00000\);_(&quot;$&quot;* &quot;-&quot;??_);_(@_)"/>
    <numFmt numFmtId="168" formatCode="0.000%"/>
    <numFmt numFmtId="169" formatCode="_(&quot;$&quot;* #,##0.000000_);_(&quot;$&quot;* \(#,##0.000000\);_(&quot;$&quot;* &quot;-&quot;??_);_(@_)"/>
    <numFmt numFmtId="170" formatCode="&quot;$&quot;#,##0.000000"/>
    <numFmt numFmtId="171" formatCode="_(* #,##0.0_);_(* \(#,##0.0\);_(* &quot;-&quot;??_);_(@_)"/>
    <numFmt numFmtId="172" formatCode="_(* #,##0.00000_);_(* \(#,##0.00000\);_(* &quot;-&quot;??_);_(@_)"/>
    <numFmt numFmtId="173" formatCode="_(* #,##0.000_);_(* \(#,##0.000\);_(* &quot;-&quot;??_);_(@_)"/>
    <numFmt numFmtId="174" formatCode="0.00000%"/>
    <numFmt numFmtId="175" formatCode="&quot;$&quot;#,##0.00"/>
    <numFmt numFmtId="176" formatCode="0.000000"/>
    <numFmt numFmtId="177" formatCode="_(* #,##0.000000_);_(* \(#,##0.0000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b/>
      <u/>
      <sz val="8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name val="Arial"/>
      <family val="2"/>
    </font>
    <font>
      <sz val="8"/>
      <name val="Calibri"/>
      <family val="2"/>
      <scheme val="minor"/>
    </font>
    <font>
      <b/>
      <i/>
      <sz val="8"/>
      <name val="Times New Roman"/>
      <family val="1"/>
    </font>
    <font>
      <b/>
      <i/>
      <sz val="8"/>
      <name val="Arial"/>
      <family val="2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theme="0" tint="-0.34998626667073579"/>
      </left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/>
      <right style="thin">
        <color theme="0" tint="-0.34998626667073579"/>
      </right>
      <top/>
      <bottom/>
      <diagonal/>
    </border>
    <border>
      <left/>
      <right style="thin">
        <color theme="0" tint="-0.34998626667073579"/>
      </right>
      <top style="thin">
        <color indexed="64"/>
      </top>
      <bottom/>
      <diagonal/>
    </border>
    <border>
      <left style="thin">
        <color theme="0" tint="-0.34998626667073579"/>
      </left>
      <right/>
      <top/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indexed="64"/>
      </bottom>
      <diagonal/>
    </border>
    <border>
      <left/>
      <right style="thin">
        <color theme="0" tint="-0.34998626667073579"/>
      </right>
      <top/>
      <bottom style="thin">
        <color indexed="64"/>
      </bottom>
      <diagonal/>
    </border>
    <border>
      <left style="thin">
        <color theme="0" tint="-0.34998626667073579"/>
      </left>
      <right/>
      <top style="thin">
        <color indexed="64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/>
    <xf numFmtId="44" fontId="7" fillId="0" borderId="0" applyFont="0" applyFill="0" applyBorder="0" applyAlignment="0" applyProtection="0"/>
  </cellStyleXfs>
  <cellXfs count="244">
    <xf numFmtId="0" fontId="0" fillId="0" borderId="0" xfId="0"/>
    <xf numFmtId="10" fontId="2" fillId="0" borderId="0" xfId="3" applyNumberFormat="1" applyFont="1" applyFill="1" applyAlignment="1"/>
    <xf numFmtId="164" fontId="2" fillId="0" borderId="0" xfId="2" applyNumberFormat="1" applyFont="1" applyFill="1" applyBorder="1" applyAlignment="1">
      <alignment wrapText="1"/>
    </xf>
    <xf numFmtId="166" fontId="2" fillId="0" borderId="1" xfId="3" applyNumberFormat="1" applyFont="1" applyFill="1" applyBorder="1" applyAlignment="1">
      <alignment horizontal="right"/>
    </xf>
    <xf numFmtId="164" fontId="2" fillId="0" borderId="1" xfId="2" applyNumberFormat="1" applyFont="1" applyFill="1" applyBorder="1" applyAlignment="1"/>
    <xf numFmtId="166" fontId="2" fillId="0" borderId="0" xfId="3" applyNumberFormat="1" applyFont="1" applyFill="1" applyAlignment="1"/>
    <xf numFmtId="164" fontId="2" fillId="0" borderId="0" xfId="2" applyNumberFormat="1" applyFont="1" applyFill="1" applyAlignment="1"/>
    <xf numFmtId="169" fontId="2" fillId="0" borderId="11" xfId="2" applyNumberFormat="1" applyFont="1" applyFill="1" applyBorder="1" applyAlignment="1">
      <alignment horizontal="center"/>
    </xf>
    <xf numFmtId="171" fontId="2" fillId="0" borderId="8" xfId="1" applyNumberFormat="1" applyFont="1" applyFill="1" applyBorder="1"/>
    <xf numFmtId="171" fontId="2" fillId="0" borderId="0" xfId="1" applyNumberFormat="1" applyFont="1" applyFill="1" applyBorder="1"/>
    <xf numFmtId="172" fontId="2" fillId="0" borderId="0" xfId="1" applyNumberFormat="1" applyFont="1" applyFill="1" applyBorder="1"/>
    <xf numFmtId="172" fontId="2" fillId="0" borderId="2" xfId="1" applyNumberFormat="1" applyFont="1" applyFill="1" applyBorder="1"/>
    <xf numFmtId="165" fontId="2" fillId="0" borderId="2" xfId="1" applyNumberFormat="1" applyFont="1" applyFill="1" applyBorder="1" applyAlignment="1"/>
    <xf numFmtId="169" fontId="3" fillId="0" borderId="20" xfId="2" applyNumberFormat="1" applyFont="1" applyFill="1" applyBorder="1"/>
    <xf numFmtId="165" fontId="2" fillId="0" borderId="0" xfId="1" applyNumberFormat="1" applyFont="1" applyFill="1" applyBorder="1" applyAlignment="1"/>
    <xf numFmtId="169" fontId="3" fillId="0" borderId="24" xfId="2" applyNumberFormat="1" applyFont="1" applyFill="1" applyBorder="1"/>
    <xf numFmtId="165" fontId="3" fillId="0" borderId="23" xfId="1" applyNumberFormat="1" applyFont="1" applyFill="1" applyBorder="1"/>
    <xf numFmtId="169" fontId="3" fillId="0" borderId="24" xfId="2" applyNumberFormat="1" applyFont="1" applyFill="1" applyBorder="1" applyAlignment="1">
      <alignment horizontal="center"/>
    </xf>
    <xf numFmtId="165" fontId="2" fillId="0" borderId="23" xfId="1" applyNumberFormat="1" applyFont="1" applyFill="1" applyBorder="1" applyAlignment="1">
      <alignment horizontal="center"/>
    </xf>
    <xf numFmtId="167" fontId="2" fillId="0" borderId="17" xfId="2" applyNumberFormat="1" applyFont="1" applyFill="1" applyBorder="1"/>
    <xf numFmtId="167" fontId="2" fillId="0" borderId="1" xfId="2" applyNumberFormat="1" applyFont="1" applyFill="1" applyBorder="1"/>
    <xf numFmtId="167" fontId="2" fillId="0" borderId="0" xfId="2" applyNumberFormat="1" applyFont="1" applyFill="1" applyBorder="1"/>
    <xf numFmtId="164" fontId="2" fillId="0" borderId="17" xfId="2" applyNumberFormat="1" applyFont="1" applyFill="1" applyBorder="1"/>
    <xf numFmtId="44" fontId="2" fillId="0" borderId="17" xfId="2" applyFont="1" applyFill="1" applyBorder="1"/>
    <xf numFmtId="164" fontId="2" fillId="0" borderId="0" xfId="2" applyNumberFormat="1" applyFont="1" applyFill="1" applyBorder="1"/>
    <xf numFmtId="167" fontId="2" fillId="0" borderId="2" xfId="2" applyNumberFormat="1" applyFont="1" applyFill="1" applyBorder="1"/>
    <xf numFmtId="164" fontId="2" fillId="0" borderId="2" xfId="2" applyNumberFormat="1" applyFont="1" applyFill="1" applyBorder="1"/>
    <xf numFmtId="165" fontId="2" fillId="0" borderId="0" xfId="1" applyNumberFormat="1" applyFont="1" applyFill="1" applyBorder="1"/>
    <xf numFmtId="164" fontId="2" fillId="0" borderId="1" xfId="2" applyNumberFormat="1" applyFont="1" applyFill="1" applyBorder="1"/>
    <xf numFmtId="44" fontId="2" fillId="0" borderId="0" xfId="2" applyFont="1" applyFill="1"/>
    <xf numFmtId="167" fontId="2" fillId="0" borderId="0" xfId="2" applyNumberFormat="1" applyFont="1" applyFill="1"/>
    <xf numFmtId="169" fontId="2" fillId="0" borderId="0" xfId="2" applyNumberFormat="1" applyFont="1" applyFill="1"/>
    <xf numFmtId="168" fontId="2" fillId="0" borderId="0" xfId="3" applyNumberFormat="1" applyFont="1" applyFill="1"/>
    <xf numFmtId="10" fontId="2" fillId="0" borderId="0" xfId="3" applyNumberFormat="1" applyFont="1" applyFill="1"/>
    <xf numFmtId="43" fontId="2" fillId="0" borderId="3" xfId="1" applyFont="1" applyFill="1" applyBorder="1" applyAlignment="1">
      <alignment vertical="center"/>
    </xf>
    <xf numFmtId="43" fontId="2" fillId="0" borderId="0" xfId="1" applyFont="1" applyFill="1" applyBorder="1"/>
    <xf numFmtId="43" fontId="2" fillId="0" borderId="0" xfId="1" applyFont="1" applyFill="1"/>
    <xf numFmtId="165" fontId="2" fillId="0" borderId="0" xfId="1" applyNumberFormat="1" applyFont="1" applyFill="1" applyAlignment="1"/>
    <xf numFmtId="165" fontId="2" fillId="0" borderId="0" xfId="1" applyNumberFormat="1" applyFont="1" applyFill="1" applyBorder="1" applyAlignment="1">
      <alignment wrapText="1"/>
    </xf>
    <xf numFmtId="43" fontId="2" fillId="0" borderId="0" xfId="1" applyFont="1" applyFill="1" applyAlignment="1">
      <alignment horizontal="right"/>
    </xf>
    <xf numFmtId="177" fontId="2" fillId="0" borderId="0" xfId="1" applyNumberFormat="1" applyFont="1" applyFill="1"/>
    <xf numFmtId="169" fontId="2" fillId="0" borderId="0" xfId="2" applyNumberFormat="1" applyFont="1" applyFill="1" applyAlignment="1">
      <alignment horizontal="center"/>
    </xf>
    <xf numFmtId="168" fontId="2" fillId="0" borderId="0" xfId="3" applyNumberFormat="1" applyFont="1" applyFill="1" applyAlignment="1">
      <alignment horizontal="center"/>
    </xf>
    <xf numFmtId="168" fontId="2" fillId="0" borderId="0" xfId="3" applyNumberFormat="1" applyFont="1" applyFill="1" applyBorder="1" applyAlignment="1">
      <alignment horizontal="center"/>
    </xf>
    <xf numFmtId="44" fontId="2" fillId="0" borderId="0" xfId="2" applyFont="1" applyFill="1" applyAlignment="1">
      <alignment horizontal="right"/>
    </xf>
    <xf numFmtId="164" fontId="2" fillId="0" borderId="30" xfId="5" applyNumberFormat="1" applyFont="1" applyFill="1" applyBorder="1"/>
    <xf numFmtId="164" fontId="2" fillId="0" borderId="0" xfId="2" applyNumberFormat="1" applyFont="1" applyFill="1"/>
    <xf numFmtId="165" fontId="2" fillId="0" borderId="2" xfId="1" applyNumberFormat="1" applyFont="1" applyFill="1" applyBorder="1"/>
    <xf numFmtId="0" fontId="2" fillId="0" borderId="21" xfId="1" quotePrefix="1" applyNumberFormat="1" applyFont="1" applyFill="1" applyBorder="1" applyAlignment="1">
      <alignment horizontal="center"/>
    </xf>
    <xf numFmtId="165" fontId="2" fillId="0" borderId="0" xfId="1" quotePrefix="1" applyNumberFormat="1" applyFont="1" applyFill="1" applyBorder="1" applyAlignment="1">
      <alignment horizontal="center" vertical="center"/>
    </xf>
    <xf numFmtId="0" fontId="2" fillId="0" borderId="25" xfId="1" applyNumberFormat="1" applyFont="1" applyFill="1" applyBorder="1" applyAlignment="1">
      <alignment horizontal="center"/>
    </xf>
    <xf numFmtId="165" fontId="2" fillId="0" borderId="23" xfId="1" applyNumberFormat="1" applyFont="1" applyFill="1" applyBorder="1" applyAlignment="1">
      <alignment horizontal="center" vertical="center"/>
    </xf>
    <xf numFmtId="0" fontId="3" fillId="0" borderId="25" xfId="1" applyNumberFormat="1" applyFont="1" applyFill="1" applyBorder="1"/>
    <xf numFmtId="165" fontId="3" fillId="0" borderId="23" xfId="1" applyNumberFormat="1" applyFont="1" applyFill="1" applyBorder="1" applyAlignment="1">
      <alignment horizontal="center" vertical="center"/>
    </xf>
    <xf numFmtId="0" fontId="2" fillId="0" borderId="19" xfId="1" quotePrefix="1" applyNumberFormat="1" applyFont="1" applyFill="1" applyBorder="1" applyAlignment="1">
      <alignment horizontal="center"/>
    </xf>
    <xf numFmtId="165" fontId="2" fillId="0" borderId="2" xfId="1" quotePrefix="1" applyNumberFormat="1" applyFont="1" applyFill="1" applyBorder="1" applyAlignment="1">
      <alignment horizontal="center" vertical="center"/>
    </xf>
    <xf numFmtId="43" fontId="2" fillId="0" borderId="11" xfId="1" applyFont="1" applyFill="1" applyBorder="1"/>
    <xf numFmtId="43" fontId="2" fillId="0" borderId="0" xfId="1" applyFont="1" applyFill="1" applyBorder="1" applyAlignment="1">
      <alignment horizontal="right"/>
    </xf>
    <xf numFmtId="169" fontId="2" fillId="0" borderId="0" xfId="2" applyNumberFormat="1" applyFont="1" applyFill="1" applyBorder="1"/>
    <xf numFmtId="169" fontId="2" fillId="0" borderId="10" xfId="2" applyNumberFormat="1" applyFont="1" applyFill="1" applyBorder="1"/>
    <xf numFmtId="168" fontId="2" fillId="0" borderId="0" xfId="3" applyNumberFormat="1" applyFont="1" applyFill="1" applyBorder="1"/>
    <xf numFmtId="168" fontId="2" fillId="0" borderId="8" xfId="3" applyNumberFormat="1" applyFont="1" applyFill="1" applyBorder="1"/>
    <xf numFmtId="0" fontId="3" fillId="0" borderId="0" xfId="0" applyFont="1" applyFill="1" applyAlignment="1">
      <alignment horizontal="centerContinuous" vertical="center"/>
    </xf>
    <xf numFmtId="0" fontId="2" fillId="0" borderId="0" xfId="0" applyFont="1" applyFill="1" applyAlignment="1">
      <alignment horizontal="centerContinuous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/>
    <xf numFmtId="0" fontId="2" fillId="0" borderId="0" xfId="0" applyFont="1" applyFill="1" applyAlignment="1">
      <alignment horizontal="center"/>
    </xf>
    <xf numFmtId="0" fontId="3" fillId="0" borderId="6" xfId="0" quotePrefix="1" applyFont="1" applyFill="1" applyBorder="1" applyAlignment="1">
      <alignment horizontal="centerContinuous" vertical="center" wrapText="1"/>
    </xf>
    <xf numFmtId="0" fontId="3" fillId="0" borderId="5" xfId="0" applyFont="1" applyFill="1" applyBorder="1" applyAlignment="1">
      <alignment horizontal="centerContinuous" wrapText="1"/>
    </xf>
    <xf numFmtId="0" fontId="2" fillId="0" borderId="5" xfId="0" applyFont="1" applyFill="1" applyBorder="1" applyAlignment="1">
      <alignment horizontal="centerContinuous" wrapText="1"/>
    </xf>
    <xf numFmtId="0" fontId="2" fillId="0" borderId="4" xfId="0" applyFont="1" applyFill="1" applyBorder="1" applyAlignment="1">
      <alignment horizontal="centerContinuous" wrapText="1"/>
    </xf>
    <xf numFmtId="0" fontId="3" fillId="0" borderId="2" xfId="0" applyFont="1" applyFill="1" applyBorder="1" applyAlignment="1">
      <alignment horizontal="center" wrapText="1"/>
    </xf>
    <xf numFmtId="0" fontId="3" fillId="0" borderId="2" xfId="0" quotePrefix="1" applyFont="1" applyFill="1" applyBorder="1" applyAlignment="1">
      <alignment horizontal="center" wrapText="1"/>
    </xf>
    <xf numFmtId="0" fontId="2" fillId="0" borderId="0" xfId="0" applyFont="1" applyFill="1" applyAlignment="1">
      <alignment horizont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3" xfId="0" quotePrefix="1" applyFont="1" applyFill="1" applyBorder="1" applyAlignment="1">
      <alignment horizontal="center" vertical="center"/>
    </xf>
    <xf numFmtId="165" fontId="2" fillId="0" borderId="0" xfId="0" applyNumberFormat="1" applyFont="1" applyFill="1" applyAlignment="1">
      <alignment wrapText="1"/>
    </xf>
    <xf numFmtId="0" fontId="2" fillId="0" borderId="2" xfId="0" applyFont="1" applyFill="1" applyBorder="1"/>
    <xf numFmtId="165" fontId="2" fillId="0" borderId="1" xfId="0" applyNumberFormat="1" applyFont="1" applyFill="1" applyBorder="1"/>
    <xf numFmtId="166" fontId="2" fillId="0" borderId="1" xfId="0" applyNumberFormat="1" applyFont="1" applyFill="1" applyBorder="1" applyAlignment="1">
      <alignment horizontal="right"/>
    </xf>
    <xf numFmtId="0" fontId="2" fillId="0" borderId="0" xfId="0" applyFont="1" applyFill="1" applyAlignment="1">
      <alignment horizontal="right"/>
    </xf>
    <xf numFmtId="164" fontId="2" fillId="0" borderId="0" xfId="0" applyNumberFormat="1" applyFont="1" applyFill="1" applyAlignment="1">
      <alignment wrapText="1"/>
    </xf>
    <xf numFmtId="164" fontId="2" fillId="0" borderId="0" xfId="0" applyNumberFormat="1" applyFont="1" applyFill="1"/>
    <xf numFmtId="10" fontId="2" fillId="0" borderId="0" xfId="0" applyNumberFormat="1" applyFont="1" applyFill="1" applyAlignment="1">
      <alignment horizontal="right"/>
    </xf>
    <xf numFmtId="44" fontId="2" fillId="0" borderId="0" xfId="0" applyNumberFormat="1" applyFont="1" applyFill="1"/>
    <xf numFmtId="0" fontId="3" fillId="0" borderId="0" xfId="0" applyFont="1" applyFill="1" applyAlignment="1">
      <alignment horizontal="centerContinuous"/>
    </xf>
    <xf numFmtId="0" fontId="2" fillId="0" borderId="0" xfId="0" applyFont="1" applyFill="1" applyAlignment="1">
      <alignment horizontal="centerContinuous"/>
    </xf>
    <xf numFmtId="0" fontId="3" fillId="0" borderId="0" xfId="0" applyFont="1" applyFill="1" applyAlignment="1">
      <alignment horizontal="right"/>
    </xf>
    <xf numFmtId="0" fontId="3" fillId="0" borderId="0" xfId="0" applyFont="1" applyFill="1" applyAlignment="1">
      <alignment horizontal="center" wrapText="1"/>
    </xf>
    <xf numFmtId="0" fontId="3" fillId="0" borderId="0" xfId="0" applyFont="1" applyFill="1" applyAlignment="1">
      <alignment horizontal="centerContinuous" wrapText="1"/>
    </xf>
    <xf numFmtId="0" fontId="3" fillId="0" borderId="0" xfId="0" applyFont="1" applyFill="1" applyAlignment="1">
      <alignment horizontal="center" wrapText="1"/>
    </xf>
    <xf numFmtId="0" fontId="2" fillId="0" borderId="3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3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right"/>
    </xf>
    <xf numFmtId="0" fontId="2" fillId="0" borderId="3" xfId="0" applyFont="1" applyFill="1" applyBorder="1"/>
    <xf numFmtId="169" fontId="2" fillId="0" borderId="0" xfId="0" applyNumberFormat="1" applyFont="1" applyFill="1"/>
    <xf numFmtId="0" fontId="8" fillId="0" borderId="0" xfId="0" applyFont="1" applyFill="1" applyAlignment="1">
      <alignment horizontal="centerContinuous" vertical="center"/>
    </xf>
    <xf numFmtId="0" fontId="3" fillId="0" borderId="0" xfId="0" applyFont="1" applyFill="1" applyAlignment="1">
      <alignment horizontal="center"/>
    </xf>
    <xf numFmtId="0" fontId="3" fillId="0" borderId="37" xfId="0" applyFont="1" applyFill="1" applyBorder="1" applyAlignment="1">
      <alignment horizontal="centerContinuous" vertical="center"/>
    </xf>
    <xf numFmtId="0" fontId="3" fillId="0" borderId="38" xfId="0" applyFont="1" applyFill="1" applyBorder="1" applyAlignment="1">
      <alignment horizontal="centerContinuous" vertical="center"/>
    </xf>
    <xf numFmtId="0" fontId="3" fillId="0" borderId="26" xfId="0" applyFont="1" applyFill="1" applyBorder="1" applyAlignment="1">
      <alignment horizontal="centerContinuous" vertical="center"/>
    </xf>
    <xf numFmtId="0" fontId="3" fillId="0" borderId="2" xfId="0" applyFont="1" applyFill="1" applyBorder="1" applyAlignment="1">
      <alignment horizontal="centerContinuous"/>
    </xf>
    <xf numFmtId="0" fontId="3" fillId="0" borderId="0" xfId="0" applyFont="1" applyFill="1"/>
    <xf numFmtId="0" fontId="2" fillId="0" borderId="2" xfId="0" applyFont="1" applyFill="1" applyBorder="1" applyAlignment="1">
      <alignment horizontal="center" vertical="center"/>
    </xf>
    <xf numFmtId="0" fontId="2" fillId="0" borderId="2" xfId="0" quotePrefix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0" fontId="2" fillId="0" borderId="0" xfId="0" quotePrefix="1" applyFont="1" applyFill="1" applyAlignment="1">
      <alignment horizontal="center"/>
    </xf>
    <xf numFmtId="0" fontId="2" fillId="0" borderId="0" xfId="0" quotePrefix="1" applyFont="1" applyFill="1" applyAlignment="1">
      <alignment horizontal="center" wrapText="1"/>
    </xf>
    <xf numFmtId="0" fontId="2" fillId="0" borderId="0" xfId="0" applyFont="1" applyFill="1" applyAlignment="1">
      <alignment horizontal="left"/>
    </xf>
    <xf numFmtId="175" fontId="2" fillId="0" borderId="0" xfId="0" applyNumberFormat="1" applyFont="1" applyFill="1"/>
    <xf numFmtId="0" fontId="2" fillId="0" borderId="0" xfId="0" quotePrefix="1" applyFont="1" applyFill="1" applyAlignment="1">
      <alignment horizontal="left" indent="1"/>
    </xf>
    <xf numFmtId="0" fontId="2" fillId="0" borderId="0" xfId="0" quotePrefix="1" applyFont="1" applyFill="1"/>
    <xf numFmtId="0" fontId="2" fillId="0" borderId="0" xfId="0" quotePrefix="1" applyFont="1" applyFill="1" applyAlignment="1">
      <alignment horizontal="right" wrapText="1"/>
    </xf>
    <xf numFmtId="176" fontId="2" fillId="0" borderId="0" xfId="0" applyNumberFormat="1" applyFont="1" applyFill="1"/>
    <xf numFmtId="176" fontId="2" fillId="0" borderId="0" xfId="0" quotePrefix="1" applyNumberFormat="1" applyFont="1" applyFill="1" applyAlignment="1">
      <alignment horizontal="left" indent="1"/>
    </xf>
    <xf numFmtId="176" fontId="2" fillId="0" borderId="0" xfId="0" quotePrefix="1" applyNumberFormat="1" applyFont="1" applyFill="1"/>
    <xf numFmtId="176" fontId="2" fillId="0" borderId="0" xfId="0" quotePrefix="1" applyNumberFormat="1" applyFont="1" applyFill="1" applyAlignment="1">
      <alignment horizontal="right" wrapText="1"/>
    </xf>
    <xf numFmtId="170" fontId="2" fillId="0" borderId="0" xfId="0" applyNumberFormat="1" applyFont="1" applyFill="1"/>
    <xf numFmtId="0" fontId="9" fillId="0" borderId="0" xfId="0" applyFont="1" applyFill="1"/>
    <xf numFmtId="0" fontId="2" fillId="0" borderId="0" xfId="0" quotePrefix="1" applyFont="1" applyFill="1" applyAlignment="1">
      <alignment horizontal="left"/>
    </xf>
    <xf numFmtId="0" fontId="3" fillId="0" borderId="0" xfId="0" applyFont="1" applyFill="1" applyAlignment="1">
      <alignment horizontal="centerContinuous" vertical="center" wrapText="1"/>
    </xf>
    <xf numFmtId="0" fontId="3" fillId="0" borderId="30" xfId="0" applyFont="1" applyFill="1" applyBorder="1" applyAlignment="1">
      <alignment horizontal="center" wrapText="1"/>
    </xf>
    <xf numFmtId="0" fontId="3" fillId="0" borderId="32" xfId="0" applyFont="1" applyFill="1" applyBorder="1" applyAlignment="1">
      <alignment horizontal="centerContinuous"/>
    </xf>
    <xf numFmtId="0" fontId="3" fillId="0" borderId="34" xfId="0" applyFont="1" applyFill="1" applyBorder="1" applyAlignment="1">
      <alignment horizontal="centerContinuous"/>
    </xf>
    <xf numFmtId="0" fontId="3" fillId="0" borderId="29" xfId="0" quotePrefix="1" applyFont="1" applyFill="1" applyBorder="1" applyAlignment="1">
      <alignment horizontal="center" wrapText="1"/>
    </xf>
    <xf numFmtId="0" fontId="3" fillId="0" borderId="0" xfId="0" quotePrefix="1" applyFont="1" applyFill="1" applyAlignment="1">
      <alignment horizontal="center" wrapText="1"/>
    </xf>
    <xf numFmtId="0" fontId="3" fillId="0" borderId="19" xfId="0" applyFont="1" applyFill="1" applyBorder="1" applyAlignment="1">
      <alignment horizontal="center" wrapText="1"/>
    </xf>
    <xf numFmtId="0" fontId="3" fillId="0" borderId="34" xfId="0" applyFont="1" applyFill="1" applyBorder="1" applyAlignment="1">
      <alignment horizontal="center" wrapText="1"/>
    </xf>
    <xf numFmtId="0" fontId="3" fillId="0" borderId="34" xfId="0" quotePrefix="1" applyFont="1" applyFill="1" applyBorder="1" applyAlignment="1">
      <alignment horizontal="center" wrapText="1"/>
    </xf>
    <xf numFmtId="0" fontId="3" fillId="0" borderId="33" xfId="0" quotePrefix="1" applyFont="1" applyFill="1" applyBorder="1" applyAlignment="1">
      <alignment horizontal="center" wrapText="1"/>
    </xf>
    <xf numFmtId="0" fontId="3" fillId="0" borderId="34" xfId="0" applyFont="1" applyFill="1" applyBorder="1" applyAlignment="1">
      <alignment horizontal="center" wrapText="1"/>
    </xf>
    <xf numFmtId="0" fontId="3" fillId="0" borderId="2" xfId="0" quotePrefix="1" applyFont="1" applyFill="1" applyBorder="1" applyAlignment="1">
      <alignment horizontal="center" wrapText="1"/>
    </xf>
    <xf numFmtId="0" fontId="2" fillId="0" borderId="37" xfId="0" applyFont="1" applyFill="1" applyBorder="1" applyAlignment="1">
      <alignment horizontal="center" vertical="center"/>
    </xf>
    <xf numFmtId="0" fontId="2" fillId="0" borderId="21" xfId="0" applyFont="1" applyFill="1" applyBorder="1"/>
    <xf numFmtId="0" fontId="2" fillId="0" borderId="30" xfId="0" applyFont="1" applyFill="1" applyBorder="1"/>
    <xf numFmtId="0" fontId="2" fillId="0" borderId="29" xfId="0" applyFont="1" applyFill="1" applyBorder="1"/>
    <xf numFmtId="0" fontId="2" fillId="0" borderId="28" xfId="0" applyFont="1" applyFill="1" applyBorder="1"/>
    <xf numFmtId="0" fontId="2" fillId="0" borderId="21" xfId="0" applyFont="1" applyFill="1" applyBorder="1" applyAlignment="1">
      <alignment horizontal="center"/>
    </xf>
    <xf numFmtId="164" fontId="2" fillId="0" borderId="30" xfId="0" applyNumberFormat="1" applyFont="1" applyFill="1" applyBorder="1"/>
    <xf numFmtId="164" fontId="2" fillId="0" borderId="29" xfId="0" applyNumberFormat="1" applyFont="1" applyFill="1" applyBorder="1"/>
    <xf numFmtId="164" fontId="2" fillId="0" borderId="28" xfId="0" applyNumberFormat="1" applyFont="1" applyFill="1" applyBorder="1"/>
    <xf numFmtId="0" fontId="2" fillId="0" borderId="0" xfId="4" applyFont="1" applyFill="1" applyAlignment="1">
      <alignment horizontal="right"/>
    </xf>
    <xf numFmtId="164" fontId="2" fillId="0" borderId="0" xfId="4" applyNumberFormat="1" applyFont="1" applyFill="1"/>
    <xf numFmtId="164" fontId="2" fillId="0" borderId="31" xfId="0" applyNumberFormat="1" applyFont="1" applyFill="1" applyBorder="1"/>
    <xf numFmtId="164" fontId="2" fillId="0" borderId="23" xfId="0" applyNumberFormat="1" applyFont="1" applyFill="1" applyBorder="1"/>
    <xf numFmtId="164" fontId="2" fillId="0" borderId="36" xfId="0" applyNumberFormat="1" applyFont="1" applyFill="1" applyBorder="1"/>
    <xf numFmtId="164" fontId="2" fillId="0" borderId="35" xfId="0" applyNumberFormat="1" applyFont="1" applyFill="1" applyBorder="1"/>
    <xf numFmtId="41" fontId="2" fillId="0" borderId="0" xfId="4" applyNumberFormat="1" applyFont="1" applyFill="1"/>
    <xf numFmtId="164" fontId="2" fillId="0" borderId="30" xfId="4" applyNumberFormat="1" applyFont="1" applyFill="1" applyBorder="1"/>
    <xf numFmtId="0" fontId="2" fillId="0" borderId="0" xfId="4" applyFont="1" applyFill="1"/>
    <xf numFmtId="10" fontId="2" fillId="0" borderId="30" xfId="0" applyNumberFormat="1" applyFont="1" applyFill="1" applyBorder="1"/>
    <xf numFmtId="164" fontId="2" fillId="0" borderId="34" xfId="0" applyNumberFormat="1" applyFont="1" applyFill="1" applyBorder="1"/>
    <xf numFmtId="164" fontId="2" fillId="0" borderId="2" xfId="0" applyNumberFormat="1" applyFont="1" applyFill="1" applyBorder="1"/>
    <xf numFmtId="164" fontId="2" fillId="0" borderId="33" xfId="0" applyNumberFormat="1" applyFont="1" applyFill="1" applyBorder="1"/>
    <xf numFmtId="164" fontId="2" fillId="0" borderId="32" xfId="0" applyNumberFormat="1" applyFont="1" applyFill="1" applyBorder="1"/>
    <xf numFmtId="9" fontId="2" fillId="0" borderId="0" xfId="0" applyNumberFormat="1" applyFont="1" applyFill="1"/>
    <xf numFmtId="9" fontId="2" fillId="0" borderId="30" xfId="0" applyNumberFormat="1" applyFont="1" applyFill="1" applyBorder="1"/>
    <xf numFmtId="9" fontId="2" fillId="0" borderId="29" xfId="0" applyNumberFormat="1" applyFont="1" applyFill="1" applyBorder="1"/>
    <xf numFmtId="9" fontId="2" fillId="0" borderId="28" xfId="0" applyNumberFormat="1" applyFont="1" applyFill="1" applyBorder="1"/>
    <xf numFmtId="9" fontId="2" fillId="0" borderId="0" xfId="4" applyNumberFormat="1" applyFont="1" applyFill="1"/>
    <xf numFmtId="44" fontId="2" fillId="0" borderId="29" xfId="0" applyNumberFormat="1" applyFont="1" applyFill="1" applyBorder="1"/>
    <xf numFmtId="10" fontId="2" fillId="0" borderId="0" xfId="0" applyNumberFormat="1" applyFont="1" applyFill="1"/>
    <xf numFmtId="10" fontId="2" fillId="0" borderId="29" xfId="0" applyNumberFormat="1" applyFont="1" applyFill="1" applyBorder="1"/>
    <xf numFmtId="10" fontId="2" fillId="0" borderId="28" xfId="0" applyNumberFormat="1" applyFont="1" applyFill="1" applyBorder="1"/>
    <xf numFmtId="44" fontId="2" fillId="0" borderId="30" xfId="0" applyNumberFormat="1" applyFont="1" applyFill="1" applyBorder="1"/>
    <xf numFmtId="44" fontId="2" fillId="0" borderId="32" xfId="0" applyNumberFormat="1" applyFont="1" applyFill="1" applyBorder="1"/>
    <xf numFmtId="44" fontId="2" fillId="0" borderId="0" xfId="4" applyNumberFormat="1" applyFont="1" applyFill="1"/>
    <xf numFmtId="44" fontId="2" fillId="0" borderId="23" xfId="0" applyNumberFormat="1" applyFont="1" applyFill="1" applyBorder="1"/>
    <xf numFmtId="44" fontId="2" fillId="0" borderId="28" xfId="0" applyNumberFormat="1" applyFont="1" applyFill="1" applyBorder="1"/>
    <xf numFmtId="0" fontId="10" fillId="0" borderId="0" xfId="0" applyFont="1" applyFill="1"/>
    <xf numFmtId="37" fontId="2" fillId="0" borderId="0" xfId="0" applyNumberFormat="1" applyFont="1" applyFill="1"/>
    <xf numFmtId="174" fontId="2" fillId="0" borderId="0" xfId="0" applyNumberFormat="1" applyFont="1" applyFill="1"/>
    <xf numFmtId="0" fontId="2" fillId="0" borderId="2" xfId="0" applyFont="1" applyFill="1" applyBorder="1" applyAlignment="1">
      <alignment horizontal="center" wrapText="1"/>
    </xf>
    <xf numFmtId="0" fontId="2" fillId="0" borderId="2" xfId="0" applyFont="1" applyFill="1" applyBorder="1" applyAlignment="1">
      <alignment horizontal="center"/>
    </xf>
    <xf numFmtId="0" fontId="3" fillId="0" borderId="2" xfId="0" applyFont="1" applyFill="1" applyBorder="1" applyAlignment="1">
      <alignment vertical="center"/>
    </xf>
    <xf numFmtId="0" fontId="3" fillId="0" borderId="2" xfId="0" applyFont="1" applyFill="1" applyBorder="1"/>
    <xf numFmtId="0" fontId="2" fillId="0" borderId="0" xfId="0" applyFont="1" applyFill="1" applyAlignment="1">
      <alignment wrapText="1"/>
    </xf>
    <xf numFmtId="44" fontId="2" fillId="0" borderId="0" xfId="0" applyNumberFormat="1" applyFont="1" applyFill="1" applyAlignment="1">
      <alignment horizontal="center" wrapText="1"/>
    </xf>
    <xf numFmtId="0" fontId="3" fillId="0" borderId="3" xfId="0" applyFont="1" applyFill="1" applyBorder="1"/>
    <xf numFmtId="174" fontId="2" fillId="0" borderId="2" xfId="0" applyNumberFormat="1" applyFont="1" applyFill="1" applyBorder="1"/>
    <xf numFmtId="174" fontId="2" fillId="0" borderId="17" xfId="0" applyNumberFormat="1" applyFont="1" applyFill="1" applyBorder="1"/>
    <xf numFmtId="0" fontId="2" fillId="0" borderId="0" xfId="0" applyFont="1" applyFill="1" applyAlignment="1">
      <alignment horizontal="centerContinuous" wrapText="1"/>
    </xf>
    <xf numFmtId="44" fontId="2" fillId="0" borderId="0" xfId="0" applyNumberFormat="1" applyFont="1" applyFill="1" applyAlignment="1">
      <alignment horizontal="center"/>
    </xf>
    <xf numFmtId="165" fontId="2" fillId="0" borderId="0" xfId="0" applyNumberFormat="1" applyFont="1" applyFill="1"/>
    <xf numFmtId="44" fontId="3" fillId="0" borderId="0" xfId="0" applyNumberFormat="1" applyFont="1" applyFill="1"/>
    <xf numFmtId="44" fontId="2" fillId="0" borderId="2" xfId="0" applyNumberFormat="1" applyFont="1" applyFill="1" applyBorder="1" applyAlignment="1">
      <alignment horizontal="center" wrapText="1"/>
    </xf>
    <xf numFmtId="165" fontId="2" fillId="0" borderId="2" xfId="0" applyNumberFormat="1" applyFont="1" applyFill="1" applyBorder="1" applyAlignment="1">
      <alignment horizontal="center" wrapText="1"/>
    </xf>
    <xf numFmtId="0" fontId="2" fillId="0" borderId="27" xfId="0" applyFont="1" applyFill="1" applyBorder="1" applyAlignment="1">
      <alignment horizontal="center" wrapText="1"/>
    </xf>
    <xf numFmtId="44" fontId="2" fillId="0" borderId="27" xfId="0" applyNumberFormat="1" applyFont="1" applyFill="1" applyBorder="1" applyAlignment="1">
      <alignment horizontal="center" wrapText="1"/>
    </xf>
    <xf numFmtId="44" fontId="2" fillId="0" borderId="26" xfId="0" applyNumberFormat="1" applyFont="1" applyFill="1" applyBorder="1" applyAlignment="1">
      <alignment horizontal="center" wrapText="1"/>
    </xf>
    <xf numFmtId="0" fontId="3" fillId="0" borderId="0" xfId="0" applyFont="1" applyFill="1" applyAlignment="1">
      <alignment horizontal="center" vertical="center"/>
    </xf>
    <xf numFmtId="0" fontId="3" fillId="0" borderId="21" xfId="0" applyFont="1" applyFill="1" applyBorder="1"/>
    <xf numFmtId="0" fontId="2" fillId="0" borderId="23" xfId="0" applyFont="1" applyFill="1" applyBorder="1"/>
    <xf numFmtId="0" fontId="2" fillId="0" borderId="23" xfId="0" applyFont="1" applyFill="1" applyBorder="1" applyAlignment="1">
      <alignment horizontal="right"/>
    </xf>
    <xf numFmtId="44" fontId="2" fillId="0" borderId="23" xfId="0" applyNumberFormat="1" applyFont="1" applyFill="1" applyBorder="1" applyAlignment="1">
      <alignment horizontal="center"/>
    </xf>
    <xf numFmtId="0" fontId="2" fillId="0" borderId="23" xfId="0" applyFont="1" applyFill="1" applyBorder="1" applyAlignment="1">
      <alignment horizontal="center"/>
    </xf>
    <xf numFmtId="165" fontId="2" fillId="0" borderId="23" xfId="0" applyNumberFormat="1" applyFont="1" applyFill="1" applyBorder="1"/>
    <xf numFmtId="0" fontId="3" fillId="0" borderId="20" xfId="0" applyFont="1" applyFill="1" applyBorder="1"/>
    <xf numFmtId="44" fontId="3" fillId="0" borderId="20" xfId="0" applyNumberFormat="1" applyFont="1" applyFill="1" applyBorder="1"/>
    <xf numFmtId="165" fontId="2" fillId="0" borderId="0" xfId="0" quotePrefix="1" applyNumberFormat="1" applyFont="1" applyFill="1" applyAlignment="1">
      <alignment horizontal="center"/>
    </xf>
    <xf numFmtId="43" fontId="2" fillId="0" borderId="0" xfId="0" applyNumberFormat="1" applyFont="1" applyFill="1"/>
    <xf numFmtId="170" fontId="3" fillId="0" borderId="20" xfId="0" applyNumberFormat="1" applyFont="1" applyFill="1" applyBorder="1"/>
    <xf numFmtId="0" fontId="3" fillId="0" borderId="24" xfId="0" applyFont="1" applyFill="1" applyBorder="1" applyAlignment="1">
      <alignment horizontal="center"/>
    </xf>
    <xf numFmtId="164" fontId="2" fillId="0" borderId="23" xfId="0" applyNumberFormat="1" applyFont="1" applyFill="1" applyBorder="1" applyAlignment="1">
      <alignment horizontal="center"/>
    </xf>
    <xf numFmtId="0" fontId="3" fillId="0" borderId="23" xfId="0" applyFont="1" applyFill="1" applyBorder="1"/>
    <xf numFmtId="0" fontId="3" fillId="0" borderId="24" xfId="0" applyFont="1" applyFill="1" applyBorder="1"/>
    <xf numFmtId="164" fontId="3" fillId="0" borderId="23" xfId="0" applyNumberFormat="1" applyFont="1" applyFill="1" applyBorder="1"/>
    <xf numFmtId="0" fontId="2" fillId="0" borderId="2" xfId="0" quotePrefix="1" applyFont="1" applyFill="1" applyBorder="1" applyAlignment="1">
      <alignment horizontal="center"/>
    </xf>
    <xf numFmtId="165" fontId="2" fillId="0" borderId="2" xfId="0" quotePrefix="1" applyNumberFormat="1" applyFont="1" applyFill="1" applyBorder="1" applyAlignment="1">
      <alignment horizontal="center"/>
    </xf>
    <xf numFmtId="44" fontId="2" fillId="0" borderId="2" xfId="0" applyNumberFormat="1" applyFont="1" applyFill="1" applyBorder="1" applyAlignment="1">
      <alignment horizontal="center"/>
    </xf>
    <xf numFmtId="43" fontId="2" fillId="0" borderId="2" xfId="0" applyNumberFormat="1" applyFont="1" applyFill="1" applyBorder="1"/>
    <xf numFmtId="165" fontId="2" fillId="0" borderId="2" xfId="0" applyNumberFormat="1" applyFont="1" applyFill="1" applyBorder="1"/>
    <xf numFmtId="167" fontId="2" fillId="0" borderId="2" xfId="0" applyNumberFormat="1" applyFont="1" applyFill="1" applyBorder="1"/>
    <xf numFmtId="167" fontId="3" fillId="0" borderId="22" xfId="0" applyNumberFormat="1" applyFont="1" applyFill="1" applyBorder="1"/>
    <xf numFmtId="44" fontId="2" fillId="0" borderId="2" xfId="0" applyNumberFormat="1" applyFont="1" applyFill="1" applyBorder="1"/>
    <xf numFmtId="167" fontId="2" fillId="0" borderId="0" xfId="0" applyNumberFormat="1" applyFont="1" applyFill="1"/>
    <xf numFmtId="170" fontId="2" fillId="0" borderId="2" xfId="0" applyNumberFormat="1" applyFont="1" applyFill="1" applyBorder="1"/>
    <xf numFmtId="44" fontId="3" fillId="0" borderId="18" xfId="0" applyNumberFormat="1" applyFont="1" applyFill="1" applyBorder="1"/>
    <xf numFmtId="173" fontId="2" fillId="0" borderId="0" xfId="0" applyNumberFormat="1" applyFont="1" applyFill="1" applyAlignment="1">
      <alignment horizontal="center"/>
    </xf>
    <xf numFmtId="164" fontId="2" fillId="0" borderId="17" xfId="0" applyNumberFormat="1" applyFont="1" applyFill="1" applyBorder="1"/>
    <xf numFmtId="164" fontId="3" fillId="0" borderId="0" xfId="0" applyNumberFormat="1" applyFont="1" applyFill="1"/>
    <xf numFmtId="0" fontId="2" fillId="0" borderId="16" xfId="0" applyFont="1" applyFill="1" applyBorder="1"/>
    <xf numFmtId="0" fontId="2" fillId="0" borderId="15" xfId="0" applyFont="1" applyFill="1" applyBorder="1"/>
    <xf numFmtId="0" fontId="2" fillId="0" borderId="14" xfId="0" applyFont="1" applyFill="1" applyBorder="1"/>
    <xf numFmtId="0" fontId="2" fillId="0" borderId="11" xfId="0" applyFont="1" applyFill="1" applyBorder="1"/>
    <xf numFmtId="0" fontId="2" fillId="0" borderId="10" xfId="0" applyFont="1" applyFill="1" applyBorder="1"/>
    <xf numFmtId="170" fontId="2" fillId="0" borderId="10" xfId="0" applyNumberFormat="1" applyFont="1" applyFill="1" applyBorder="1"/>
    <xf numFmtId="0" fontId="2" fillId="0" borderId="9" xfId="0" applyFont="1" applyFill="1" applyBorder="1"/>
    <xf numFmtId="0" fontId="2" fillId="0" borderId="8" xfId="0" applyFont="1" applyFill="1" applyBorder="1"/>
    <xf numFmtId="170" fontId="2" fillId="0" borderId="8" xfId="0" applyNumberFormat="1" applyFont="1" applyFill="1" applyBorder="1"/>
    <xf numFmtId="170" fontId="2" fillId="0" borderId="7" xfId="0" applyNumberFormat="1" applyFont="1" applyFill="1" applyBorder="1"/>
    <xf numFmtId="0" fontId="4" fillId="0" borderId="16" xfId="0" applyFont="1" applyFill="1" applyBorder="1"/>
    <xf numFmtId="0" fontId="2" fillId="0" borderId="11" xfId="0" applyFont="1" applyFill="1" applyBorder="1" applyAlignment="1">
      <alignment wrapText="1"/>
    </xf>
    <xf numFmtId="0" fontId="2" fillId="0" borderId="0" xfId="0" applyFont="1" applyFill="1" applyAlignment="1">
      <alignment horizontal="right" wrapText="1"/>
    </xf>
    <xf numFmtId="0" fontId="2" fillId="0" borderId="10" xfId="0" applyFont="1" applyFill="1" applyBorder="1" applyAlignment="1">
      <alignment horizontal="right" wrapText="1"/>
    </xf>
    <xf numFmtId="0" fontId="2" fillId="0" borderId="12" xfId="0" applyFont="1" applyFill="1" applyBorder="1" applyAlignment="1">
      <alignment horizontal="center" wrapText="1"/>
    </xf>
    <xf numFmtId="0" fontId="2" fillId="0" borderId="13" xfId="0" applyFont="1" applyFill="1" applyBorder="1" applyAlignment="1">
      <alignment horizontal="center" wrapText="1"/>
    </xf>
    <xf numFmtId="44" fontId="2" fillId="0" borderId="11" xfId="0" applyNumberFormat="1" applyFont="1" applyFill="1" applyBorder="1"/>
    <xf numFmtId="168" fontId="2" fillId="0" borderId="11" xfId="0" applyNumberFormat="1" applyFont="1" applyFill="1" applyBorder="1"/>
    <xf numFmtId="0" fontId="2" fillId="0" borderId="12" xfId="0" applyFont="1" applyFill="1" applyBorder="1" applyAlignment="1">
      <alignment horizontal="centerContinuous" vertical="center" wrapText="1"/>
    </xf>
    <xf numFmtId="0" fontId="2" fillId="0" borderId="2" xfId="0" applyFont="1" applyFill="1" applyBorder="1" applyAlignment="1">
      <alignment horizontal="centerContinuous" vertical="center" wrapText="1"/>
    </xf>
    <xf numFmtId="0" fontId="2" fillId="0" borderId="9" xfId="0" applyFont="1" applyFill="1" applyBorder="1" applyAlignment="1">
      <alignment horizontal="center"/>
    </xf>
    <xf numFmtId="0" fontId="2" fillId="0" borderId="7" xfId="0" applyFont="1" applyFill="1" applyBorder="1"/>
  </cellXfs>
  <cellStyles count="6">
    <cellStyle name="Comma" xfId="1" builtinId="3"/>
    <cellStyle name="Currency" xfId="2" builtinId="4"/>
    <cellStyle name="Currency 2 2" xfId="5" xr:uid="{3E9D96DD-3458-42CC-8A4E-D0F4C8D60240}"/>
    <cellStyle name="Normal" xfId="0" builtinId="0"/>
    <cellStyle name="Normal 2 10" xfId="4" xr:uid="{F8EE3881-F21D-4B5B-8668-C2E7BFA7A05B}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4.bin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customProperty" Target="../customProperty5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7.bin"/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9.bin"/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1.bin"/><Relationship Id="rId2" Type="http://schemas.openxmlformats.org/officeDocument/2006/relationships/customProperty" Target="../customProperty10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3.bin"/><Relationship Id="rId2" Type="http://schemas.openxmlformats.org/officeDocument/2006/relationships/customProperty" Target="../customProperty12.bin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08A9C7-B155-4411-9479-5E3CDFD93BCF}">
  <sheetPr>
    <tabColor theme="6" tint="0.79998168889431442"/>
  </sheetPr>
  <dimension ref="A1:N23"/>
  <sheetViews>
    <sheetView tabSelected="1" zoomScaleNormal="100" workbookViewId="0">
      <selection activeCell="H13" sqref="H13"/>
    </sheetView>
  </sheetViews>
  <sheetFormatPr defaultColWidth="9.140625" defaultRowHeight="12.75" customHeight="1" x14ac:dyDescent="0.2"/>
  <cols>
    <col min="1" max="1" width="4.42578125" style="65" bestFit="1" customWidth="1"/>
    <col min="2" max="2" width="15.42578125" style="65" bestFit="1" customWidth="1"/>
    <col min="3" max="3" width="9" style="65" bestFit="1" customWidth="1"/>
    <col min="4" max="4" width="12.5703125" style="65" customWidth="1"/>
    <col min="5" max="6" width="13.28515625" style="65" bestFit="1" customWidth="1"/>
    <col min="7" max="7" width="12.85546875" style="65" bestFit="1" customWidth="1"/>
    <col min="8" max="8" width="12.140625" style="65" bestFit="1" customWidth="1"/>
    <col min="9" max="9" width="12.140625" style="65" customWidth="1"/>
    <col min="10" max="10" width="15.42578125" style="65" customWidth="1"/>
    <col min="11" max="11" width="12.42578125" style="65" bestFit="1" customWidth="1"/>
    <col min="12" max="12" width="12.85546875" style="65" bestFit="1" customWidth="1"/>
    <col min="13" max="13" width="12.5703125" style="65" bestFit="1" customWidth="1"/>
    <col min="14" max="14" width="8.7109375" style="65" bestFit="1" customWidth="1"/>
    <col min="15" max="15" width="12.85546875" style="65" bestFit="1" customWidth="1"/>
    <col min="16" max="16384" width="9.140625" style="65"/>
  </cols>
  <sheetData>
    <row r="1" spans="1:14" s="64" customFormat="1" ht="12.75" customHeight="1" x14ac:dyDescent="0.25">
      <c r="A1" s="62" t="s">
        <v>282</v>
      </c>
      <c r="B1" s="62"/>
      <c r="C1" s="62"/>
      <c r="D1" s="62"/>
      <c r="E1" s="62"/>
      <c r="F1" s="62"/>
      <c r="G1" s="62"/>
      <c r="H1" s="62"/>
      <c r="I1" s="62"/>
      <c r="J1" s="62"/>
      <c r="K1" s="63"/>
      <c r="L1" s="62"/>
      <c r="M1" s="63"/>
      <c r="N1" s="63"/>
    </row>
    <row r="2" spans="1:14" s="64" customFormat="1" ht="12.75" customHeight="1" x14ac:dyDescent="0.25">
      <c r="A2" s="62" t="s">
        <v>41</v>
      </c>
      <c r="B2" s="62"/>
      <c r="C2" s="62"/>
      <c r="D2" s="62"/>
      <c r="E2" s="62"/>
      <c r="F2" s="62"/>
      <c r="G2" s="62"/>
      <c r="H2" s="62"/>
      <c r="I2" s="62"/>
      <c r="J2" s="62"/>
      <c r="K2" s="63"/>
      <c r="L2" s="62"/>
      <c r="M2" s="63"/>
      <c r="N2" s="63"/>
    </row>
    <row r="3" spans="1:14" s="64" customFormat="1" ht="12.75" customHeight="1" x14ac:dyDescent="0.25">
      <c r="A3" s="62" t="s">
        <v>283</v>
      </c>
      <c r="B3" s="62"/>
      <c r="C3" s="62"/>
      <c r="D3" s="62"/>
      <c r="E3" s="62"/>
      <c r="F3" s="62"/>
      <c r="G3" s="62"/>
      <c r="H3" s="62"/>
      <c r="I3" s="62"/>
      <c r="J3" s="62"/>
      <c r="K3" s="63"/>
      <c r="L3" s="62"/>
      <c r="M3" s="63"/>
      <c r="N3" s="63"/>
    </row>
    <row r="4" spans="1:14" s="64" customFormat="1" ht="12.75" customHeight="1" x14ac:dyDescent="0.25">
      <c r="A4" s="62" t="s">
        <v>40</v>
      </c>
      <c r="B4" s="62"/>
      <c r="C4" s="62"/>
      <c r="D4" s="62"/>
      <c r="E4" s="62"/>
      <c r="F4" s="62"/>
      <c r="G4" s="62"/>
      <c r="H4" s="62"/>
      <c r="I4" s="62"/>
      <c r="J4" s="62"/>
      <c r="K4" s="63"/>
      <c r="L4" s="62"/>
      <c r="M4" s="63"/>
      <c r="N4" s="63"/>
    </row>
    <row r="5" spans="1:14" s="64" customFormat="1" ht="12.75" customHeight="1" x14ac:dyDescent="0.25">
      <c r="A5" s="62" t="s">
        <v>39</v>
      </c>
      <c r="B5" s="62"/>
      <c r="C5" s="62"/>
      <c r="D5" s="62"/>
      <c r="E5" s="62"/>
      <c r="F5" s="62"/>
      <c r="G5" s="62"/>
      <c r="H5" s="62"/>
      <c r="I5" s="62"/>
      <c r="J5" s="62"/>
      <c r="K5" s="63"/>
      <c r="L5" s="62"/>
      <c r="M5" s="63"/>
      <c r="N5" s="63"/>
    </row>
    <row r="6" spans="1:14" s="65" customFormat="1" ht="12.75" customHeight="1" thickBot="1" x14ac:dyDescent="0.25"/>
    <row r="7" spans="1:14" s="66" customFormat="1" ht="12" thickBot="1" x14ac:dyDescent="0.25">
      <c r="G7" s="67" t="s">
        <v>38</v>
      </c>
      <c r="H7" s="68"/>
      <c r="I7" s="68"/>
      <c r="J7" s="69"/>
      <c r="K7" s="70"/>
      <c r="L7" s="67" t="s">
        <v>37</v>
      </c>
      <c r="M7" s="68"/>
      <c r="N7" s="70"/>
    </row>
    <row r="8" spans="1:14" s="73" customFormat="1" ht="67.5" x14ac:dyDescent="0.2">
      <c r="A8" s="71" t="s">
        <v>36</v>
      </c>
      <c r="B8" s="71" t="s">
        <v>35</v>
      </c>
      <c r="C8" s="71" t="s">
        <v>34</v>
      </c>
      <c r="D8" s="71" t="s">
        <v>33</v>
      </c>
      <c r="E8" s="71" t="s">
        <v>32</v>
      </c>
      <c r="F8" s="71" t="s">
        <v>31</v>
      </c>
      <c r="G8" s="72" t="s">
        <v>30</v>
      </c>
      <c r="H8" s="72" t="s">
        <v>29</v>
      </c>
      <c r="I8" s="72" t="s">
        <v>28</v>
      </c>
      <c r="J8" s="71" t="s">
        <v>27</v>
      </c>
      <c r="K8" s="71" t="s">
        <v>26</v>
      </c>
      <c r="L8" s="72" t="str">
        <f>G8</f>
        <v>Annual Proposed Revenue
(Base)</v>
      </c>
      <c r="M8" s="72" t="s">
        <v>25</v>
      </c>
      <c r="N8" s="72" t="s">
        <v>24</v>
      </c>
    </row>
    <row r="9" spans="1:14" s="64" customFormat="1" ht="12.75" customHeight="1" x14ac:dyDescent="0.25">
      <c r="A9" s="74"/>
      <c r="B9" s="74" t="s">
        <v>23</v>
      </c>
      <c r="C9" s="75" t="s">
        <v>22</v>
      </c>
      <c r="D9" s="75" t="s">
        <v>21</v>
      </c>
      <c r="E9" s="75" t="s">
        <v>20</v>
      </c>
      <c r="F9" s="75" t="s">
        <v>19</v>
      </c>
      <c r="G9" s="75" t="s">
        <v>18</v>
      </c>
      <c r="H9" s="75" t="s">
        <v>17</v>
      </c>
      <c r="I9" s="75" t="s">
        <v>16</v>
      </c>
      <c r="J9" s="75" t="s">
        <v>15</v>
      </c>
      <c r="K9" s="74" t="s">
        <v>14</v>
      </c>
      <c r="L9" s="75" t="s">
        <v>13</v>
      </c>
      <c r="M9" s="75" t="s">
        <v>12</v>
      </c>
      <c r="N9" s="75" t="s">
        <v>11</v>
      </c>
    </row>
    <row r="10" spans="1:14" s="65" customFormat="1" ht="12.75" customHeight="1" x14ac:dyDescent="0.2">
      <c r="A10" s="66">
        <v>1</v>
      </c>
      <c r="B10" s="65" t="s">
        <v>10</v>
      </c>
      <c r="C10" s="37">
        <v>1201</v>
      </c>
      <c r="D10" s="6">
        <v>5582.5484145678956</v>
      </c>
      <c r="E10" s="6">
        <f>'Exh CTM-7 (Rate Design)'!U198</f>
        <v>8960.605161602627</v>
      </c>
      <c r="F10" s="6">
        <f>E10-D10</f>
        <v>3378.0567470347314</v>
      </c>
      <c r="G10" s="6">
        <f>'Exh CTM-7 (Rate Design)'!V198</f>
        <v>12530.748399136621</v>
      </c>
      <c r="H10" s="6">
        <v>161.80000000000001</v>
      </c>
      <c r="I10" s="6">
        <f>G10+H10</f>
        <v>12692.54839913662</v>
      </c>
      <c r="J10" s="6">
        <f>I10-SUM(D10+F10)</f>
        <v>3731.9432375339929</v>
      </c>
      <c r="K10" s="5">
        <f>IFERROR(+J10/E10,0)</f>
        <v>0.41648339260900158</v>
      </c>
      <c r="L10" s="6">
        <f>'Exh CTM-7 (Rate Design)'!W198</f>
        <v>13508.544515859659</v>
      </c>
      <c r="M10" s="6">
        <f>L10-G10</f>
        <v>977.79611672303872</v>
      </c>
      <c r="N10" s="5">
        <f>IFERROR(+M10/(H10+G10),0)</f>
        <v>7.7037020933443986E-2</v>
      </c>
    </row>
    <row r="11" spans="1:14" s="65" customFormat="1" ht="12.75" customHeight="1" x14ac:dyDescent="0.2">
      <c r="A11" s="66">
        <f>+A10+1</f>
        <v>2</v>
      </c>
      <c r="B11" s="65" t="s">
        <v>9</v>
      </c>
      <c r="C11" s="76">
        <v>139404</v>
      </c>
      <c r="D11" s="6">
        <v>961126.65880925057</v>
      </c>
      <c r="E11" s="6">
        <f>'Exh CTM-7 (Rate Design)'!U199</f>
        <v>584316.46696081269</v>
      </c>
      <c r="F11" s="6">
        <f>E11-D11</f>
        <v>-376810.19184843788</v>
      </c>
      <c r="G11" s="6">
        <f>'Exh CTM-7 (Rate Design)'!V199</f>
        <v>817123.67646035494</v>
      </c>
      <c r="H11" s="6">
        <v>10550.310000000001</v>
      </c>
      <c r="I11" s="6">
        <f>G11+H11</f>
        <v>827673.98646035499</v>
      </c>
      <c r="J11" s="6">
        <f>I11-SUM(D11+F11)</f>
        <v>243357.51949954231</v>
      </c>
      <c r="K11" s="5">
        <f>IFERROR(+J11/E11,0)</f>
        <v>0.41648239140907717</v>
      </c>
      <c r="L11" s="6">
        <f>'Exh CTM-7 (Rate Design)'!W199</f>
        <v>880885.25974938134</v>
      </c>
      <c r="M11" s="6">
        <f>L11-G11</f>
        <v>63761.583289026399</v>
      </c>
      <c r="N11" s="5">
        <f>IFERROR(+M11/(H11+G11),0)</f>
        <v>7.7037075384850856E-2</v>
      </c>
    </row>
    <row r="12" spans="1:14" s="65" customFormat="1" ht="12.75" customHeight="1" x14ac:dyDescent="0.2">
      <c r="A12" s="66">
        <f>+A11+1</f>
        <v>3</v>
      </c>
      <c r="B12" s="65" t="s">
        <v>8</v>
      </c>
      <c r="C12" s="76">
        <v>218635</v>
      </c>
      <c r="D12" s="6">
        <v>1686181.6916141075</v>
      </c>
      <c r="E12" s="6">
        <f>'Exh CTM-7 (Rate Design)'!U200</f>
        <v>1774285.8452204803</v>
      </c>
      <c r="F12" s="6">
        <f>E12-D12</f>
        <v>88104.153606372885</v>
      </c>
      <c r="G12" s="6">
        <f>'Exh CTM-7 (Rate Design)'!V200</f>
        <v>2481208.4801905109</v>
      </c>
      <c r="H12" s="6">
        <v>32036.13</v>
      </c>
      <c r="I12" s="6">
        <f>G12+H12</f>
        <v>2513244.6101905107</v>
      </c>
      <c r="J12" s="6">
        <f>I12-SUM(D12+F12)</f>
        <v>738958.7649700304</v>
      </c>
      <c r="K12" s="5">
        <f>IFERROR(+J12/E12,0)</f>
        <v>0.4164823649811647</v>
      </c>
      <c r="L12" s="6">
        <f>'Exh CTM-7 (Rate Design)'!W200</f>
        <v>2674821.4982986483</v>
      </c>
      <c r="M12" s="6">
        <f>L12-G12</f>
        <v>193613.01810813742</v>
      </c>
      <c r="N12" s="5">
        <f>IFERROR(+M12/(H12+G12),0)</f>
        <v>7.7037076822164569E-2</v>
      </c>
    </row>
    <row r="13" spans="1:14" s="65" customFormat="1" ht="12.75" customHeight="1" x14ac:dyDescent="0.2">
      <c r="A13" s="66">
        <f>+A12+1</f>
        <v>4</v>
      </c>
      <c r="B13" s="65" t="s">
        <v>7</v>
      </c>
      <c r="C13" s="76">
        <v>1015423</v>
      </c>
      <c r="D13" s="2">
        <v>10368146.66296168</v>
      </c>
      <c r="E13" s="2">
        <f>'Exh CTM-7 (Rate Design)'!U201</f>
        <v>10438645.245822975</v>
      </c>
      <c r="F13" s="6">
        <f>E13-D13</f>
        <v>70498.58286129497</v>
      </c>
      <c r="G13" s="2">
        <f>'Exh CTM-7 (Rate Design)'!V201</f>
        <v>14597678.933981361</v>
      </c>
      <c r="H13" s="2">
        <v>106831.39999999998</v>
      </c>
      <c r="I13" s="6">
        <f>G13+H13</f>
        <v>14704510.333981361</v>
      </c>
      <c r="J13" s="6">
        <f>I13-SUM(D13+F13)</f>
        <v>4265865.0881583858</v>
      </c>
      <c r="K13" s="5">
        <f>IFERROR(+J13/E13,0)</f>
        <v>0.40866079722992521</v>
      </c>
      <c r="L13" s="2">
        <f>'Exh CTM-7 (Rate Design)'!W201</f>
        <v>16018747.083947685</v>
      </c>
      <c r="M13" s="6">
        <f>L13-G13</f>
        <v>1421068.1499663237</v>
      </c>
      <c r="N13" s="5">
        <f>IFERROR(+M13/(H13+G13),0)</f>
        <v>9.6641650601741486E-2</v>
      </c>
    </row>
    <row r="14" spans="1:14" s="65" customFormat="1" ht="12.75" customHeight="1" x14ac:dyDescent="0.2">
      <c r="A14" s="66">
        <f>+A13+1</f>
        <v>5</v>
      </c>
      <c r="B14" s="65" t="s">
        <v>6</v>
      </c>
      <c r="C14" s="76">
        <v>122716</v>
      </c>
      <c r="D14" s="2">
        <v>501467.01361316326</v>
      </c>
      <c r="E14" s="2">
        <f>'Exh CTM-7 (Rate Design)'!U202</f>
        <v>860777.04503262299</v>
      </c>
      <c r="F14" s="6">
        <f>E14-D14</f>
        <v>359310.03141945973</v>
      </c>
      <c r="G14" s="2">
        <f>'Exh CTM-7 (Rate Design)'!V202</f>
        <v>1203733.4961790636</v>
      </c>
      <c r="H14" s="2">
        <v>15542.000000000002</v>
      </c>
      <c r="I14" s="6">
        <f>G14+H14</f>
        <v>1219275.4961790636</v>
      </c>
      <c r="J14" s="6">
        <f>I14-SUM(D14+F14)</f>
        <v>358498.45114644058</v>
      </c>
      <c r="K14" s="5">
        <f>IFERROR(+J14/E14,0)</f>
        <v>0.41648235535004735</v>
      </c>
      <c r="L14" s="2">
        <f>'Exh CTM-7 (Rate Design)'!W202</f>
        <v>1297662.9168842488</v>
      </c>
      <c r="M14" s="2">
        <f>L14-G14</f>
        <v>93929.420705185272</v>
      </c>
      <c r="N14" s="5">
        <f>IFERROR(+M14/(H14+G14),0)</f>
        <v>7.70370773459641E-2</v>
      </c>
    </row>
    <row r="15" spans="1:14" s="65" customFormat="1" ht="12.75" customHeight="1" x14ac:dyDescent="0.2">
      <c r="A15" s="66">
        <f>+A14+1</f>
        <v>6</v>
      </c>
      <c r="B15" s="65" t="s">
        <v>5</v>
      </c>
      <c r="C15" s="76">
        <v>73316</v>
      </c>
      <c r="D15" s="2">
        <v>916487.82235528145</v>
      </c>
      <c r="E15" s="2">
        <f>'Exh CTM-7 (Rate Design)'!U203</f>
        <v>870345.44043040415</v>
      </c>
      <c r="F15" s="6">
        <f>E15-D15</f>
        <v>-46142.381924877292</v>
      </c>
      <c r="G15" s="2">
        <f>'Exh CTM-7 (Rate Design)'!V203</f>
        <v>1217114.1945973842</v>
      </c>
      <c r="H15" s="2">
        <v>9338.0499999999993</v>
      </c>
      <c r="I15" s="6">
        <f>G15+H15</f>
        <v>1226452.2445973842</v>
      </c>
      <c r="J15" s="6">
        <f>I15-SUM(D15+F15)</f>
        <v>356106.80416698009</v>
      </c>
      <c r="K15" s="5">
        <f>IFERROR(+J15/E15,0)</f>
        <v>0.40915570717631122</v>
      </c>
      <c r="L15" s="2">
        <f>'Exh CTM-7 (Rate Design)'!W203</f>
        <v>1334111.3126935302</v>
      </c>
      <c r="M15" s="2">
        <f>L15-G15</f>
        <v>116997.11809614603</v>
      </c>
      <c r="N15" s="5">
        <f>IFERROR(+M15/(H15+G15),0)</f>
        <v>9.5394760465829204E-2</v>
      </c>
    </row>
    <row r="16" spans="1:14" s="65" customFormat="1" ht="12.75" customHeight="1" x14ac:dyDescent="0.2">
      <c r="A16" s="66">
        <f>+A15+1</f>
        <v>7</v>
      </c>
      <c r="B16" s="65" t="s">
        <v>4</v>
      </c>
      <c r="C16" s="65">
        <v>1</v>
      </c>
      <c r="D16" s="2">
        <v>364448.92251543474</v>
      </c>
      <c r="E16" s="2">
        <f>'Exh CTM-7 (Rate Design)'!U204</f>
        <v>270373.39087686088</v>
      </c>
      <c r="F16" s="6">
        <f>E16-D16</f>
        <v>-94075.531638573855</v>
      </c>
      <c r="G16" s="2">
        <f>'Exh CTM-7 (Rate Design)'!V204</f>
        <v>378097.33536941331</v>
      </c>
      <c r="H16" s="2">
        <v>142455.25</v>
      </c>
      <c r="I16" s="6">
        <f>G16+H16</f>
        <v>520552.58536941331</v>
      </c>
      <c r="J16" s="6">
        <f>I16-SUM(D16+F16)</f>
        <v>250179.19449255243</v>
      </c>
      <c r="K16" s="5">
        <f>IFERROR(+J16/E16,0)</f>
        <v>0.92530997107808688</v>
      </c>
      <c r="L16" s="2">
        <f>'Exh CTM-7 (Rate Design)'!W204</f>
        <v>424461.40592454612</v>
      </c>
      <c r="M16" s="2">
        <f>L16-G16</f>
        <v>46364.070555132814</v>
      </c>
      <c r="N16" s="5">
        <f>IFERROR(+M16/(H16+G16),0)</f>
        <v>8.9067025807258782E-2</v>
      </c>
    </row>
    <row r="17" spans="1:14" s="65" customFormat="1" ht="12.75" customHeight="1" x14ac:dyDescent="0.2">
      <c r="A17" s="66">
        <f>+A16+1</f>
        <v>8</v>
      </c>
      <c r="B17" s="65" t="s">
        <v>3</v>
      </c>
      <c r="C17" s="76">
        <v>17762</v>
      </c>
      <c r="D17" s="2">
        <v>372620.62188282044</v>
      </c>
      <c r="E17" s="2">
        <f>'Exh CTM-7 (Rate Design)'!U205</f>
        <v>404250.08699427871</v>
      </c>
      <c r="F17" s="6">
        <f>E17-D17</f>
        <v>31629.465111458267</v>
      </c>
      <c r="G17" s="2">
        <f>'Exh CTM-7 (Rate Design)'!V205</f>
        <v>565314.06518847309</v>
      </c>
      <c r="H17" s="2">
        <v>5719.9299999999985</v>
      </c>
      <c r="I17" s="6">
        <f>G17+H17</f>
        <v>571033.99518847314</v>
      </c>
      <c r="J17" s="6">
        <f>I17-SUM(D17+F17)</f>
        <v>166783.90819419443</v>
      </c>
      <c r="K17" s="5">
        <f>IFERROR(+J17/E17,0)</f>
        <v>0.41257606011734738</v>
      </c>
      <c r="L17" s="2">
        <f>'Exh CTM-7 (Rate Design)'!W205</f>
        <v>614880.52393984399</v>
      </c>
      <c r="M17" s="2">
        <f>L17-G17</f>
        <v>49566.458751370898</v>
      </c>
      <c r="N17" s="5">
        <f>IFERROR(+M17/(H17+G17),0)</f>
        <v>8.6801239801863633E-2</v>
      </c>
    </row>
    <row r="18" spans="1:14" s="65" customFormat="1" ht="12.75" customHeight="1" x14ac:dyDescent="0.2">
      <c r="A18" s="66">
        <f>+A17+1</f>
        <v>9</v>
      </c>
      <c r="B18" s="77" t="s">
        <v>2</v>
      </c>
      <c r="C18" s="38">
        <v>12921</v>
      </c>
      <c r="D18" s="2">
        <v>82955.259318585682</v>
      </c>
      <c r="E18" s="2">
        <f>'Exh CTM-7 (Rate Design)'!U206</f>
        <v>47068.873499969806</v>
      </c>
      <c r="F18" s="6">
        <f>E18-D18</f>
        <v>-35886.385818615876</v>
      </c>
      <c r="G18" s="2">
        <f>'Exh CTM-7 (Rate Design)'!V206</f>
        <v>65822.363626322534</v>
      </c>
      <c r="H18" s="2">
        <v>0</v>
      </c>
      <c r="I18" s="6">
        <f>G18+H18</f>
        <v>65822.363626322534</v>
      </c>
      <c r="J18" s="6">
        <f>I18-SUM(D18+F18)</f>
        <v>18753.490126352728</v>
      </c>
      <c r="K18" s="5">
        <f>IFERROR(+J18/E18,0)</f>
        <v>0.3984265764585328</v>
      </c>
      <c r="L18" s="2">
        <f>'Exh CTM-7 (Rate Design)'!W206</f>
        <v>73762.823864705046</v>
      </c>
      <c r="M18" s="2">
        <f>L18-G18</f>
        <v>7940.4602383825113</v>
      </c>
      <c r="N18" s="5">
        <f>IFERROR(+M18/(H18+G18),0)</f>
        <v>0.12063468707172194</v>
      </c>
    </row>
    <row r="19" spans="1:14" s="65" customFormat="1" ht="12.75" customHeight="1" thickBot="1" x14ac:dyDescent="0.25">
      <c r="A19" s="66">
        <f>+A18+1</f>
        <v>10</v>
      </c>
      <c r="B19" s="65" t="s">
        <v>1</v>
      </c>
      <c r="C19" s="78">
        <f>SUM(C10:C18)</f>
        <v>1601379</v>
      </c>
      <c r="D19" s="4">
        <f>SUM(D10:D18)</f>
        <v>15259017.201484893</v>
      </c>
      <c r="E19" s="4">
        <f>SUM(E10:E18)</f>
        <v>15259023.000000007</v>
      </c>
      <c r="F19" s="78">
        <f>SUM(F10:F18)</f>
        <v>5.7985151156608481</v>
      </c>
      <c r="G19" s="4">
        <f>SUM(G10:G18)</f>
        <v>21338623.29399202</v>
      </c>
      <c r="H19" s="78">
        <f>SUM(H10:H18)</f>
        <v>322634.86999999994</v>
      </c>
      <c r="I19" s="4">
        <f>SUM(I10:I18)</f>
        <v>21661258.163992018</v>
      </c>
      <c r="J19" s="4">
        <f>SUM(J10:J18)</f>
        <v>6402235.1639920129</v>
      </c>
      <c r="K19" s="79">
        <f>+J19/E19</f>
        <v>0.41957045113517488</v>
      </c>
      <c r="L19" s="4">
        <f>SUM(L10:L18)</f>
        <v>23332841.369818449</v>
      </c>
      <c r="M19" s="4">
        <f>SUM(M10:M18)</f>
        <v>1994218.0758264281</v>
      </c>
      <c r="N19" s="3">
        <f>IFERROR(+M19/(H19+G19),0)</f>
        <v>9.2063815533183574E-2</v>
      </c>
    </row>
    <row r="20" spans="1:14" s="65" customFormat="1" ht="12.75" customHeight="1" thickTop="1" x14ac:dyDescent="0.2">
      <c r="B20" s="80"/>
      <c r="C20" s="76"/>
      <c r="D20" s="76"/>
      <c r="E20" s="81"/>
      <c r="F20" s="81"/>
      <c r="G20" s="81"/>
      <c r="H20" s="2"/>
      <c r="I20" s="2"/>
      <c r="J20" s="82"/>
      <c r="K20" s="83"/>
      <c r="L20" s="2"/>
      <c r="M20" s="1"/>
    </row>
    <row r="21" spans="1:14" s="65" customFormat="1" ht="12.75" customHeight="1" x14ac:dyDescent="0.2">
      <c r="B21" s="65" t="s">
        <v>0</v>
      </c>
      <c r="D21" s="82">
        <v>0</v>
      </c>
      <c r="G21" s="82">
        <v>0</v>
      </c>
      <c r="J21" s="82"/>
      <c r="L21" s="82">
        <v>0</v>
      </c>
    </row>
    <row r="22" spans="1:14" s="65" customFormat="1" ht="12.75" customHeight="1" x14ac:dyDescent="0.2">
      <c r="H22" s="82"/>
      <c r="I22" s="82"/>
    </row>
    <row r="23" spans="1:14" s="65" customFormat="1" ht="12.75" customHeight="1" x14ac:dyDescent="0.2">
      <c r="G23" s="84"/>
    </row>
  </sheetData>
  <printOptions horizontalCentered="1"/>
  <pageMargins left="0.25" right="0.25" top="1" bottom="1" header="0.5" footer="0.5"/>
  <pageSetup fitToWidth="0" fitToHeight="0" orientation="landscape" r:id="rId1"/>
  <headerFooter alignWithMargins="0">
    <oddFooter>&amp;R&amp;"Times New Roman,Regular"&amp;F
&amp;A
&amp;P of &amp;N</oddFooter>
  </headerFooter>
  <customProperties>
    <customPr name="_pios_id" r:id="rId2"/>
    <customPr name="EpmWorksheetKeyString_GUID" r:id="rId3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C3E3FE-73F6-4E9F-895E-F5BB7B9543BC}">
  <sheetPr>
    <tabColor theme="6" tint="0.79998168889431442"/>
  </sheetPr>
  <dimension ref="A1:DNZ229"/>
  <sheetViews>
    <sheetView zoomScaleNormal="100" workbookViewId="0">
      <pane ySplit="7" topLeftCell="A8" activePane="bottomLeft" state="frozen"/>
      <selection activeCell="H13" sqref="H13"/>
      <selection pane="bottomLeft" activeCell="H13" sqref="H13"/>
    </sheetView>
  </sheetViews>
  <sheetFormatPr defaultColWidth="9.140625" defaultRowHeight="11.25" x14ac:dyDescent="0.2"/>
  <cols>
    <col min="1" max="1" width="3.85546875" style="65" bestFit="1" customWidth="1"/>
    <col min="2" max="2" width="7.42578125" style="65" bestFit="1" customWidth="1"/>
    <col min="3" max="3" width="12" style="65" bestFit="1" customWidth="1"/>
    <col min="4" max="4" width="7.7109375" style="80" bestFit="1" customWidth="1"/>
    <col min="5" max="5" width="8" style="80" bestFit="1" customWidth="1"/>
    <col min="6" max="6" width="8" style="65" bestFit="1" customWidth="1"/>
    <col min="7" max="7" width="9" style="65" bestFit="1" customWidth="1"/>
    <col min="8" max="8" width="9" style="183" bestFit="1" customWidth="1"/>
    <col min="9" max="9" width="12" style="65" bestFit="1" customWidth="1"/>
    <col min="10" max="10" width="9.85546875" style="184" bestFit="1" customWidth="1"/>
    <col min="11" max="11" width="11.5703125" style="184" bestFit="1" customWidth="1"/>
    <col min="12" max="12" width="13.85546875" style="184" bestFit="1" customWidth="1"/>
    <col min="13" max="13" width="10.28515625" style="65" bestFit="1" customWidth="1"/>
    <col min="14" max="14" width="9.42578125" style="65" bestFit="1" customWidth="1"/>
    <col min="15" max="15" width="9" style="65" bestFit="1" customWidth="1"/>
    <col min="16" max="16" width="8.42578125" style="216" bestFit="1" customWidth="1"/>
    <col min="17" max="17" width="8.28515625" style="84" bestFit="1" customWidth="1"/>
    <col min="18" max="18" width="16" style="185" bestFit="1" customWidth="1"/>
    <col min="19" max="19" width="9.42578125" style="185" bestFit="1" customWidth="1"/>
    <col min="20" max="20" width="15.42578125" style="185" bestFit="1" customWidth="1"/>
    <col min="21" max="21" width="13.85546875" style="185" bestFit="1" customWidth="1"/>
    <col min="22" max="23" width="13.85546875" style="84" bestFit="1" customWidth="1"/>
    <col min="24" max="16384" width="9.140625" style="65"/>
  </cols>
  <sheetData>
    <row r="1" spans="1:27" x14ac:dyDescent="0.2">
      <c r="A1" s="62" t="str">
        <f>'Exh CTM-7 (Lighting Summary)'!A1:J1</f>
        <v>PUGET SOUND ENERGY</v>
      </c>
      <c r="B1" s="85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2"/>
      <c r="O1" s="182"/>
      <c r="P1" s="182"/>
      <c r="Q1" s="182"/>
      <c r="R1" s="89"/>
      <c r="S1" s="89"/>
      <c r="T1" s="89"/>
      <c r="U1" s="89"/>
      <c r="V1" s="182"/>
      <c r="W1" s="182"/>
    </row>
    <row r="2" spans="1:27" x14ac:dyDescent="0.2">
      <c r="A2" s="62" t="s">
        <v>95</v>
      </c>
      <c r="B2" s="85"/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2"/>
      <c r="P2" s="182"/>
      <c r="Q2" s="182"/>
      <c r="R2" s="89"/>
      <c r="S2" s="89"/>
      <c r="T2" s="89"/>
      <c r="U2" s="89"/>
      <c r="V2" s="182"/>
      <c r="W2" s="182"/>
    </row>
    <row r="3" spans="1:27" x14ac:dyDescent="0.2">
      <c r="A3" s="62" t="str">
        <f>'Exh CTM-7 (Lighting Summary)'!A3:J3</f>
        <v>2024 General Rate Case Docket No. UE-240004 and UG-240005</v>
      </c>
      <c r="B3" s="85"/>
      <c r="C3" s="182"/>
      <c r="D3" s="182"/>
      <c r="E3" s="182"/>
      <c r="F3" s="182"/>
      <c r="G3" s="182"/>
      <c r="H3" s="182"/>
      <c r="I3" s="182"/>
      <c r="J3" s="182"/>
      <c r="K3" s="182"/>
      <c r="L3" s="182"/>
      <c r="M3" s="182"/>
      <c r="N3" s="182"/>
      <c r="O3" s="182"/>
      <c r="P3" s="182"/>
      <c r="Q3" s="182"/>
      <c r="R3" s="89"/>
      <c r="S3" s="89"/>
      <c r="T3" s="89"/>
      <c r="U3" s="89"/>
      <c r="V3" s="182"/>
      <c r="W3" s="182"/>
    </row>
    <row r="4" spans="1:27" x14ac:dyDescent="0.2">
      <c r="A4" s="62" t="s">
        <v>94</v>
      </c>
      <c r="B4" s="85"/>
      <c r="C4" s="182"/>
      <c r="D4" s="182"/>
      <c r="E4" s="182"/>
      <c r="F4" s="182"/>
      <c r="G4" s="182"/>
      <c r="H4" s="182"/>
      <c r="I4" s="182"/>
      <c r="J4" s="182"/>
      <c r="K4" s="182"/>
      <c r="L4" s="182"/>
      <c r="M4" s="182"/>
      <c r="N4" s="182"/>
      <c r="O4" s="182"/>
      <c r="P4" s="182"/>
      <c r="Q4" s="182"/>
      <c r="R4" s="89"/>
      <c r="S4" s="89"/>
      <c r="T4" s="89"/>
      <c r="U4" s="89"/>
      <c r="V4" s="182"/>
      <c r="W4" s="182"/>
    </row>
    <row r="5" spans="1:27" ht="12" thickBot="1" x14ac:dyDescent="0.25">
      <c r="P5" s="84"/>
      <c r="T5" s="65"/>
      <c r="U5" s="184"/>
    </row>
    <row r="6" spans="1:27" s="88" customFormat="1" ht="33.75" x14ac:dyDescent="0.2">
      <c r="A6" s="173" t="s">
        <v>36</v>
      </c>
      <c r="B6" s="173" t="s">
        <v>93</v>
      </c>
      <c r="C6" s="173" t="s">
        <v>92</v>
      </c>
      <c r="D6" s="173" t="s">
        <v>91</v>
      </c>
      <c r="E6" s="173" t="s">
        <v>90</v>
      </c>
      <c r="F6" s="173" t="s">
        <v>89</v>
      </c>
      <c r="G6" s="173" t="s">
        <v>88</v>
      </c>
      <c r="H6" s="186" t="s">
        <v>87</v>
      </c>
      <c r="I6" s="187" t="s">
        <v>86</v>
      </c>
      <c r="J6" s="187" t="s">
        <v>85</v>
      </c>
      <c r="K6" s="187" t="s">
        <v>84</v>
      </c>
      <c r="L6" s="187" t="s">
        <v>83</v>
      </c>
      <c r="M6" s="187" t="s">
        <v>82</v>
      </c>
      <c r="N6" s="187" t="s">
        <v>81</v>
      </c>
      <c r="O6" s="188" t="s">
        <v>80</v>
      </c>
      <c r="P6" s="186" t="s">
        <v>79</v>
      </c>
      <c r="Q6" s="186" t="s">
        <v>78</v>
      </c>
      <c r="R6" s="189" t="s">
        <v>77</v>
      </c>
      <c r="S6" s="188" t="s">
        <v>76</v>
      </c>
      <c r="T6" s="189" t="s">
        <v>75</v>
      </c>
      <c r="U6" s="190" t="s">
        <v>74</v>
      </c>
      <c r="V6" s="190" t="s">
        <v>73</v>
      </c>
      <c r="W6" s="190" t="s">
        <v>72</v>
      </c>
    </row>
    <row r="7" spans="1:27" s="191" customFormat="1" x14ac:dyDescent="0.25">
      <c r="A7" s="104"/>
      <c r="B7" s="104" t="s">
        <v>23</v>
      </c>
      <c r="C7" s="104" t="s">
        <v>22</v>
      </c>
      <c r="D7" s="104" t="s">
        <v>21</v>
      </c>
      <c r="E7" s="104" t="s">
        <v>20</v>
      </c>
      <c r="F7" s="104" t="s">
        <v>19</v>
      </c>
      <c r="G7" s="104" t="s">
        <v>18</v>
      </c>
      <c r="H7" s="104" t="s">
        <v>17</v>
      </c>
      <c r="I7" s="104" t="s">
        <v>16</v>
      </c>
      <c r="J7" s="104" t="s">
        <v>15</v>
      </c>
      <c r="K7" s="104" t="s">
        <v>14</v>
      </c>
      <c r="L7" s="104" t="s">
        <v>13</v>
      </c>
      <c r="M7" s="104" t="s">
        <v>12</v>
      </c>
      <c r="N7" s="104" t="s">
        <v>11</v>
      </c>
      <c r="O7" s="104" t="s">
        <v>71</v>
      </c>
      <c r="P7" s="104" t="s">
        <v>70</v>
      </c>
      <c r="Q7" s="104" t="s">
        <v>69</v>
      </c>
      <c r="R7" s="104" t="s">
        <v>68</v>
      </c>
      <c r="S7" s="104" t="s">
        <v>67</v>
      </c>
      <c r="T7" s="104" t="s">
        <v>66</v>
      </c>
      <c r="U7" s="104" t="s">
        <v>65</v>
      </c>
      <c r="V7" s="104" t="s">
        <v>64</v>
      </c>
      <c r="W7" s="104" t="s">
        <v>63</v>
      </c>
    </row>
    <row r="8" spans="1:27" x14ac:dyDescent="0.2">
      <c r="A8" s="66">
        <v>1</v>
      </c>
      <c r="B8" s="192"/>
      <c r="C8" s="193"/>
      <c r="D8" s="194"/>
      <c r="E8" s="194"/>
      <c r="F8" s="193"/>
      <c r="G8" s="193"/>
      <c r="H8" s="195"/>
      <c r="I8" s="196"/>
      <c r="J8" s="197"/>
      <c r="K8" s="197"/>
      <c r="L8" s="197"/>
      <c r="M8" s="87" t="s">
        <v>62</v>
      </c>
      <c r="N8" s="118">
        <v>2.9000770416145166E-2</v>
      </c>
      <c r="O8" s="198"/>
      <c r="P8" s="168"/>
      <c r="Q8" s="168"/>
      <c r="R8" s="87" t="s">
        <v>62</v>
      </c>
      <c r="S8" s="118">
        <v>-1.0232563648216078E-2</v>
      </c>
      <c r="T8" s="199"/>
      <c r="X8" s="88"/>
      <c r="Y8" s="88"/>
      <c r="Z8" s="88"/>
      <c r="AA8" s="88"/>
    </row>
    <row r="9" spans="1:27" x14ac:dyDescent="0.2">
      <c r="A9" s="66">
        <f>A8+1</f>
        <v>2</v>
      </c>
      <c r="B9" s="48">
        <v>3</v>
      </c>
      <c r="C9" s="107" t="s">
        <v>223</v>
      </c>
      <c r="D9" s="49">
        <v>22</v>
      </c>
      <c r="E9" s="107" t="str">
        <f>'Exh CTM-7 (Tariff Rates Y1)'!$G$11</f>
        <v>per lamp</v>
      </c>
      <c r="F9" s="107" t="s">
        <v>214</v>
      </c>
      <c r="G9" s="200">
        <v>708</v>
      </c>
      <c r="H9" s="183">
        <f>VLOOKUP(J9, 'Exh CTM-7 (Unitized Costs)'!$C$27:$D$34, 2, FALSE)</f>
        <v>1426.7</v>
      </c>
      <c r="I9" s="201">
        <f>IFERROR(IF(F9="Company",H9*G9/12, 0), 0)</f>
        <v>0</v>
      </c>
      <c r="J9" s="184">
        <v>30</v>
      </c>
      <c r="K9" s="201">
        <v>7.4297601011292338</v>
      </c>
      <c r="L9" s="14">
        <f>K9*G9</f>
        <v>5260.2701515994977</v>
      </c>
      <c r="M9" s="118">
        <f>IF(F9="Company", 'Exh CTM-7 (Unitized Costs)'!$D$18*H9/K9, 0)</f>
        <v>0</v>
      </c>
      <c r="N9" s="118">
        <f>IFERROR('Exh CTM-7 (Unitized Costs)'!$D$43+'Exh CTM-7 (Unitized Costs)'!D$58+'Exh CTM-7 (Unitized Costs)'!D$59,0)+$N$8</f>
        <v>0.2294659292840994</v>
      </c>
      <c r="O9" s="202">
        <f>SUM(M9:N9)</f>
        <v>0.2294659292840994</v>
      </c>
      <c r="P9" s="84">
        <f>K9*M9</f>
        <v>0</v>
      </c>
      <c r="Q9" s="84">
        <f>K9*N9</f>
        <v>1.704876805963544</v>
      </c>
      <c r="R9" s="199">
        <f>SUM(P9:Q9)</f>
        <v>1.704876805963544</v>
      </c>
      <c r="S9" s="13">
        <v>0.24737155530318816</v>
      </c>
      <c r="T9" s="199">
        <f>S9*K9</f>
        <v>1.8379113117459112</v>
      </c>
      <c r="U9" s="82">
        <f>($U$192*(V9/$V$192))</f>
        <v>863.1506286722672</v>
      </c>
      <c r="V9" s="82">
        <f>IF(E9="per lamp", R9*G9, O9*L9)</f>
        <v>1207.0527786221892</v>
      </c>
      <c r="W9" s="82">
        <f>IF(E9="per lamp", T9*G9, S9*L9)</f>
        <v>1301.2412087161051</v>
      </c>
      <c r="Z9" s="184"/>
    </row>
    <row r="10" spans="1:27" x14ac:dyDescent="0.2">
      <c r="A10" s="66">
        <f>A9+1</f>
        <v>3</v>
      </c>
      <c r="B10" s="48">
        <v>50</v>
      </c>
      <c r="C10" s="107" t="s">
        <v>224</v>
      </c>
      <c r="D10" s="49">
        <v>100</v>
      </c>
      <c r="E10" s="107" t="str">
        <f>'Exh CTM-7 (Tariff Rates Y1)'!$G$11</f>
        <v>per lamp</v>
      </c>
      <c r="F10" s="107" t="s">
        <v>214</v>
      </c>
      <c r="G10" s="200">
        <v>36</v>
      </c>
      <c r="H10" s="183">
        <f>VLOOKUP(J10, 'Exh CTM-7 (Unitized Costs)'!$C$27:$D$34, 2, FALSE)</f>
        <v>1456.9933333333331</v>
      </c>
      <c r="I10" s="201">
        <f>IFERROR(IF(F10="Company",H10*G10/12, 0), 0)</f>
        <v>0</v>
      </c>
      <c r="J10" s="184">
        <v>150</v>
      </c>
      <c r="K10" s="201">
        <v>39.674794170929992</v>
      </c>
      <c r="L10" s="14">
        <f>K10*G10</f>
        <v>1428.2925901534798</v>
      </c>
      <c r="M10" s="118">
        <f>IF(F10="Company", 'Exh CTM-7 (Unitized Costs)'!$D$18*H10/K10, 0)</f>
        <v>0</v>
      </c>
      <c r="N10" s="118">
        <f>$N$9</f>
        <v>0.2294659292840994</v>
      </c>
      <c r="O10" s="202">
        <f>SUM(M10:N10)</f>
        <v>0.2294659292840994</v>
      </c>
      <c r="P10" s="84">
        <f>K10*M10</f>
        <v>0</v>
      </c>
      <c r="Q10" s="84">
        <f>K10*N10</f>
        <v>9.1040135135878213</v>
      </c>
      <c r="R10" s="199">
        <f>SUM(P10:Q10)</f>
        <v>9.1040135135878213</v>
      </c>
      <c r="S10" s="13">
        <v>0.24737155530318816</v>
      </c>
      <c r="T10" s="199">
        <f>S10*K10</f>
        <v>9.8144155403968156</v>
      </c>
      <c r="U10" s="82">
        <f>($U$192*(V10/$V$192))</f>
        <v>234.36660315707326</v>
      </c>
      <c r="V10" s="82">
        <f>IF(E10="per lamp", R10*G10, O10*L10)</f>
        <v>327.74448648916155</v>
      </c>
      <c r="W10" s="82">
        <f>IF(E10="per lamp", T10*G10, S10*L10)</f>
        <v>353.31895945428539</v>
      </c>
      <c r="Z10" s="184"/>
    </row>
    <row r="11" spans="1:27" x14ac:dyDescent="0.2">
      <c r="A11" s="66">
        <f>A10+1</f>
        <v>4</v>
      </c>
      <c r="B11" s="48">
        <v>50</v>
      </c>
      <c r="C11" s="107" t="s">
        <v>225</v>
      </c>
      <c r="D11" s="49">
        <v>175</v>
      </c>
      <c r="E11" s="107" t="str">
        <f>'Exh CTM-7 (Tariff Rates Y1)'!$G$11</f>
        <v>per lamp</v>
      </c>
      <c r="F11" s="107" t="s">
        <v>214</v>
      </c>
      <c r="G11" s="200">
        <v>229</v>
      </c>
      <c r="H11" s="183">
        <f>VLOOKUP(J11, 'Exh CTM-7 (Unitized Costs)'!$C$27:$D$34, 2, FALSE)</f>
        <v>1576.8033333333335</v>
      </c>
      <c r="I11" s="201">
        <f>IFERROR(IF(F11="Company",H11*G11/12, 0), 0)</f>
        <v>0</v>
      </c>
      <c r="J11" s="184">
        <v>240</v>
      </c>
      <c r="K11" s="201">
        <v>69.495762573691295</v>
      </c>
      <c r="L11" s="14">
        <f>K11*G11</f>
        <v>15914.529629375307</v>
      </c>
      <c r="M11" s="118">
        <f>IF(F11="Company", 'Exh CTM-7 (Unitized Costs)'!$D$18*H11/K11, 0)</f>
        <v>0</v>
      </c>
      <c r="N11" s="118">
        <f>$N$9</f>
        <v>0.2294659292840994</v>
      </c>
      <c r="O11" s="202">
        <f>SUM(M11:N11)</f>
        <v>0.2294659292840994</v>
      </c>
      <c r="P11" s="84">
        <f>K11*M11</f>
        <v>0</v>
      </c>
      <c r="Q11" s="84">
        <f>K11*N11</f>
        <v>15.946909740279208</v>
      </c>
      <c r="R11" s="199">
        <f>SUM(P11:Q11)</f>
        <v>15.946909740279208</v>
      </c>
      <c r="S11" s="13">
        <v>0.24737155530318816</v>
      </c>
      <c r="T11" s="199">
        <f>S11*K11</f>
        <v>17.191274874835109</v>
      </c>
      <c r="U11" s="82">
        <f>($U$192*(V11/$V$192))</f>
        <v>2611.3936848741132</v>
      </c>
      <c r="V11" s="82">
        <f>IF(E11="per lamp", R11*G11, O11*L11)</f>
        <v>3651.8423305239389</v>
      </c>
      <c r="W11" s="82">
        <f>IF(E11="per lamp", T11*G11, S11*L11)</f>
        <v>3936.8019463372402</v>
      </c>
      <c r="Z11" s="184"/>
    </row>
    <row r="12" spans="1:27" x14ac:dyDescent="0.2">
      <c r="A12" s="66">
        <f>A11+1</f>
        <v>5</v>
      </c>
      <c r="B12" s="48">
        <v>50</v>
      </c>
      <c r="C12" s="107" t="s">
        <v>226</v>
      </c>
      <c r="D12" s="49">
        <v>400</v>
      </c>
      <c r="E12" s="107" t="str">
        <f>'Exh CTM-7 (Tariff Rates Y1)'!$G$11</f>
        <v>per lamp</v>
      </c>
      <c r="F12" s="107" t="s">
        <v>214</v>
      </c>
      <c r="G12" s="200">
        <v>216</v>
      </c>
      <c r="H12" s="183">
        <f>VLOOKUP(J12, 'Exh CTM-7 (Unitized Costs)'!$C$27:$D$34, 2, FALSE)</f>
        <v>1388.9766666666667</v>
      </c>
      <c r="I12" s="201">
        <f>IFERROR(IF(F12="Company",H12*G12/12, 0), 0)</f>
        <v>0</v>
      </c>
      <c r="J12" s="184">
        <v>600</v>
      </c>
      <c r="K12" s="201">
        <v>144.31146442180207</v>
      </c>
      <c r="L12" s="14">
        <f>K12*G12</f>
        <v>31171.276315109248</v>
      </c>
      <c r="M12" s="118">
        <f>IF(F12="Company", 'Exh CTM-7 (Unitized Costs)'!$D$18*H12/K12, 0)</f>
        <v>0</v>
      </c>
      <c r="N12" s="118">
        <f>$N$9</f>
        <v>0.2294659292840994</v>
      </c>
      <c r="O12" s="202">
        <f>SUM(M12:N12)</f>
        <v>0.2294659292840994</v>
      </c>
      <c r="P12" s="84">
        <f>K12*M12</f>
        <v>0</v>
      </c>
      <c r="Q12" s="84">
        <f>K12*N12</f>
        <v>33.114564289898063</v>
      </c>
      <c r="R12" s="199">
        <f>SUM(P12:Q12)</f>
        <v>33.114564289898063</v>
      </c>
      <c r="S12" s="13">
        <v>0.24737155530318816</v>
      </c>
      <c r="T12" s="199">
        <f>S12*K12</f>
        <v>35.698551402101884</v>
      </c>
      <c r="U12" s="82">
        <f>($U$192*(V12/$V$192))</f>
        <v>5114.852654425421</v>
      </c>
      <c r="V12" s="82">
        <f>IF(E12="per lamp", R12*G12, O12*L12)</f>
        <v>7152.7458866179813</v>
      </c>
      <c r="W12" s="82">
        <f>IF(E12="per lamp", T12*G12, S12*L12)</f>
        <v>7710.887102854007</v>
      </c>
      <c r="Z12" s="184"/>
    </row>
    <row r="13" spans="1:27" x14ac:dyDescent="0.2">
      <c r="A13" s="66">
        <f>A12+1</f>
        <v>6</v>
      </c>
      <c r="B13" s="48">
        <v>50</v>
      </c>
      <c r="C13" s="107" t="s">
        <v>224</v>
      </c>
      <c r="D13" s="49">
        <v>100</v>
      </c>
      <c r="E13" s="107" t="str">
        <f>'Exh CTM-7 (Tariff Rates Y1)'!$G$11</f>
        <v>per lamp</v>
      </c>
      <c r="F13" s="107" t="s">
        <v>214</v>
      </c>
      <c r="G13" s="200">
        <v>0</v>
      </c>
      <c r="H13" s="183">
        <f>VLOOKUP(J13, 'Exh CTM-7 (Unitized Costs)'!$C$27:$D$34, 2, FALSE)</f>
        <v>1456.9933333333331</v>
      </c>
      <c r="I13" s="201">
        <f>IFERROR(IF(F13="Company",H13*G13/12, 0), 0)</f>
        <v>0</v>
      </c>
      <c r="J13" s="184">
        <v>150</v>
      </c>
      <c r="K13" s="201">
        <v>39.674794170929992</v>
      </c>
      <c r="L13" s="14">
        <f>K13*G13</f>
        <v>0</v>
      </c>
      <c r="M13" s="118">
        <f>IF(F13="Company", 'Exh CTM-7 (Unitized Costs)'!$D$18*H13/K13, 0)</f>
        <v>0</v>
      </c>
      <c r="N13" s="118">
        <f>$N$9</f>
        <v>0.2294659292840994</v>
      </c>
      <c r="O13" s="202">
        <f>SUM(M13:N13)</f>
        <v>0.2294659292840994</v>
      </c>
      <c r="P13" s="84">
        <f>K13*M13</f>
        <v>0</v>
      </c>
      <c r="Q13" s="84">
        <f>K13*N13</f>
        <v>9.1040135135878213</v>
      </c>
      <c r="R13" s="199">
        <f>SUM(P13:Q13)</f>
        <v>9.1040135135878213</v>
      </c>
      <c r="S13" s="13">
        <v>0.24737155530318816</v>
      </c>
      <c r="T13" s="199">
        <f>S13*K13</f>
        <v>9.8144155403968156</v>
      </c>
      <c r="U13" s="82">
        <f>($U$192*(V13/$V$192))</f>
        <v>0</v>
      </c>
      <c r="V13" s="82">
        <f>IF(E13="per lamp", R13*G13, O13*L13)</f>
        <v>0</v>
      </c>
      <c r="W13" s="82">
        <f>IF(E13="per lamp", T13*G13, S13*L13)</f>
        <v>0</v>
      </c>
      <c r="Z13" s="184"/>
    </row>
    <row r="14" spans="1:27" x14ac:dyDescent="0.2">
      <c r="A14" s="66">
        <f>A13+1</f>
        <v>7</v>
      </c>
      <c r="B14" s="48">
        <v>50</v>
      </c>
      <c r="C14" s="107" t="s">
        <v>225</v>
      </c>
      <c r="D14" s="49">
        <v>175</v>
      </c>
      <c r="E14" s="107" t="str">
        <f>'Exh CTM-7 (Tariff Rates Y1)'!$G$11</f>
        <v>per lamp</v>
      </c>
      <c r="F14" s="107" t="s">
        <v>214</v>
      </c>
      <c r="G14" s="200">
        <v>12</v>
      </c>
      <c r="H14" s="183">
        <f>VLOOKUP(J14, 'Exh CTM-7 (Unitized Costs)'!$C$27:$D$34, 2, FALSE)</f>
        <v>1576.8033333333335</v>
      </c>
      <c r="I14" s="201">
        <f>IFERROR(IF(F14="Company",H14*G14/12, 0), 0)</f>
        <v>0</v>
      </c>
      <c r="J14" s="184">
        <v>240</v>
      </c>
      <c r="K14" s="201">
        <v>69.495762573691295</v>
      </c>
      <c r="L14" s="14">
        <f>K14*G14</f>
        <v>833.94915088429548</v>
      </c>
      <c r="M14" s="118">
        <f>IF(F14="Company", 'Exh CTM-7 (Unitized Costs)'!$D$18*H14/K14, 0)</f>
        <v>0</v>
      </c>
      <c r="N14" s="118">
        <f>$N$9</f>
        <v>0.2294659292840994</v>
      </c>
      <c r="O14" s="202">
        <f>SUM(M14:N14)</f>
        <v>0.2294659292840994</v>
      </c>
      <c r="P14" s="84">
        <f>K14*M14</f>
        <v>0</v>
      </c>
      <c r="Q14" s="84">
        <f>K14*N14</f>
        <v>15.946909740279208</v>
      </c>
      <c r="R14" s="199">
        <f>SUM(P14:Q14)</f>
        <v>15.946909740279208</v>
      </c>
      <c r="S14" s="13">
        <v>0.24737155530318816</v>
      </c>
      <c r="T14" s="199">
        <f>S14*K14</f>
        <v>17.191274874835109</v>
      </c>
      <c r="U14" s="82">
        <f>($U$192*(V14/$V$192))</f>
        <v>136.84159047375263</v>
      </c>
      <c r="V14" s="82">
        <f>IF(E14="per lamp", R14*G14, O14*L14)</f>
        <v>191.36291688335049</v>
      </c>
      <c r="W14" s="82">
        <f>IF(E14="per lamp", T14*G14, S14*L14)</f>
        <v>206.29529849802131</v>
      </c>
      <c r="Z14" s="184"/>
    </row>
    <row r="15" spans="1:27" x14ac:dyDescent="0.2">
      <c r="A15" s="66">
        <f>A14+1</f>
        <v>8</v>
      </c>
      <c r="B15" s="48">
        <v>50</v>
      </c>
      <c r="C15" s="107" t="s">
        <v>226</v>
      </c>
      <c r="D15" s="49">
        <v>400</v>
      </c>
      <c r="E15" s="107" t="str">
        <f>'Exh CTM-7 (Tariff Rates Y1)'!$G$11</f>
        <v>per lamp</v>
      </c>
      <c r="F15" s="107" t="s">
        <v>214</v>
      </c>
      <c r="G15" s="200">
        <v>0</v>
      </c>
      <c r="H15" s="183">
        <f>VLOOKUP(J15, 'Exh CTM-7 (Unitized Costs)'!$C$27:$D$34, 2, FALSE)</f>
        <v>1388.9766666666667</v>
      </c>
      <c r="I15" s="201">
        <f>IFERROR(IF(F15="Company",H15*G15/12, 0), 0)</f>
        <v>0</v>
      </c>
      <c r="J15" s="184">
        <v>600</v>
      </c>
      <c r="K15" s="201">
        <v>144.31146442180207</v>
      </c>
      <c r="L15" s="14">
        <f>K15*G15</f>
        <v>0</v>
      </c>
      <c r="M15" s="118">
        <f>IF(F15="Company", 'Exh CTM-7 (Unitized Costs)'!$D$18*H15/K15, 0)</f>
        <v>0</v>
      </c>
      <c r="N15" s="118">
        <f>$N$9</f>
        <v>0.2294659292840994</v>
      </c>
      <c r="O15" s="202">
        <f>SUM(M15:N15)</f>
        <v>0.2294659292840994</v>
      </c>
      <c r="P15" s="84">
        <f>K15*M15</f>
        <v>0</v>
      </c>
      <c r="Q15" s="84">
        <f>K15*N15</f>
        <v>33.114564289898063</v>
      </c>
      <c r="R15" s="199">
        <f>SUM(P15:Q15)</f>
        <v>33.114564289898063</v>
      </c>
      <c r="S15" s="13">
        <v>0.24737155530318816</v>
      </c>
      <c r="T15" s="199">
        <f>S15*K15</f>
        <v>35.698551402101884</v>
      </c>
      <c r="U15" s="82">
        <f>($U$192*(V15/$V$192))</f>
        <v>0</v>
      </c>
      <c r="V15" s="82">
        <f>IF(E15="per lamp", R15*G15, O15*L15)</f>
        <v>0</v>
      </c>
      <c r="W15" s="82">
        <f>IF(E15="per lamp", T15*G15, S15*L15)</f>
        <v>0</v>
      </c>
      <c r="Z15" s="184"/>
    </row>
    <row r="16" spans="1:27" x14ac:dyDescent="0.2">
      <c r="A16" s="66">
        <f>A15+1</f>
        <v>9</v>
      </c>
      <c r="B16" s="48">
        <v>50</v>
      </c>
      <c r="C16" s="107" t="s">
        <v>227</v>
      </c>
      <c r="D16" s="49">
        <v>700</v>
      </c>
      <c r="E16" s="107" t="str">
        <f>'Exh CTM-7 (Tariff Rates Y1)'!$G$11</f>
        <v>per lamp</v>
      </c>
      <c r="F16" s="107" t="s">
        <v>214</v>
      </c>
      <c r="G16" s="200">
        <v>0</v>
      </c>
      <c r="H16" s="183">
        <f>VLOOKUP(J16, 'Exh CTM-7 (Unitized Costs)'!$C$27:$D$34, 2, FALSE)</f>
        <v>1783.47</v>
      </c>
      <c r="I16" s="201">
        <f>IFERROR(IF(F16="Company",H16*G16/12, 0), 0)</f>
        <v>0</v>
      </c>
      <c r="J16" s="184">
        <v>1000</v>
      </c>
      <c r="K16" s="201">
        <v>360.77866105450516</v>
      </c>
      <c r="L16" s="14">
        <f>K16*G16</f>
        <v>0</v>
      </c>
      <c r="M16" s="118">
        <f>IF(F16="Company", 'Exh CTM-7 (Unitized Costs)'!$D$18*H16/K16, 0)</f>
        <v>0</v>
      </c>
      <c r="N16" s="118">
        <f>$N$9</f>
        <v>0.2294659292840994</v>
      </c>
      <c r="O16" s="202">
        <f>SUM(M16:N16)</f>
        <v>0.2294659292840994</v>
      </c>
      <c r="P16" s="84">
        <f>K16*M16</f>
        <v>0</v>
      </c>
      <c r="Q16" s="84">
        <f>K16*N16</f>
        <v>82.786410724745153</v>
      </c>
      <c r="R16" s="199">
        <f>SUM(P16:Q16)</f>
        <v>82.786410724745153</v>
      </c>
      <c r="S16" s="13">
        <v>0.24737155530318816</v>
      </c>
      <c r="T16" s="199">
        <f>S16*K16</f>
        <v>89.246378505254697</v>
      </c>
      <c r="U16" s="82">
        <f>($U$192*(V16/$V$192))</f>
        <v>0</v>
      </c>
      <c r="V16" s="82">
        <f>IF(E16="per lamp", R16*G16, O16*L16)</f>
        <v>0</v>
      </c>
      <c r="W16" s="82">
        <f>IF(E16="per lamp", T16*G16, S16*L16)</f>
        <v>0</v>
      </c>
      <c r="Z16" s="184"/>
    </row>
    <row r="17" spans="1:26" x14ac:dyDescent="0.2">
      <c r="A17" s="66">
        <f>A16+1</f>
        <v>10</v>
      </c>
      <c r="B17" s="50"/>
      <c r="C17" s="196"/>
      <c r="D17" s="51"/>
      <c r="E17" s="196"/>
      <c r="F17" s="196"/>
      <c r="G17" s="196"/>
      <c r="H17" s="196"/>
      <c r="I17" s="196"/>
      <c r="J17" s="196"/>
      <c r="K17" s="196"/>
      <c r="L17" s="18"/>
      <c r="M17" s="196"/>
      <c r="N17" s="196"/>
      <c r="O17" s="203"/>
      <c r="P17" s="196"/>
      <c r="Q17" s="196"/>
      <c r="R17" s="203"/>
      <c r="S17" s="17"/>
      <c r="T17" s="203"/>
      <c r="U17" s="204"/>
      <c r="V17" s="204"/>
      <c r="W17" s="204"/>
      <c r="Z17" s="184"/>
    </row>
    <row r="18" spans="1:26" x14ac:dyDescent="0.2">
      <c r="A18" s="66">
        <f>A17+1</f>
        <v>11</v>
      </c>
      <c r="B18" s="48">
        <v>51</v>
      </c>
      <c r="C18" s="107" t="s">
        <v>228</v>
      </c>
      <c r="D18" s="49">
        <v>15</v>
      </c>
      <c r="E18" s="107" t="str">
        <f>'Exh CTM-7 (Tariff Rates Y1)'!$G$11</f>
        <v>per lamp</v>
      </c>
      <c r="F18" s="107" t="s">
        <v>56</v>
      </c>
      <c r="G18" s="200">
        <v>3</v>
      </c>
      <c r="H18" s="183">
        <f>VLOOKUP(J18, 'Exh CTM-7 (Unitized Costs)'!$C$27:$D$34, 2, FALSE)</f>
        <v>1426.7</v>
      </c>
      <c r="I18" s="201">
        <f>IFERROR(IF(F18="Company",H18*G18/12, 0), 0)</f>
        <v>0</v>
      </c>
      <c r="J18" s="184">
        <v>30</v>
      </c>
      <c r="K18" s="201">
        <v>7.4297601011292338</v>
      </c>
      <c r="L18" s="14">
        <f>K18*G18</f>
        <v>22.289280303387702</v>
      </c>
      <c r="M18" s="118">
        <f>IF(F18="Company", 'Exh CTM-7 (Unitized Costs)'!$D$18*H18/K18, 0)</f>
        <v>0</v>
      </c>
      <c r="N18" s="118">
        <f>$N$9</f>
        <v>0.2294659292840994</v>
      </c>
      <c r="O18" s="202">
        <f>SUM(M18:N18)</f>
        <v>0.2294659292840994</v>
      </c>
      <c r="P18" s="84">
        <f>K18*M18</f>
        <v>0</v>
      </c>
      <c r="Q18" s="84">
        <f>K18*N18</f>
        <v>1.704876805963544</v>
      </c>
      <c r="R18" s="199">
        <f>SUM(P18:Q18)</f>
        <v>1.704876805963544</v>
      </c>
      <c r="S18" s="13">
        <v>0.24737155530318816</v>
      </c>
      <c r="T18" s="199">
        <f>S18*K18</f>
        <v>1.8379113117459112</v>
      </c>
      <c r="U18" s="82">
        <f>($U$192*(V18/$V$192))</f>
        <v>3.6574179181028281</v>
      </c>
      <c r="V18" s="82">
        <f>IF(E18="per lamp", R18*G18, O18*L18)</f>
        <v>5.1146304178906323</v>
      </c>
      <c r="W18" s="82">
        <f>IF(E18="per lamp", T18*G18, S18*L18)</f>
        <v>5.5137339352377337</v>
      </c>
      <c r="Z18" s="184"/>
    </row>
    <row r="19" spans="1:26" x14ac:dyDescent="0.2">
      <c r="A19" s="66">
        <f>A18+1</f>
        <v>12</v>
      </c>
      <c r="B19" s="48">
        <v>51</v>
      </c>
      <c r="C19" s="107" t="s">
        <v>229</v>
      </c>
      <c r="D19" s="49">
        <v>45</v>
      </c>
      <c r="E19" s="107" t="str">
        <f>'Exh CTM-7 (Tariff Rates Y1)'!$G$11</f>
        <v>per lamp</v>
      </c>
      <c r="F19" s="107" t="s">
        <v>56</v>
      </c>
      <c r="G19" s="200">
        <v>62432</v>
      </c>
      <c r="H19" s="183">
        <f>VLOOKUP(J19, 'Exh CTM-7 (Unitized Costs)'!$C$27:$D$34, 2, FALSE)</f>
        <v>1401.77</v>
      </c>
      <c r="I19" s="201">
        <f>IFERROR(IF(F19="Company",H19*G19/12, 0), 0)</f>
        <v>0</v>
      </c>
      <c r="J19" s="184">
        <v>60</v>
      </c>
      <c r="K19" s="201">
        <v>16.236746289282937</v>
      </c>
      <c r="L19" s="14">
        <f>K19*G19</f>
        <v>1013692.5443325123</v>
      </c>
      <c r="M19" s="118">
        <f>IF(F19="Company", 'Exh CTM-7 (Unitized Costs)'!$D$18*H19/K19, 0)</f>
        <v>0</v>
      </c>
      <c r="N19" s="118">
        <f>$N$9</f>
        <v>0.2294659292840994</v>
      </c>
      <c r="O19" s="202">
        <f>SUM(M19:N19)</f>
        <v>0.2294659292840994</v>
      </c>
      <c r="P19" s="84">
        <f>K19*M19</f>
        <v>0</v>
      </c>
      <c r="Q19" s="84">
        <f>K19*N19</f>
        <v>3.7257800758204618</v>
      </c>
      <c r="R19" s="199">
        <f>SUM(P19:Q19)</f>
        <v>3.7257800758204618</v>
      </c>
      <c r="S19" s="13">
        <v>0.24737155530318816</v>
      </c>
      <c r="T19" s="199">
        <f>S19*K19</f>
        <v>4.0165091826431896</v>
      </c>
      <c r="U19" s="82">
        <f>($U$192*(V19/$V$192))</f>
        <v>166335.4412805101</v>
      </c>
      <c r="V19" s="82">
        <f>IF(E19="per lamp", R19*G19, O19*L19)</f>
        <v>232607.90169362308</v>
      </c>
      <c r="W19" s="82">
        <f>IF(E19="per lamp", T19*G19, S19*L19)</f>
        <v>250758.7012907796</v>
      </c>
      <c r="Z19" s="184"/>
    </row>
    <row r="20" spans="1:26" x14ac:dyDescent="0.2">
      <c r="A20" s="66">
        <f>A19+1</f>
        <v>13</v>
      </c>
      <c r="B20" s="48">
        <v>51</v>
      </c>
      <c r="C20" s="107" t="s">
        <v>230</v>
      </c>
      <c r="D20" s="49">
        <v>75</v>
      </c>
      <c r="E20" s="107" t="str">
        <f>'Exh CTM-7 (Tariff Rates Y1)'!$G$11</f>
        <v>per lamp</v>
      </c>
      <c r="F20" s="107" t="s">
        <v>56</v>
      </c>
      <c r="G20" s="200">
        <v>35235</v>
      </c>
      <c r="H20" s="183">
        <f>VLOOKUP(J20, 'Exh CTM-7 (Unitized Costs)'!$C$27:$D$34, 2, FALSE)</f>
        <v>1562.875</v>
      </c>
      <c r="I20" s="201">
        <f>IFERROR(IF(F20="Company",H20*G20/12, 0), 0)</f>
        <v>0</v>
      </c>
      <c r="J20" s="184">
        <v>90</v>
      </c>
      <c r="K20" s="201">
        <v>26.186795286420214</v>
      </c>
      <c r="L20" s="14">
        <f>K20*G20</f>
        <v>922691.73191701621</v>
      </c>
      <c r="M20" s="118">
        <f>IF(F20="Company", 'Exh CTM-7 (Unitized Costs)'!$D$18*H20/K20, 0)</f>
        <v>0</v>
      </c>
      <c r="N20" s="118">
        <f>$N$9</f>
        <v>0.2294659292840994</v>
      </c>
      <c r="O20" s="202">
        <f>SUM(M20:N20)</f>
        <v>0.2294659292840994</v>
      </c>
      <c r="P20" s="84">
        <f>K20*M20</f>
        <v>0</v>
      </c>
      <c r="Q20" s="84">
        <f>K20*N20</f>
        <v>6.0089773153708883</v>
      </c>
      <c r="R20" s="199">
        <f>SUM(P20:Q20)</f>
        <v>6.0089773153708883</v>
      </c>
      <c r="S20" s="13">
        <v>0.24737155530318816</v>
      </c>
      <c r="T20" s="199">
        <f>S20*K20</f>
        <v>6.4778682784079651</v>
      </c>
      <c r="U20" s="82">
        <f>($U$192*(V20/$V$192))</f>
        <v>151403.24080745294</v>
      </c>
      <c r="V20" s="82">
        <f>IF(E20="per lamp", R20*G20, O20*L20)</f>
        <v>211726.31570709325</v>
      </c>
      <c r="W20" s="82">
        <f>IF(E20="per lamp", T20*G20, S20*L20)</f>
        <v>228247.68878970464</v>
      </c>
      <c r="Z20" s="184"/>
    </row>
    <row r="21" spans="1:26" x14ac:dyDescent="0.2">
      <c r="A21" s="66">
        <f>A20+1</f>
        <v>14</v>
      </c>
      <c r="B21" s="48">
        <v>51</v>
      </c>
      <c r="C21" s="107" t="s">
        <v>231</v>
      </c>
      <c r="D21" s="49">
        <v>105</v>
      </c>
      <c r="E21" s="107" t="str">
        <f>'Exh CTM-7 (Tariff Rates Y1)'!$G$11</f>
        <v>per lamp</v>
      </c>
      <c r="F21" s="107" t="s">
        <v>56</v>
      </c>
      <c r="G21" s="200">
        <v>15281</v>
      </c>
      <c r="H21" s="183">
        <f>VLOOKUP(J21, 'Exh CTM-7 (Unitized Costs)'!$C$27:$D$34, 2, FALSE)</f>
        <v>1456.9933333333331</v>
      </c>
      <c r="I21" s="201">
        <f>IFERROR(IF(F21="Company",H21*G21/12, 0), 0)</f>
        <v>0</v>
      </c>
      <c r="J21" s="184">
        <v>150</v>
      </c>
      <c r="K21" s="201">
        <v>39.674794170929992</v>
      </c>
      <c r="L21" s="14">
        <f>K21*G21</f>
        <v>606270.52972598118</v>
      </c>
      <c r="M21" s="118">
        <f>IF(F21="Company", 'Exh CTM-7 (Unitized Costs)'!$D$18*H21/K21, 0)</f>
        <v>0</v>
      </c>
      <c r="N21" s="118">
        <f>$N$9</f>
        <v>0.2294659292840994</v>
      </c>
      <c r="O21" s="202">
        <f>SUM(M21:N21)</f>
        <v>0.2294659292840994</v>
      </c>
      <c r="P21" s="84">
        <f>K21*M21</f>
        <v>0</v>
      </c>
      <c r="Q21" s="84">
        <f>K21*N21</f>
        <v>9.1040135135878213</v>
      </c>
      <c r="R21" s="199">
        <f>SUM(P21:Q21)</f>
        <v>9.1040135135878213</v>
      </c>
      <c r="S21" s="13">
        <v>0.24737155530318816</v>
      </c>
      <c r="T21" s="199">
        <f>S21*K21</f>
        <v>9.8144155403968156</v>
      </c>
      <c r="U21" s="82">
        <f>($U$192*(V21/$V$192))</f>
        <v>99482.112856756576</v>
      </c>
      <c r="V21" s="82">
        <f>IF(E21="per lamp", R21*G21, O21*L21)</f>
        <v>139118.4305011355</v>
      </c>
      <c r="W21" s="82">
        <f>IF(E21="per lamp", T21*G21, S21*L21)</f>
        <v>149974.08387280375</v>
      </c>
      <c r="Z21" s="184"/>
    </row>
    <row r="22" spans="1:26" x14ac:dyDescent="0.2">
      <c r="A22" s="66">
        <f>A21+1</f>
        <v>15</v>
      </c>
      <c r="B22" s="48">
        <v>51</v>
      </c>
      <c r="C22" s="107" t="s">
        <v>232</v>
      </c>
      <c r="D22" s="49">
        <v>135</v>
      </c>
      <c r="E22" s="107" t="str">
        <f>'Exh CTM-7 (Tariff Rates Y1)'!$G$11</f>
        <v>per lamp</v>
      </c>
      <c r="F22" s="107" t="s">
        <v>56</v>
      </c>
      <c r="G22" s="200">
        <v>6961</v>
      </c>
      <c r="H22" s="183">
        <f>VLOOKUP(J22, 'Exh CTM-7 (Unitized Costs)'!$C$27:$D$34, 2, FALSE)</f>
        <v>1456.9933333333331</v>
      </c>
      <c r="I22" s="201">
        <f>IFERROR(IF(F22="Company",H22*G22/12, 0), 0)</f>
        <v>0</v>
      </c>
      <c r="J22" s="184">
        <v>150</v>
      </c>
      <c r="K22" s="201">
        <v>39.674794170929992</v>
      </c>
      <c r="L22" s="14">
        <f>K22*G22</f>
        <v>276176.2422238437</v>
      </c>
      <c r="M22" s="118">
        <f>IF(F22="Company", 'Exh CTM-7 (Unitized Costs)'!$D$18*H22/K22, 0)</f>
        <v>0</v>
      </c>
      <c r="N22" s="118">
        <f>$N$9</f>
        <v>0.2294659292840994</v>
      </c>
      <c r="O22" s="202">
        <f>SUM(M22:N22)</f>
        <v>0.2294659292840994</v>
      </c>
      <c r="P22" s="84">
        <f>K22*M22</f>
        <v>0</v>
      </c>
      <c r="Q22" s="84">
        <f>K22*N22</f>
        <v>9.1040135135878213</v>
      </c>
      <c r="R22" s="199">
        <f>SUM(P22:Q22)</f>
        <v>9.1040135135878213</v>
      </c>
      <c r="S22" s="13">
        <v>0.24737155530318816</v>
      </c>
      <c r="T22" s="199">
        <f>S22*K22</f>
        <v>9.8144155403968156</v>
      </c>
      <c r="U22" s="82">
        <f>($U$192*(V22/$V$192))</f>
        <v>45317.38679378853</v>
      </c>
      <c r="V22" s="82">
        <f>IF(E22="per lamp", R22*G22, O22*L22)</f>
        <v>63373.038068084825</v>
      </c>
      <c r="W22" s="82">
        <f>IF(E22="per lamp", T22*G22, S22*L22)</f>
        <v>68318.146576702231</v>
      </c>
      <c r="Z22" s="184"/>
    </row>
    <row r="23" spans="1:26" x14ac:dyDescent="0.2">
      <c r="A23" s="66">
        <f>A22+1</f>
        <v>16</v>
      </c>
      <c r="B23" s="48">
        <v>51</v>
      </c>
      <c r="C23" s="107" t="s">
        <v>233</v>
      </c>
      <c r="D23" s="49">
        <v>165</v>
      </c>
      <c r="E23" s="107" t="str">
        <f>'Exh CTM-7 (Tariff Rates Y1)'!$G$11</f>
        <v>per lamp</v>
      </c>
      <c r="F23" s="107" t="s">
        <v>56</v>
      </c>
      <c r="G23" s="200">
        <v>908</v>
      </c>
      <c r="H23" s="183">
        <f>VLOOKUP(J23, 'Exh CTM-7 (Unitized Costs)'!$C$27:$D$34, 2, FALSE)</f>
        <v>1576.8033333333335</v>
      </c>
      <c r="I23" s="201">
        <f>IFERROR(IF(F23="Company",H23*G23/12, 0), 0)</f>
        <v>0</v>
      </c>
      <c r="J23" s="184">
        <v>240</v>
      </c>
      <c r="K23" s="201">
        <v>69.495762573691295</v>
      </c>
      <c r="L23" s="14">
        <f>K23*G23</f>
        <v>63102.152416911696</v>
      </c>
      <c r="M23" s="118">
        <f>IF(F23="Company", 'Exh CTM-7 (Unitized Costs)'!$D$18*H23/K23, 0)</f>
        <v>0</v>
      </c>
      <c r="N23" s="118">
        <f>$N$9</f>
        <v>0.2294659292840994</v>
      </c>
      <c r="O23" s="202">
        <f>SUM(M23:N23)</f>
        <v>0.2294659292840994</v>
      </c>
      <c r="P23" s="84">
        <f>K23*M23</f>
        <v>0</v>
      </c>
      <c r="Q23" s="84">
        <f>K23*N23</f>
        <v>15.946909740279208</v>
      </c>
      <c r="R23" s="199">
        <f>SUM(P23:Q23)</f>
        <v>15.946909740279208</v>
      </c>
      <c r="S23" s="13">
        <v>0.24737155530318816</v>
      </c>
      <c r="T23" s="199">
        <f>S23*K23</f>
        <v>17.191274874835109</v>
      </c>
      <c r="U23" s="82">
        <f>($U$192*(V23/$V$192))</f>
        <v>10354.34701251395</v>
      </c>
      <c r="V23" s="82">
        <f>IF(E23="per lamp", R23*G23, O23*L23)</f>
        <v>14479.794044173521</v>
      </c>
      <c r="W23" s="82">
        <f>IF(E23="per lamp", T23*G23, S23*L23)</f>
        <v>15609.677586350279</v>
      </c>
      <c r="Z23" s="184"/>
    </row>
    <row r="24" spans="1:26" x14ac:dyDescent="0.2">
      <c r="A24" s="66">
        <f>A23+1</f>
        <v>17</v>
      </c>
      <c r="B24" s="48">
        <v>51</v>
      </c>
      <c r="C24" s="107" t="s">
        <v>234</v>
      </c>
      <c r="D24" s="49">
        <v>195</v>
      </c>
      <c r="E24" s="107" t="str">
        <f>'Exh CTM-7 (Tariff Rates Y1)'!$G$11</f>
        <v>per lamp</v>
      </c>
      <c r="F24" s="107" t="s">
        <v>56</v>
      </c>
      <c r="G24" s="200">
        <v>2412</v>
      </c>
      <c r="H24" s="183">
        <f>VLOOKUP(J24, 'Exh CTM-7 (Unitized Costs)'!$C$27:$D$34, 2, FALSE)</f>
        <v>1576.8033333333335</v>
      </c>
      <c r="I24" s="201">
        <f>IFERROR(IF(F24="Company",H24*G24/12, 0), 0)</f>
        <v>0</v>
      </c>
      <c r="J24" s="184">
        <v>240</v>
      </c>
      <c r="K24" s="201">
        <v>69.495762573691295</v>
      </c>
      <c r="L24" s="14">
        <f>K24*G24</f>
        <v>167623.7793277434</v>
      </c>
      <c r="M24" s="118">
        <f>IF(F24="Company", 'Exh CTM-7 (Unitized Costs)'!$D$18*H24/K24, 0)</f>
        <v>0</v>
      </c>
      <c r="N24" s="118">
        <f>$N$9</f>
        <v>0.2294659292840994</v>
      </c>
      <c r="O24" s="202">
        <f>SUM(M24:N24)</f>
        <v>0.2294659292840994</v>
      </c>
      <c r="P24" s="84">
        <f>K24*M24</f>
        <v>0</v>
      </c>
      <c r="Q24" s="84">
        <f>K24*N24</f>
        <v>15.946909740279208</v>
      </c>
      <c r="R24" s="199">
        <f>SUM(P24:Q24)</f>
        <v>15.946909740279208</v>
      </c>
      <c r="S24" s="13">
        <v>0.24737155530318816</v>
      </c>
      <c r="T24" s="199">
        <f>S24*K24</f>
        <v>17.191274874835109</v>
      </c>
      <c r="U24" s="82">
        <f>($U$192*(V24/$V$192))</f>
        <v>27505.159685224284</v>
      </c>
      <c r="V24" s="82">
        <f>IF(E24="per lamp", R24*G24, O24*L24)</f>
        <v>38463.946293553454</v>
      </c>
      <c r="W24" s="82">
        <f>IF(E24="per lamp", T24*G24, S24*L24)</f>
        <v>41465.354998102281</v>
      </c>
      <c r="Z24" s="184"/>
    </row>
    <row r="25" spans="1:26" x14ac:dyDescent="0.2">
      <c r="A25" s="66">
        <f>A24+1</f>
        <v>18</v>
      </c>
      <c r="B25" s="48">
        <v>51</v>
      </c>
      <c r="C25" s="107" t="s">
        <v>235</v>
      </c>
      <c r="D25" s="49">
        <v>225</v>
      </c>
      <c r="E25" s="107" t="str">
        <f>'Exh CTM-7 (Tariff Rates Y1)'!$G$11</f>
        <v>per lamp</v>
      </c>
      <c r="F25" s="107" t="s">
        <v>56</v>
      </c>
      <c r="G25" s="200">
        <v>938</v>
      </c>
      <c r="H25" s="183">
        <f>VLOOKUP(J25, 'Exh CTM-7 (Unitized Costs)'!$C$27:$D$34, 2, FALSE)</f>
        <v>1576.8033333333335</v>
      </c>
      <c r="I25" s="201">
        <f>IFERROR(IF(F25="Company",H25*G25/12, 0), 0)</f>
        <v>0</v>
      </c>
      <c r="J25" s="184">
        <v>240</v>
      </c>
      <c r="K25" s="201">
        <v>69.495762573691295</v>
      </c>
      <c r="L25" s="14">
        <f>K25*G25</f>
        <v>65187.025294122432</v>
      </c>
      <c r="M25" s="118">
        <f>IF(F25="Company", 'Exh CTM-7 (Unitized Costs)'!$D$18*H25/K25, 0)</f>
        <v>0</v>
      </c>
      <c r="N25" s="118">
        <f>$N$9</f>
        <v>0.2294659292840994</v>
      </c>
      <c r="O25" s="202">
        <f>SUM(M25:N25)</f>
        <v>0.2294659292840994</v>
      </c>
      <c r="P25" s="84">
        <f>K25*M25</f>
        <v>0</v>
      </c>
      <c r="Q25" s="84">
        <f>K25*N25</f>
        <v>15.946909740279208</v>
      </c>
      <c r="R25" s="199">
        <f>SUM(P25:Q25)</f>
        <v>15.946909740279208</v>
      </c>
      <c r="S25" s="13">
        <v>0.24737155530318816</v>
      </c>
      <c r="T25" s="199">
        <f>S25*K25</f>
        <v>17.191274874835109</v>
      </c>
      <c r="U25" s="82">
        <f>($U$192*(V25/$V$192))</f>
        <v>10696.450988698331</v>
      </c>
      <c r="V25" s="82">
        <f>IF(E25="per lamp", R25*G25, O25*L25)</f>
        <v>14958.201336381897</v>
      </c>
      <c r="W25" s="82">
        <f>IF(E25="per lamp", T25*G25, S25*L25)</f>
        <v>16125.415832595332</v>
      </c>
      <c r="Z25" s="184"/>
    </row>
    <row r="26" spans="1:26" x14ac:dyDescent="0.2">
      <c r="A26" s="66">
        <f>A25+1</f>
        <v>19</v>
      </c>
      <c r="B26" s="48">
        <v>51</v>
      </c>
      <c r="C26" s="107" t="s">
        <v>236</v>
      </c>
      <c r="D26" s="49">
        <v>255</v>
      </c>
      <c r="E26" s="107" t="str">
        <f>'Exh CTM-7 (Tariff Rates Y1)'!$G$11</f>
        <v>per lamp</v>
      </c>
      <c r="F26" s="107" t="s">
        <v>56</v>
      </c>
      <c r="G26" s="200">
        <v>96</v>
      </c>
      <c r="H26" s="183">
        <f>VLOOKUP(J26, 'Exh CTM-7 (Unitized Costs)'!$C$27:$D$34, 2, FALSE)</f>
        <v>1602.95</v>
      </c>
      <c r="I26" s="201">
        <f>IFERROR(IF(F26="Company",H26*G26/12, 0), 0)</f>
        <v>0</v>
      </c>
      <c r="J26" s="184">
        <v>340</v>
      </c>
      <c r="K26" s="201">
        <v>92.063107873663981</v>
      </c>
      <c r="L26" s="14">
        <f>K26*G26</f>
        <v>8838.0583558717426</v>
      </c>
      <c r="M26" s="118">
        <f>IF(F26="Company", 'Exh CTM-7 (Unitized Costs)'!$D$18*H26/K26, 0)</f>
        <v>0</v>
      </c>
      <c r="N26" s="118">
        <f>$N$9</f>
        <v>0.2294659292840994</v>
      </c>
      <c r="O26" s="202">
        <f>SUM(M26:N26)</f>
        <v>0.2294659292840994</v>
      </c>
      <c r="P26" s="84">
        <f>K26*M26</f>
        <v>0</v>
      </c>
      <c r="Q26" s="84">
        <f>K26*N26</f>
        <v>21.125346601012595</v>
      </c>
      <c r="R26" s="199">
        <f>SUM(P26:Q26)</f>
        <v>21.125346601012595</v>
      </c>
      <c r="S26" s="13">
        <v>0.24737155530318816</v>
      </c>
      <c r="T26" s="199">
        <f>S26*K26</f>
        <v>22.773794180753448</v>
      </c>
      <c r="U26" s="82">
        <f>($U$192*(V26/$V$192))</f>
        <v>1450.2250656828428</v>
      </c>
      <c r="V26" s="82">
        <f>IF(E26="per lamp", R26*G26, O26*L26)</f>
        <v>2028.0332736972091</v>
      </c>
      <c r="W26" s="82">
        <f>IF(E26="per lamp", T26*G26, S26*L26)</f>
        <v>2186.2842413523313</v>
      </c>
      <c r="Z26" s="184"/>
    </row>
    <row r="27" spans="1:26" x14ac:dyDescent="0.2">
      <c r="A27" s="66">
        <f>A26+1</f>
        <v>20</v>
      </c>
      <c r="B27" s="48">
        <v>51</v>
      </c>
      <c r="C27" s="107" t="s">
        <v>237</v>
      </c>
      <c r="D27" s="49">
        <v>285</v>
      </c>
      <c r="E27" s="107" t="str">
        <f>'Exh CTM-7 (Tariff Rates Y1)'!$G$11</f>
        <v>per lamp</v>
      </c>
      <c r="F27" s="107" t="s">
        <v>56</v>
      </c>
      <c r="G27" s="200">
        <v>996</v>
      </c>
      <c r="H27" s="183">
        <f>VLOOKUP(J27, 'Exh CTM-7 (Unitized Costs)'!$C$27:$D$34, 2, FALSE)</f>
        <v>1602.95</v>
      </c>
      <c r="I27" s="201">
        <f>IFERROR(IF(F27="Company",H27*G27/12, 0), 0)</f>
        <v>0</v>
      </c>
      <c r="J27" s="184">
        <v>340</v>
      </c>
      <c r="K27" s="201">
        <v>92.063107873663981</v>
      </c>
      <c r="L27" s="14">
        <f>K27*G27</f>
        <v>91694.855442169326</v>
      </c>
      <c r="M27" s="118">
        <f>IF(F27="Company", 'Exh CTM-7 (Unitized Costs)'!$D$18*H27/K27, 0)</f>
        <v>0</v>
      </c>
      <c r="N27" s="118">
        <f>$N$9</f>
        <v>0.2294659292840994</v>
      </c>
      <c r="O27" s="202">
        <f>SUM(M27:N27)</f>
        <v>0.2294659292840994</v>
      </c>
      <c r="P27" s="84">
        <f>K27*M27</f>
        <v>0</v>
      </c>
      <c r="Q27" s="84">
        <f>K27*N27</f>
        <v>21.125346601012595</v>
      </c>
      <c r="R27" s="199">
        <f>SUM(P27:Q27)</f>
        <v>21.125346601012595</v>
      </c>
      <c r="S27" s="13">
        <v>0.24737155530318816</v>
      </c>
      <c r="T27" s="199">
        <f>S27*K27</f>
        <v>22.773794180753448</v>
      </c>
      <c r="U27" s="82">
        <f>($U$192*(V27/$V$192))</f>
        <v>15046.085056459495</v>
      </c>
      <c r="V27" s="82">
        <f>IF(E27="per lamp", R27*G27, O27*L27)</f>
        <v>21040.845214608544</v>
      </c>
      <c r="W27" s="82">
        <f>IF(E27="per lamp", T27*G27, S27*L27)</f>
        <v>22682.699004030434</v>
      </c>
      <c r="Z27" s="184"/>
    </row>
    <row r="28" spans="1:26" x14ac:dyDescent="0.2">
      <c r="A28" s="66">
        <f>A27+1</f>
        <v>21</v>
      </c>
      <c r="B28" s="48">
        <v>51</v>
      </c>
      <c r="C28" s="107" t="s">
        <v>228</v>
      </c>
      <c r="D28" s="49">
        <v>15</v>
      </c>
      <c r="E28" s="107" t="str">
        <f>'Exh CTM-7 (Tariff Rates Y1)'!$G$11</f>
        <v>per lamp</v>
      </c>
      <c r="F28" s="107" t="s">
        <v>56</v>
      </c>
      <c r="G28" s="200">
        <v>141</v>
      </c>
      <c r="H28" s="183">
        <f>VLOOKUP(J28, 'Exh CTM-7 (Unitized Costs)'!$C$27:$D$34, 2, FALSE)</f>
        <v>1426.7</v>
      </c>
      <c r="I28" s="201">
        <f>IFERROR(IF(F28="Company",H28*G28/12, 0), 0)</f>
        <v>0</v>
      </c>
      <c r="J28" s="184">
        <v>30</v>
      </c>
      <c r="K28" s="201">
        <v>7.4297601011292338</v>
      </c>
      <c r="L28" s="14">
        <f>K28*G28</f>
        <v>1047.5961742592219</v>
      </c>
      <c r="M28" s="118">
        <f>IF(F28="Company", 'Exh CTM-7 (Unitized Costs)'!$D$18*H28/K28, 0)</f>
        <v>0</v>
      </c>
      <c r="N28" s="118">
        <f>$N$9</f>
        <v>0.2294659292840994</v>
      </c>
      <c r="O28" s="202">
        <f>SUM(M28:N28)</f>
        <v>0.2294659292840994</v>
      </c>
      <c r="P28" s="84">
        <f>K28*M28</f>
        <v>0</v>
      </c>
      <c r="Q28" s="84">
        <f>K28*N28</f>
        <v>1.704876805963544</v>
      </c>
      <c r="R28" s="199">
        <f>SUM(P28:Q28)</f>
        <v>1.704876805963544</v>
      </c>
      <c r="S28" s="13">
        <v>0.24737155530318816</v>
      </c>
      <c r="T28" s="199">
        <f>S28*K28</f>
        <v>1.8379113117459112</v>
      </c>
      <c r="U28" s="82">
        <f>($U$192*(V28/$V$192))</f>
        <v>171.8986421508329</v>
      </c>
      <c r="V28" s="82">
        <f>IF(E28="per lamp", R28*G28, O28*L28)</f>
        <v>240.3876296408597</v>
      </c>
      <c r="W28" s="82">
        <f>IF(E28="per lamp", T28*G28, S28*L28)</f>
        <v>259.14549495617348</v>
      </c>
      <c r="Z28" s="184"/>
    </row>
    <row r="29" spans="1:26" x14ac:dyDescent="0.2">
      <c r="A29" s="66">
        <f>A28+1</f>
        <v>22</v>
      </c>
      <c r="B29" s="48">
        <v>51</v>
      </c>
      <c r="C29" s="107" t="s">
        <v>229</v>
      </c>
      <c r="D29" s="49">
        <v>45</v>
      </c>
      <c r="E29" s="107" t="str">
        <f>'Exh CTM-7 (Tariff Rates Y1)'!$G$11</f>
        <v>per lamp</v>
      </c>
      <c r="F29" s="107" t="s">
        <v>56</v>
      </c>
      <c r="G29" s="200">
        <v>8270</v>
      </c>
      <c r="H29" s="183">
        <f>VLOOKUP(J29, 'Exh CTM-7 (Unitized Costs)'!$C$27:$D$34, 2, FALSE)</f>
        <v>1401.77</v>
      </c>
      <c r="I29" s="201">
        <f>IFERROR(IF(F29="Company",H29*G29/12, 0), 0)</f>
        <v>0</v>
      </c>
      <c r="J29" s="184">
        <v>60</v>
      </c>
      <c r="K29" s="201">
        <v>16.236746289282937</v>
      </c>
      <c r="L29" s="14">
        <f>K29*G29</f>
        <v>134277.8918123699</v>
      </c>
      <c r="M29" s="118">
        <f>IF(F29="Company", 'Exh CTM-7 (Unitized Costs)'!$D$18*H29/K29, 0)</f>
        <v>0</v>
      </c>
      <c r="N29" s="118">
        <f>$N$9</f>
        <v>0.2294659292840994</v>
      </c>
      <c r="O29" s="202">
        <f>SUM(M29:N29)</f>
        <v>0.2294659292840994</v>
      </c>
      <c r="P29" s="84">
        <f>K29*M29</f>
        <v>0</v>
      </c>
      <c r="Q29" s="84">
        <f>K29*N29</f>
        <v>3.7257800758204618</v>
      </c>
      <c r="R29" s="199">
        <f>SUM(P29:Q29)</f>
        <v>3.7257800758204618</v>
      </c>
      <c r="S29" s="13">
        <v>0.24737155530318816</v>
      </c>
      <c r="T29" s="199">
        <f>S29*K29</f>
        <v>4.0165091826431896</v>
      </c>
      <c r="U29" s="82">
        <f>($U$192*(V29/$V$192))</f>
        <v>22033.478014316675</v>
      </c>
      <c r="V29" s="82">
        <f>IF(E29="per lamp", R29*G29, O29*L29)</f>
        <v>30812.201227035221</v>
      </c>
      <c r="W29" s="82">
        <f>IF(E29="per lamp", T29*G29, S29*L29)</f>
        <v>33216.530940459175</v>
      </c>
      <c r="Z29" s="184"/>
    </row>
    <row r="30" spans="1:26" x14ac:dyDescent="0.2">
      <c r="A30" s="66">
        <f>A29+1</f>
        <v>23</v>
      </c>
      <c r="B30" s="48">
        <v>51</v>
      </c>
      <c r="C30" s="107" t="s">
        <v>230</v>
      </c>
      <c r="D30" s="49">
        <v>75</v>
      </c>
      <c r="E30" s="107" t="str">
        <f>'Exh CTM-7 (Tariff Rates Y1)'!$G$11</f>
        <v>per lamp</v>
      </c>
      <c r="F30" s="107" t="s">
        <v>56</v>
      </c>
      <c r="G30" s="200">
        <v>2091</v>
      </c>
      <c r="H30" s="183">
        <f>VLOOKUP(J30, 'Exh CTM-7 (Unitized Costs)'!$C$27:$D$34, 2, FALSE)</f>
        <v>1562.875</v>
      </c>
      <c r="I30" s="201">
        <f>IFERROR(IF(F30="Company",H30*G30/12, 0), 0)</f>
        <v>0</v>
      </c>
      <c r="J30" s="184">
        <v>90</v>
      </c>
      <c r="K30" s="201">
        <v>26.186795286420214</v>
      </c>
      <c r="L30" s="14">
        <f>K30*G30</f>
        <v>54756.588943904666</v>
      </c>
      <c r="M30" s="118">
        <f>IF(F30="Company", 'Exh CTM-7 (Unitized Costs)'!$D$18*H30/K30, 0)</f>
        <v>0</v>
      </c>
      <c r="N30" s="118">
        <f>$N$9</f>
        <v>0.2294659292840994</v>
      </c>
      <c r="O30" s="202">
        <f>SUM(M30:N30)</f>
        <v>0.2294659292840994</v>
      </c>
      <c r="P30" s="84">
        <f>K30*M30</f>
        <v>0</v>
      </c>
      <c r="Q30" s="84">
        <f>K30*N30</f>
        <v>6.0089773153708883</v>
      </c>
      <c r="R30" s="199">
        <f>SUM(P30:Q30)</f>
        <v>6.0089773153708883</v>
      </c>
      <c r="S30" s="13">
        <v>0.24737155530318816</v>
      </c>
      <c r="T30" s="199">
        <f>S30*K30</f>
        <v>6.4778682784079651</v>
      </c>
      <c r="U30" s="82">
        <f>($U$192*(V30/$V$192))</f>
        <v>8984.9347673728989</v>
      </c>
      <c r="V30" s="82">
        <f>IF(E30="per lamp", R30*G30, O30*L30)</f>
        <v>12564.771566440528</v>
      </c>
      <c r="W30" s="82">
        <f>IF(E30="per lamp", T30*G30, S30*L30)</f>
        <v>13545.222570151054</v>
      </c>
      <c r="Z30" s="184"/>
    </row>
    <row r="31" spans="1:26" x14ac:dyDescent="0.2">
      <c r="A31" s="66">
        <f>A30+1</f>
        <v>24</v>
      </c>
      <c r="B31" s="48">
        <v>51</v>
      </c>
      <c r="C31" s="107" t="s">
        <v>231</v>
      </c>
      <c r="D31" s="49">
        <v>105</v>
      </c>
      <c r="E31" s="107" t="str">
        <f>'Exh CTM-7 (Tariff Rates Y1)'!$G$11</f>
        <v>per lamp</v>
      </c>
      <c r="F31" s="107" t="s">
        <v>56</v>
      </c>
      <c r="G31" s="200">
        <v>822</v>
      </c>
      <c r="H31" s="183">
        <f>VLOOKUP(J31, 'Exh CTM-7 (Unitized Costs)'!$C$27:$D$34, 2, FALSE)</f>
        <v>1456.9933333333331</v>
      </c>
      <c r="I31" s="201">
        <f>IFERROR(IF(F31="Company",H31*G31/12, 0), 0)</f>
        <v>0</v>
      </c>
      <c r="J31" s="184">
        <v>150</v>
      </c>
      <c r="K31" s="201">
        <v>39.674794170929992</v>
      </c>
      <c r="L31" s="14">
        <f>K31*G31</f>
        <v>32612.680808504454</v>
      </c>
      <c r="M31" s="118">
        <f>IF(F31="Company", 'Exh CTM-7 (Unitized Costs)'!$D$18*H31/K31, 0)</f>
        <v>0</v>
      </c>
      <c r="N31" s="118">
        <f>$N$9</f>
        <v>0.2294659292840994</v>
      </c>
      <c r="O31" s="202">
        <f>SUM(M31:N31)</f>
        <v>0.2294659292840994</v>
      </c>
      <c r="P31" s="84">
        <f>K31*M31</f>
        <v>0</v>
      </c>
      <c r="Q31" s="84">
        <f>K31*N31</f>
        <v>9.1040135135878213</v>
      </c>
      <c r="R31" s="199">
        <f>SUM(P31:Q31)</f>
        <v>9.1040135135878213</v>
      </c>
      <c r="S31" s="13">
        <v>0.24737155530318816</v>
      </c>
      <c r="T31" s="199">
        <f>S31*K31</f>
        <v>9.8144155403968156</v>
      </c>
      <c r="U31" s="82">
        <f>($U$192*(V31/$V$192))</f>
        <v>5351.3707720865059</v>
      </c>
      <c r="V31" s="82">
        <f>IF(E31="per lamp", R31*G31, O31*L31)</f>
        <v>7483.4991081691887</v>
      </c>
      <c r="W31" s="82">
        <f>IF(E31="per lamp", T31*G31, S31*L31)</f>
        <v>8067.4495742061827</v>
      </c>
      <c r="Z31" s="184"/>
    </row>
    <row r="32" spans="1:26" x14ac:dyDescent="0.2">
      <c r="A32" s="66">
        <f>A31+1</f>
        <v>25</v>
      </c>
      <c r="B32" s="48">
        <v>51</v>
      </c>
      <c r="C32" s="107" t="s">
        <v>232</v>
      </c>
      <c r="D32" s="49">
        <v>135</v>
      </c>
      <c r="E32" s="107" t="str">
        <f>'Exh CTM-7 (Tariff Rates Y1)'!$G$11</f>
        <v>per lamp</v>
      </c>
      <c r="F32" s="107" t="s">
        <v>56</v>
      </c>
      <c r="G32" s="200">
        <v>2443</v>
      </c>
      <c r="H32" s="183">
        <f>VLOOKUP(J32, 'Exh CTM-7 (Unitized Costs)'!$C$27:$D$34, 2, FALSE)</f>
        <v>1456.9933333333331</v>
      </c>
      <c r="I32" s="201">
        <f>IFERROR(IF(F32="Company",H32*G32/12, 0), 0)</f>
        <v>0</v>
      </c>
      <c r="J32" s="184">
        <v>150</v>
      </c>
      <c r="K32" s="201">
        <v>39.674794170929992</v>
      </c>
      <c r="L32" s="14">
        <f>K32*G32</f>
        <v>96925.522159581975</v>
      </c>
      <c r="M32" s="118">
        <f>IF(F32="Company", 'Exh CTM-7 (Unitized Costs)'!$D$18*H32/K32, 0)</f>
        <v>0</v>
      </c>
      <c r="N32" s="118">
        <f>$N$9</f>
        <v>0.2294659292840994</v>
      </c>
      <c r="O32" s="202">
        <f>SUM(M32:N32)</f>
        <v>0.2294659292840994</v>
      </c>
      <c r="P32" s="84">
        <f>K32*M32</f>
        <v>0</v>
      </c>
      <c r="Q32" s="84">
        <f>K32*N32</f>
        <v>9.1040135135878213</v>
      </c>
      <c r="R32" s="199">
        <f>SUM(P32:Q32)</f>
        <v>9.1040135135878213</v>
      </c>
      <c r="S32" s="13">
        <v>0.24737155530318816</v>
      </c>
      <c r="T32" s="199">
        <f>S32*K32</f>
        <v>9.8144155403968156</v>
      </c>
      <c r="U32" s="82">
        <f>($U$192*(V32/$V$192))</f>
        <v>15904.378097575833</v>
      </c>
      <c r="V32" s="82">
        <f>IF(E32="per lamp", R32*G32, O32*L32)</f>
        <v>22241.105013695047</v>
      </c>
      <c r="W32" s="82">
        <f>IF(E32="per lamp", T32*G32, S32*L32)</f>
        <v>23976.617165189422</v>
      </c>
      <c r="Z32" s="184"/>
    </row>
    <row r="33" spans="1:26" x14ac:dyDescent="0.2">
      <c r="A33" s="66">
        <f>A32+1</f>
        <v>26</v>
      </c>
      <c r="B33" s="48">
        <v>51</v>
      </c>
      <c r="C33" s="107" t="s">
        <v>233</v>
      </c>
      <c r="D33" s="49">
        <v>165</v>
      </c>
      <c r="E33" s="107" t="str">
        <f>'Exh CTM-7 (Tariff Rates Y1)'!$G$11</f>
        <v>per lamp</v>
      </c>
      <c r="F33" s="107" t="s">
        <v>56</v>
      </c>
      <c r="G33" s="200">
        <v>352</v>
      </c>
      <c r="H33" s="183">
        <f>VLOOKUP(J33, 'Exh CTM-7 (Unitized Costs)'!$C$27:$D$34, 2, FALSE)</f>
        <v>1576.8033333333335</v>
      </c>
      <c r="I33" s="201">
        <f>IFERROR(IF(F33="Company",H33*G33/12, 0), 0)</f>
        <v>0</v>
      </c>
      <c r="J33" s="184">
        <v>240</v>
      </c>
      <c r="K33" s="201">
        <v>69.495762573691295</v>
      </c>
      <c r="L33" s="14">
        <f>K33*G33</f>
        <v>24462.508425939337</v>
      </c>
      <c r="M33" s="118">
        <f>IF(F33="Company", 'Exh CTM-7 (Unitized Costs)'!$D$18*H33/K33, 0)</f>
        <v>0</v>
      </c>
      <c r="N33" s="118">
        <f>$N$9</f>
        <v>0.2294659292840994</v>
      </c>
      <c r="O33" s="202">
        <f>SUM(M33:N33)</f>
        <v>0.2294659292840994</v>
      </c>
      <c r="P33" s="84">
        <f>K33*M33</f>
        <v>0</v>
      </c>
      <c r="Q33" s="84">
        <f>K33*N33</f>
        <v>15.946909740279208</v>
      </c>
      <c r="R33" s="199">
        <f>SUM(P33:Q33)</f>
        <v>15.946909740279208</v>
      </c>
      <c r="S33" s="13">
        <v>0.24737155530318816</v>
      </c>
      <c r="T33" s="199">
        <f>S33*K33</f>
        <v>17.191274874835109</v>
      </c>
      <c r="U33" s="82">
        <f>($U$192*(V33/$V$192))</f>
        <v>4014.0199872300777</v>
      </c>
      <c r="V33" s="82">
        <f>IF(E33="per lamp", R33*G33, O33*L33)</f>
        <v>5613.3122285782811</v>
      </c>
      <c r="W33" s="82">
        <f>IF(E33="per lamp", T33*G33, S33*L33)</f>
        <v>6051.3287559419587</v>
      </c>
      <c r="Z33" s="184"/>
    </row>
    <row r="34" spans="1:26" x14ac:dyDescent="0.2">
      <c r="A34" s="66">
        <f>A33+1</f>
        <v>27</v>
      </c>
      <c r="B34" s="48">
        <v>51</v>
      </c>
      <c r="C34" s="107" t="s">
        <v>234</v>
      </c>
      <c r="D34" s="49">
        <v>195</v>
      </c>
      <c r="E34" s="107" t="str">
        <f>'Exh CTM-7 (Tariff Rates Y1)'!$G$11</f>
        <v>per lamp</v>
      </c>
      <c r="F34" s="107" t="s">
        <v>56</v>
      </c>
      <c r="G34" s="200">
        <v>0</v>
      </c>
      <c r="H34" s="183">
        <f>VLOOKUP(J34, 'Exh CTM-7 (Unitized Costs)'!$C$27:$D$34, 2, FALSE)</f>
        <v>1576.8033333333335</v>
      </c>
      <c r="I34" s="201">
        <f>IFERROR(IF(F34="Company",H34*G34/12, 0), 0)</f>
        <v>0</v>
      </c>
      <c r="J34" s="184">
        <v>240</v>
      </c>
      <c r="K34" s="201">
        <v>69.495762573691295</v>
      </c>
      <c r="L34" s="14">
        <f>K34*G34</f>
        <v>0</v>
      </c>
      <c r="M34" s="118">
        <f>IF(F34="Company", 'Exh CTM-7 (Unitized Costs)'!$D$18*H34/K34, 0)</f>
        <v>0</v>
      </c>
      <c r="N34" s="118">
        <f>$N$9</f>
        <v>0.2294659292840994</v>
      </c>
      <c r="O34" s="202">
        <f>SUM(M34:N34)</f>
        <v>0.2294659292840994</v>
      </c>
      <c r="P34" s="84">
        <f>K34*M34</f>
        <v>0</v>
      </c>
      <c r="Q34" s="84">
        <f>K34*N34</f>
        <v>15.946909740279208</v>
      </c>
      <c r="R34" s="199">
        <f>SUM(P34:Q34)</f>
        <v>15.946909740279208</v>
      </c>
      <c r="S34" s="13">
        <v>0.24737155530318816</v>
      </c>
      <c r="T34" s="199">
        <f>S34*K34</f>
        <v>17.191274874835109</v>
      </c>
      <c r="U34" s="82">
        <f>($U$192*(V34/$V$192))</f>
        <v>0</v>
      </c>
      <c r="V34" s="82">
        <f>IF(E34="per lamp", R34*G34, O34*L34)</f>
        <v>0</v>
      </c>
      <c r="W34" s="82">
        <f>IF(E34="per lamp", T34*G34, S34*L34)</f>
        <v>0</v>
      </c>
      <c r="Z34" s="184"/>
    </row>
    <row r="35" spans="1:26" x14ac:dyDescent="0.2">
      <c r="A35" s="66">
        <f>A34+1</f>
        <v>28</v>
      </c>
      <c r="B35" s="48">
        <v>51</v>
      </c>
      <c r="C35" s="107" t="s">
        <v>235</v>
      </c>
      <c r="D35" s="49">
        <v>225</v>
      </c>
      <c r="E35" s="107" t="str">
        <f>'Exh CTM-7 (Tariff Rates Y1)'!$G$11</f>
        <v>per lamp</v>
      </c>
      <c r="F35" s="107" t="s">
        <v>56</v>
      </c>
      <c r="G35" s="200">
        <v>23</v>
      </c>
      <c r="H35" s="183">
        <f>VLOOKUP(J35, 'Exh CTM-7 (Unitized Costs)'!$C$27:$D$34, 2, FALSE)</f>
        <v>1576.8033333333335</v>
      </c>
      <c r="I35" s="201">
        <f>IFERROR(IF(F35="Company",H35*G35/12, 0), 0)</f>
        <v>0</v>
      </c>
      <c r="J35" s="184">
        <v>240</v>
      </c>
      <c r="K35" s="201">
        <v>69.495762573691295</v>
      </c>
      <c r="L35" s="14">
        <f>K35*G35</f>
        <v>1598.4025391948999</v>
      </c>
      <c r="M35" s="118">
        <f>IF(F35="Company", 'Exh CTM-7 (Unitized Costs)'!$D$18*H35/K35, 0)</f>
        <v>0</v>
      </c>
      <c r="N35" s="118">
        <f>$N$9</f>
        <v>0.2294659292840994</v>
      </c>
      <c r="O35" s="202">
        <f>SUM(M35:N35)</f>
        <v>0.2294659292840994</v>
      </c>
      <c r="P35" s="84">
        <f>K35*M35</f>
        <v>0</v>
      </c>
      <c r="Q35" s="84">
        <f>K35*N35</f>
        <v>15.946909740279208</v>
      </c>
      <c r="R35" s="199">
        <f>SUM(P35:Q35)</f>
        <v>15.946909740279208</v>
      </c>
      <c r="S35" s="13">
        <v>0.24737155530318816</v>
      </c>
      <c r="T35" s="199">
        <f>S35*K35</f>
        <v>17.191274874835109</v>
      </c>
      <c r="U35" s="82">
        <f>($U$192*(V35/$V$192))</f>
        <v>262.27971507469255</v>
      </c>
      <c r="V35" s="82">
        <f>IF(E35="per lamp", R35*G35, O35*L35)</f>
        <v>366.77892402642181</v>
      </c>
      <c r="W35" s="82">
        <f>IF(E35="per lamp", T35*G35, S35*L35)</f>
        <v>395.39932212120749</v>
      </c>
      <c r="Z35" s="184"/>
    </row>
    <row r="36" spans="1:26" x14ac:dyDescent="0.2">
      <c r="A36" s="66">
        <f>A35+1</f>
        <v>29</v>
      </c>
      <c r="B36" s="48">
        <v>51</v>
      </c>
      <c r="C36" s="107" t="s">
        <v>236</v>
      </c>
      <c r="D36" s="49">
        <v>255</v>
      </c>
      <c r="E36" s="107" t="str">
        <f>'Exh CTM-7 (Tariff Rates Y1)'!$G$11</f>
        <v>per lamp</v>
      </c>
      <c r="F36" s="107" t="s">
        <v>56</v>
      </c>
      <c r="G36" s="200">
        <v>0</v>
      </c>
      <c r="H36" s="183">
        <f>VLOOKUP(J36, 'Exh CTM-7 (Unitized Costs)'!$C$27:$D$34, 2, FALSE)</f>
        <v>1602.95</v>
      </c>
      <c r="I36" s="201">
        <f>IFERROR(IF(F36="Company",H36*G36/12, 0), 0)</f>
        <v>0</v>
      </c>
      <c r="J36" s="184">
        <v>340</v>
      </c>
      <c r="K36" s="201">
        <v>92.063107873663981</v>
      </c>
      <c r="L36" s="14">
        <f>K36*G36</f>
        <v>0</v>
      </c>
      <c r="M36" s="118">
        <f>IF(F36="Company", 'Exh CTM-7 (Unitized Costs)'!$D$18*H36/K36, 0)</f>
        <v>0</v>
      </c>
      <c r="N36" s="118">
        <f>$N$9</f>
        <v>0.2294659292840994</v>
      </c>
      <c r="O36" s="202">
        <f>SUM(M36:N36)</f>
        <v>0.2294659292840994</v>
      </c>
      <c r="P36" s="84">
        <f>K36*M36</f>
        <v>0</v>
      </c>
      <c r="Q36" s="84">
        <f>K36*N36</f>
        <v>21.125346601012595</v>
      </c>
      <c r="R36" s="199">
        <f>SUM(P36:Q36)</f>
        <v>21.125346601012595</v>
      </c>
      <c r="S36" s="13">
        <v>0.24737155530318816</v>
      </c>
      <c r="T36" s="199">
        <f>S36*K36</f>
        <v>22.773794180753448</v>
      </c>
      <c r="U36" s="82">
        <f>($U$192*(V36/$V$192))</f>
        <v>0</v>
      </c>
      <c r="V36" s="82">
        <f>IF(E36="per lamp", R36*G36, O36*L36)</f>
        <v>0</v>
      </c>
      <c r="W36" s="82">
        <f>IF(E36="per lamp", T36*G36, S36*L36)</f>
        <v>0</v>
      </c>
      <c r="Z36" s="184"/>
    </row>
    <row r="37" spans="1:26" x14ac:dyDescent="0.2">
      <c r="A37" s="66">
        <f>A36+1</f>
        <v>30</v>
      </c>
      <c r="B37" s="48">
        <v>51</v>
      </c>
      <c r="C37" s="107" t="s">
        <v>237</v>
      </c>
      <c r="D37" s="49">
        <v>285</v>
      </c>
      <c r="E37" s="107" t="str">
        <f>'Exh CTM-7 (Tariff Rates Y1)'!$G$11</f>
        <v>per lamp</v>
      </c>
      <c r="F37" s="107" t="s">
        <v>56</v>
      </c>
      <c r="G37" s="200">
        <v>0</v>
      </c>
      <c r="H37" s="183">
        <f>VLOOKUP(J37, 'Exh CTM-7 (Unitized Costs)'!$C$27:$D$34, 2, FALSE)</f>
        <v>1602.95</v>
      </c>
      <c r="I37" s="201">
        <f>IFERROR(IF(F37="Company",H37*G37/12, 0), 0)</f>
        <v>0</v>
      </c>
      <c r="J37" s="184">
        <v>340</v>
      </c>
      <c r="K37" s="201">
        <v>92.063107873663981</v>
      </c>
      <c r="L37" s="14">
        <f>K37*G37</f>
        <v>0</v>
      </c>
      <c r="M37" s="118">
        <f>IF(F37="Company", 'Exh CTM-7 (Unitized Costs)'!$D$18*H37/K37, 0)</f>
        <v>0</v>
      </c>
      <c r="N37" s="118">
        <f>$N$9</f>
        <v>0.2294659292840994</v>
      </c>
      <c r="O37" s="202">
        <f>SUM(M37:N37)</f>
        <v>0.2294659292840994</v>
      </c>
      <c r="P37" s="84">
        <f>K37*M37</f>
        <v>0</v>
      </c>
      <c r="Q37" s="84">
        <f>K37*N37</f>
        <v>21.125346601012595</v>
      </c>
      <c r="R37" s="199">
        <f>SUM(P37:Q37)</f>
        <v>21.125346601012595</v>
      </c>
      <c r="S37" s="13">
        <v>0.24737155530318816</v>
      </c>
      <c r="T37" s="199">
        <f>S37*K37</f>
        <v>22.773794180753448</v>
      </c>
      <c r="U37" s="82">
        <f>($U$192*(V37/$V$192))</f>
        <v>0</v>
      </c>
      <c r="V37" s="82">
        <f>IF(E37="per lamp", R37*G37, O37*L37)</f>
        <v>0</v>
      </c>
      <c r="W37" s="82">
        <f>IF(E37="per lamp", T37*G37, S37*L37)</f>
        <v>0</v>
      </c>
      <c r="Z37" s="184"/>
    </row>
    <row r="38" spans="1:26" x14ac:dyDescent="0.2">
      <c r="A38" s="66">
        <f>A37+1</f>
        <v>31</v>
      </c>
      <c r="B38" s="52"/>
      <c r="C38" s="205"/>
      <c r="D38" s="53"/>
      <c r="E38" s="205"/>
      <c r="F38" s="205"/>
      <c r="G38" s="205"/>
      <c r="H38" s="205"/>
      <c r="I38" s="205"/>
      <c r="J38" s="205"/>
      <c r="K38" s="205"/>
      <c r="L38" s="16"/>
      <c r="M38" s="205"/>
      <c r="N38" s="205"/>
      <c r="O38" s="206"/>
      <c r="P38" s="205"/>
      <c r="Q38" s="205"/>
      <c r="R38" s="206"/>
      <c r="S38" s="15"/>
      <c r="T38" s="206"/>
      <c r="U38" s="207"/>
      <c r="V38" s="207"/>
      <c r="W38" s="207"/>
      <c r="Z38" s="184"/>
    </row>
    <row r="39" spans="1:26" x14ac:dyDescent="0.2">
      <c r="A39" s="66">
        <f>A38+1</f>
        <v>32</v>
      </c>
      <c r="B39" s="48">
        <v>52</v>
      </c>
      <c r="C39" s="107" t="s">
        <v>238</v>
      </c>
      <c r="D39" s="49">
        <v>50</v>
      </c>
      <c r="E39" s="107" t="str">
        <f>'Exh CTM-7 (Tariff Rates Y1)'!G50</f>
        <v>per lamp</v>
      </c>
      <c r="F39" s="107" t="s">
        <v>56</v>
      </c>
      <c r="G39" s="200">
        <v>0</v>
      </c>
      <c r="H39" s="183">
        <f>VLOOKUP(J39, 'Exh CTM-7 (Unitized Costs)'!$C$27:$D$34, 2, FALSE)</f>
        <v>1401.77</v>
      </c>
      <c r="I39" s="201">
        <f>IFERROR(IF(F39="Company",H39*G39/12, 0), 0)</f>
        <v>0</v>
      </c>
      <c r="J39" s="184">
        <v>60</v>
      </c>
      <c r="K39" s="201">
        <v>16.236746289282937</v>
      </c>
      <c r="L39" s="14">
        <f>K39*G39</f>
        <v>0</v>
      </c>
      <c r="M39" s="118">
        <f>IF(F39="Company", 'Exh CTM-7 (Unitized Costs)'!$D$18*H39/K39, 0)</f>
        <v>0</v>
      </c>
      <c r="N39" s="118">
        <f>$N$9</f>
        <v>0.2294659292840994</v>
      </c>
      <c r="O39" s="202">
        <f>SUM(M39:N39)</f>
        <v>0.2294659292840994</v>
      </c>
      <c r="P39" s="84">
        <f>K39*M39</f>
        <v>0</v>
      </c>
      <c r="Q39" s="84">
        <f>K39*N39</f>
        <v>3.7257800758204618</v>
      </c>
      <c r="R39" s="199">
        <f>SUM(P39:Q39)</f>
        <v>3.7257800758204618</v>
      </c>
      <c r="S39" s="13">
        <v>0.24737155530318816</v>
      </c>
      <c r="T39" s="199">
        <f>S39*K39</f>
        <v>4.0165091826431896</v>
      </c>
      <c r="U39" s="82">
        <f>($U$192*(V39/$V$192))</f>
        <v>0</v>
      </c>
      <c r="V39" s="82">
        <f>IF(E39="per lamp", R39*G39, O39*L39)</f>
        <v>0</v>
      </c>
      <c r="W39" s="82">
        <f>IF(E39="per lamp", T39*G39, S39*L39)</f>
        <v>0</v>
      </c>
      <c r="Z39" s="184"/>
    </row>
    <row r="40" spans="1:26" x14ac:dyDescent="0.2">
      <c r="A40" s="66">
        <f>A39+1</f>
        <v>33</v>
      </c>
      <c r="B40" s="48">
        <v>52</v>
      </c>
      <c r="C40" s="107" t="s">
        <v>239</v>
      </c>
      <c r="D40" s="49">
        <v>70</v>
      </c>
      <c r="E40" s="107" t="str">
        <f>'Exh CTM-7 (Tariff Rates Y1)'!G51</f>
        <v>per lamp</v>
      </c>
      <c r="F40" s="107" t="s">
        <v>56</v>
      </c>
      <c r="G40" s="200">
        <v>7894</v>
      </c>
      <c r="H40" s="183">
        <f>VLOOKUP(J40, 'Exh CTM-7 (Unitized Costs)'!$C$27:$D$34, 2, FALSE)</f>
        <v>1562.875</v>
      </c>
      <c r="I40" s="201">
        <f>IFERROR(IF(F40="Company",H40*G40/12, 0), 0)</f>
        <v>0</v>
      </c>
      <c r="J40" s="184">
        <v>90</v>
      </c>
      <c r="K40" s="201">
        <v>26.186795286420214</v>
      </c>
      <c r="L40" s="14">
        <f>K40*G40</f>
        <v>206718.56199100116</v>
      </c>
      <c r="M40" s="118">
        <f>IF(F40="Company", 'Exh CTM-7 (Unitized Costs)'!$D$18*H40/K40, 0)</f>
        <v>0</v>
      </c>
      <c r="N40" s="118">
        <f>$N$9</f>
        <v>0.2294659292840994</v>
      </c>
      <c r="O40" s="202">
        <f>SUM(M40:N40)</f>
        <v>0.2294659292840994</v>
      </c>
      <c r="P40" s="84">
        <f>K40*M40</f>
        <v>0</v>
      </c>
      <c r="Q40" s="84">
        <f>K40*N40</f>
        <v>6.0089773153708883</v>
      </c>
      <c r="R40" s="199">
        <f>SUM(P40:Q40)</f>
        <v>6.0089773153708883</v>
      </c>
      <c r="S40" s="13">
        <v>0.24737155530318816</v>
      </c>
      <c r="T40" s="199">
        <f>S40*K40</f>
        <v>6.4778682784079651</v>
      </c>
      <c r="U40" s="82">
        <f>($U$192*(V40/$V$192))</f>
        <v>33920.169800880758</v>
      </c>
      <c r="V40" s="82">
        <f>IF(E40="per lamp", R40*G40, O40*L40)</f>
        <v>47434.866927537791</v>
      </c>
      <c r="W40" s="82">
        <f>IF(E40="per lamp", T40*G40, S40*L40)</f>
        <v>51136.292189752479</v>
      </c>
      <c r="Z40" s="184"/>
    </row>
    <row r="41" spans="1:26" x14ac:dyDescent="0.2">
      <c r="A41" s="66">
        <f>A40+1</f>
        <v>34</v>
      </c>
      <c r="B41" s="48">
        <v>52</v>
      </c>
      <c r="C41" s="107" t="s">
        <v>240</v>
      </c>
      <c r="D41" s="49">
        <v>100</v>
      </c>
      <c r="E41" s="107" t="str">
        <f>'Exh CTM-7 (Tariff Rates Y1)'!G52</f>
        <v>per lamp</v>
      </c>
      <c r="F41" s="107" t="s">
        <v>56</v>
      </c>
      <c r="G41" s="200">
        <v>114110</v>
      </c>
      <c r="H41" s="183">
        <f>VLOOKUP(J41, 'Exh CTM-7 (Unitized Costs)'!$C$27:$D$34, 2, FALSE)</f>
        <v>1456.9933333333331</v>
      </c>
      <c r="I41" s="201">
        <f>IFERROR(IF(F41="Company",H41*G41/12, 0), 0)</f>
        <v>0</v>
      </c>
      <c r="J41" s="184">
        <v>150</v>
      </c>
      <c r="K41" s="201">
        <v>39.674794170929992</v>
      </c>
      <c r="L41" s="14">
        <f>K41*G41</f>
        <v>4527290.7628448214</v>
      </c>
      <c r="M41" s="118">
        <f>IF(F41="Company", 'Exh CTM-7 (Unitized Costs)'!$D$18*H41/K41, 0)</f>
        <v>0</v>
      </c>
      <c r="N41" s="118">
        <f>$N$9</f>
        <v>0.2294659292840994</v>
      </c>
      <c r="O41" s="202">
        <f>SUM(M41:N41)</f>
        <v>0.2294659292840994</v>
      </c>
      <c r="P41" s="84">
        <f>K41*M41</f>
        <v>0</v>
      </c>
      <c r="Q41" s="84">
        <f>K41*N41</f>
        <v>9.1040135135878213</v>
      </c>
      <c r="R41" s="199">
        <f>SUM(P41:Q41)</f>
        <v>9.1040135135878213</v>
      </c>
      <c r="S41" s="13">
        <v>0.24737155530318816</v>
      </c>
      <c r="T41" s="199">
        <f>S41*K41</f>
        <v>9.8144155403968156</v>
      </c>
      <c r="U41" s="82">
        <f>($U$192*(V41/$V$192))</f>
        <v>742877.03017371194</v>
      </c>
      <c r="V41" s="82">
        <f>IF(E41="per lamp", R41*G41, O41*L41)</f>
        <v>1038858.9820355063</v>
      </c>
      <c r="W41" s="82">
        <f>IF(E41="per lamp", T41*G41, S41*L41)</f>
        <v>1119922.9573146806</v>
      </c>
      <c r="Z41" s="184"/>
    </row>
    <row r="42" spans="1:26" x14ac:dyDescent="0.2">
      <c r="A42" s="66">
        <f>A41+1</f>
        <v>35</v>
      </c>
      <c r="B42" s="48">
        <v>52</v>
      </c>
      <c r="C42" s="107" t="s">
        <v>241</v>
      </c>
      <c r="D42" s="49">
        <v>150</v>
      </c>
      <c r="E42" s="107" t="str">
        <f>'Exh CTM-7 (Tariff Rates Y1)'!G53</f>
        <v>per lamp</v>
      </c>
      <c r="F42" s="107" t="s">
        <v>56</v>
      </c>
      <c r="G42" s="200">
        <v>53138</v>
      </c>
      <c r="H42" s="183">
        <f>VLOOKUP(J42, 'Exh CTM-7 (Unitized Costs)'!$C$27:$D$34, 2, FALSE)</f>
        <v>1456.9933333333331</v>
      </c>
      <c r="I42" s="201">
        <f>IFERROR(IF(F42="Company",H42*G42/12, 0), 0)</f>
        <v>0</v>
      </c>
      <c r="J42" s="184">
        <v>150</v>
      </c>
      <c r="K42" s="201">
        <v>39.674794170929992</v>
      </c>
      <c r="L42" s="14">
        <f>K42*G42</f>
        <v>2108239.2126548779</v>
      </c>
      <c r="M42" s="118">
        <f>IF(F42="Company", 'Exh CTM-7 (Unitized Costs)'!$D$18*H42/K42, 0)</f>
        <v>0</v>
      </c>
      <c r="N42" s="118">
        <f>$N$9</f>
        <v>0.2294659292840994</v>
      </c>
      <c r="O42" s="202">
        <f>SUM(M42:N42)</f>
        <v>0.2294659292840994</v>
      </c>
      <c r="P42" s="84">
        <f>K42*M42</f>
        <v>0</v>
      </c>
      <c r="Q42" s="84">
        <f>K42*N42</f>
        <v>9.1040135135878213</v>
      </c>
      <c r="R42" s="199">
        <f>SUM(P42:Q42)</f>
        <v>9.1040135135878213</v>
      </c>
      <c r="S42" s="13">
        <v>0.24737155530318816</v>
      </c>
      <c r="T42" s="199">
        <f>S42*K42</f>
        <v>9.8144155403968156</v>
      </c>
      <c r="U42" s="82">
        <f>($U$192*(V42/$V$192))</f>
        <v>345938.12662668223</v>
      </c>
      <c r="V42" s="82">
        <f>IF(E42="per lamp", R42*G42, O42*L42)</f>
        <v>483769.07008502964</v>
      </c>
      <c r="W42" s="82">
        <f>IF(E42="per lamp", T42*G42, S42*L42)</f>
        <v>521518.412985606</v>
      </c>
      <c r="Z42" s="184"/>
    </row>
    <row r="43" spans="1:26" x14ac:dyDescent="0.2">
      <c r="A43" s="66">
        <f>A42+1</f>
        <v>36</v>
      </c>
      <c r="B43" s="48">
        <v>52</v>
      </c>
      <c r="C43" s="107" t="s">
        <v>242</v>
      </c>
      <c r="D43" s="49">
        <v>200</v>
      </c>
      <c r="E43" s="107" t="str">
        <f>'Exh CTM-7 (Tariff Rates Y1)'!G54</f>
        <v>per lamp</v>
      </c>
      <c r="F43" s="107" t="s">
        <v>56</v>
      </c>
      <c r="G43" s="200">
        <v>11171</v>
      </c>
      <c r="H43" s="183">
        <f>VLOOKUP(J43, 'Exh CTM-7 (Unitized Costs)'!$C$27:$D$34, 2, FALSE)</f>
        <v>1576.8033333333335</v>
      </c>
      <c r="I43" s="201">
        <f>IFERROR(IF(F43="Company",H43*G43/12, 0), 0)</f>
        <v>0</v>
      </c>
      <c r="J43" s="184">
        <v>240</v>
      </c>
      <c r="K43" s="201">
        <v>69.495762573691295</v>
      </c>
      <c r="L43" s="14">
        <f>K43*G43</f>
        <v>776337.16371070547</v>
      </c>
      <c r="M43" s="118">
        <f>IF(F43="Company", 'Exh CTM-7 (Unitized Costs)'!$D$18*H43/K43, 0)</f>
        <v>0</v>
      </c>
      <c r="N43" s="118">
        <f>$N$9</f>
        <v>0.2294659292840994</v>
      </c>
      <c r="O43" s="202">
        <f>SUM(M43:N43)</f>
        <v>0.2294659292840994</v>
      </c>
      <c r="P43" s="84">
        <f>K43*M43</f>
        <v>0</v>
      </c>
      <c r="Q43" s="84">
        <f>K43*N43</f>
        <v>15.946909740279208</v>
      </c>
      <c r="R43" s="199">
        <f>SUM(P43:Q43)</f>
        <v>15.946909740279208</v>
      </c>
      <c r="S43" s="13">
        <v>0.24737155530318816</v>
      </c>
      <c r="T43" s="199">
        <f>S43*K43</f>
        <v>17.191274874835109</v>
      </c>
      <c r="U43" s="82">
        <f>($U$192*(V43/$V$192))</f>
        <v>127388.1172651909</v>
      </c>
      <c r="V43" s="82">
        <f>IF(E43="per lamp", R43*G43, O43*L43)</f>
        <v>178142.92870865905</v>
      </c>
      <c r="W43" s="82">
        <f>IF(E43="per lamp", T43*G43, S43*L43)</f>
        <v>192043.731626783</v>
      </c>
      <c r="Z43" s="184"/>
    </row>
    <row r="44" spans="1:26" x14ac:dyDescent="0.2">
      <c r="A44" s="66">
        <f>A43+1</f>
        <v>37</v>
      </c>
      <c r="B44" s="48">
        <v>52</v>
      </c>
      <c r="C44" s="107" t="s">
        <v>243</v>
      </c>
      <c r="D44" s="49">
        <v>250</v>
      </c>
      <c r="E44" s="107" t="str">
        <f>'Exh CTM-7 (Tariff Rates Y1)'!G55</f>
        <v>per lamp</v>
      </c>
      <c r="F44" s="107" t="s">
        <v>56</v>
      </c>
      <c r="G44" s="200">
        <v>16530</v>
      </c>
      <c r="H44" s="183">
        <f>VLOOKUP(J44, 'Exh CTM-7 (Unitized Costs)'!$C$27:$D$34, 2, FALSE)</f>
        <v>1602.95</v>
      </c>
      <c r="I44" s="201">
        <f>IFERROR(IF(F44="Company",H44*G44/12, 0), 0)</f>
        <v>0</v>
      </c>
      <c r="J44" s="184">
        <v>340</v>
      </c>
      <c r="K44" s="201">
        <v>92.063107873663981</v>
      </c>
      <c r="L44" s="14">
        <f>K44*G44</f>
        <v>1521803.1731516656</v>
      </c>
      <c r="M44" s="118">
        <f>IF(F44="Company", 'Exh CTM-7 (Unitized Costs)'!$D$18*H44/K44, 0)</f>
        <v>0</v>
      </c>
      <c r="N44" s="118">
        <f>$N$9</f>
        <v>0.2294659292840994</v>
      </c>
      <c r="O44" s="202">
        <f>SUM(M44:N44)</f>
        <v>0.2294659292840994</v>
      </c>
      <c r="P44" s="84">
        <f>K44*M44</f>
        <v>0</v>
      </c>
      <c r="Q44" s="84">
        <f>K44*N44</f>
        <v>21.125346601012595</v>
      </c>
      <c r="R44" s="199">
        <f>SUM(P44:Q44)</f>
        <v>21.125346601012595</v>
      </c>
      <c r="S44" s="13">
        <v>0.24737155530318816</v>
      </c>
      <c r="T44" s="199">
        <f>S44*K44</f>
        <v>22.773794180753448</v>
      </c>
      <c r="U44" s="82">
        <f>($U$192*(V44/$V$192))</f>
        <v>249710.62849726449</v>
      </c>
      <c r="V44" s="82">
        <f>IF(E44="per lamp", R44*G44, O44*L44)</f>
        <v>349201.97931473819</v>
      </c>
      <c r="W44" s="82">
        <f>IF(E44="per lamp", T44*G44, S44*L44)</f>
        <v>376450.8178078545</v>
      </c>
      <c r="Z44" s="184"/>
    </row>
    <row r="45" spans="1:26" x14ac:dyDescent="0.2">
      <c r="A45" s="66">
        <f>A44+1</f>
        <v>38</v>
      </c>
      <c r="B45" s="48">
        <v>52</v>
      </c>
      <c r="C45" s="107" t="s">
        <v>244</v>
      </c>
      <c r="D45" s="49">
        <v>310</v>
      </c>
      <c r="E45" s="107" t="str">
        <f>'Exh CTM-7 (Tariff Rates Y1)'!G56</f>
        <v>per lamp</v>
      </c>
      <c r="F45" s="107" t="s">
        <v>56</v>
      </c>
      <c r="G45" s="200">
        <v>1721</v>
      </c>
      <c r="H45" s="183">
        <f>VLOOKUP(J45, 'Exh CTM-7 (Unitized Costs)'!$C$27:$D$34, 2, FALSE)</f>
        <v>1602.95</v>
      </c>
      <c r="I45" s="201">
        <f>IFERROR(IF(F45="Company",H45*G45/12, 0), 0)</f>
        <v>0</v>
      </c>
      <c r="J45" s="184">
        <v>340</v>
      </c>
      <c r="K45" s="201">
        <v>92.063107873663981</v>
      </c>
      <c r="L45" s="14">
        <f>K45*G45</f>
        <v>158440.60865057571</v>
      </c>
      <c r="M45" s="118">
        <f>IF(F45="Company", 'Exh CTM-7 (Unitized Costs)'!$D$18*H45/K45, 0)</f>
        <v>0</v>
      </c>
      <c r="N45" s="118">
        <f>$N$9</f>
        <v>0.2294659292840994</v>
      </c>
      <c r="O45" s="202">
        <f>SUM(M45:N45)</f>
        <v>0.2294659292840994</v>
      </c>
      <c r="P45" s="84">
        <f>K45*M45</f>
        <v>0</v>
      </c>
      <c r="Q45" s="84">
        <f>K45*N45</f>
        <v>21.125346601012595</v>
      </c>
      <c r="R45" s="199">
        <f>SUM(P45:Q45)</f>
        <v>21.125346601012595</v>
      </c>
      <c r="S45" s="13">
        <v>0.24737155530318816</v>
      </c>
      <c r="T45" s="199">
        <f>S45*K45</f>
        <v>22.773794180753448</v>
      </c>
      <c r="U45" s="82">
        <f>($U$192*(V45/$V$192))</f>
        <v>25998.305604585134</v>
      </c>
      <c r="V45" s="82">
        <f>IF(E45="per lamp", R45*G45, O45*L45)</f>
        <v>36356.721500342675</v>
      </c>
      <c r="W45" s="82">
        <f>IF(E45="per lamp", T45*G45, S45*L45)</f>
        <v>39193.699785076686</v>
      </c>
      <c r="Z45" s="184"/>
    </row>
    <row r="46" spans="1:26" x14ac:dyDescent="0.2">
      <c r="A46" s="66">
        <f>A45+1</f>
        <v>39</v>
      </c>
      <c r="B46" s="48">
        <v>52</v>
      </c>
      <c r="C46" s="107" t="s">
        <v>245</v>
      </c>
      <c r="D46" s="49">
        <v>400</v>
      </c>
      <c r="E46" s="107" t="str">
        <f>'Exh CTM-7 (Tariff Rates Y1)'!G57</f>
        <v>per lamp</v>
      </c>
      <c r="F46" s="107" t="s">
        <v>56</v>
      </c>
      <c r="G46" s="200">
        <v>6966</v>
      </c>
      <c r="H46" s="183">
        <f>VLOOKUP(J46, 'Exh CTM-7 (Unitized Costs)'!$C$27:$D$34, 2, FALSE)</f>
        <v>1388.9766666666667</v>
      </c>
      <c r="I46" s="201">
        <f>IFERROR(IF(F46="Company",H46*G46/12, 0), 0)</f>
        <v>0</v>
      </c>
      <c r="J46" s="184">
        <v>600</v>
      </c>
      <c r="K46" s="201">
        <v>144.31146442180207</v>
      </c>
      <c r="L46" s="14">
        <f>K46*G46</f>
        <v>1005273.6611622733</v>
      </c>
      <c r="M46" s="118">
        <f>IF(F46="Company", 'Exh CTM-7 (Unitized Costs)'!$D$18*H46/K46, 0)</f>
        <v>0</v>
      </c>
      <c r="N46" s="118">
        <f>$N$9</f>
        <v>0.2294659292840994</v>
      </c>
      <c r="O46" s="202">
        <f>SUM(M46:N46)</f>
        <v>0.2294659292840994</v>
      </c>
      <c r="P46" s="84">
        <f>K46*M46</f>
        <v>0</v>
      </c>
      <c r="Q46" s="84">
        <f>K46*N46</f>
        <v>33.114564289898063</v>
      </c>
      <c r="R46" s="199">
        <f>SUM(P46:Q46)</f>
        <v>33.114564289898063</v>
      </c>
      <c r="S46" s="13">
        <v>0.24737155530318816</v>
      </c>
      <c r="T46" s="199">
        <f>S46*K46</f>
        <v>35.698551402101884</v>
      </c>
      <c r="U46" s="82">
        <f>($U$192*(V46/$V$192))</f>
        <v>164953.99810521986</v>
      </c>
      <c r="V46" s="82">
        <f>IF(E46="per lamp", R46*G46, O46*L46)</f>
        <v>230676.05484342991</v>
      </c>
      <c r="W46" s="82">
        <f>IF(E46="per lamp", T46*G46, S46*L46)</f>
        <v>248676.10906704172</v>
      </c>
      <c r="Z46" s="184"/>
    </row>
    <row r="47" spans="1:26" x14ac:dyDescent="0.2">
      <c r="A47" s="66">
        <f>A46+1</f>
        <v>40</v>
      </c>
      <c r="B47" s="48">
        <v>52</v>
      </c>
      <c r="C47" s="107" t="s">
        <v>246</v>
      </c>
      <c r="D47" s="49">
        <v>70</v>
      </c>
      <c r="E47" s="107" t="str">
        <f>'Exh CTM-7 (Tariff Rates Y1)'!G59</f>
        <v>per lamp</v>
      </c>
      <c r="F47" s="107" t="s">
        <v>56</v>
      </c>
      <c r="G47" s="200">
        <v>841</v>
      </c>
      <c r="H47" s="183">
        <f>VLOOKUP(J47, 'Exh CTM-7 (Unitized Costs)'!$C$27:$D$34, 2, FALSE)</f>
        <v>1562.875</v>
      </c>
      <c r="I47" s="201">
        <f>IFERROR(IF(F47="Company",H47*G47/12, 0), 0)</f>
        <v>0</v>
      </c>
      <c r="J47" s="184">
        <v>90</v>
      </c>
      <c r="K47" s="201">
        <v>26.186795286420214</v>
      </c>
      <c r="L47" s="14">
        <f>K47*G47</f>
        <v>22023.094835879401</v>
      </c>
      <c r="M47" s="118">
        <f>IF(F47="Company", 'Exh CTM-7 (Unitized Costs)'!$D$18*H47/K47, 0)</f>
        <v>0</v>
      </c>
      <c r="N47" s="118">
        <f>$N$9</f>
        <v>0.2294659292840994</v>
      </c>
      <c r="O47" s="202">
        <f>SUM(M47:N47)</f>
        <v>0.2294659292840994</v>
      </c>
      <c r="P47" s="84">
        <f>K47*M47</f>
        <v>0</v>
      </c>
      <c r="Q47" s="84">
        <f>K47*N47</f>
        <v>6.0089773153708883</v>
      </c>
      <c r="R47" s="199">
        <f>SUM(P47:Q47)</f>
        <v>6.0089773153708883</v>
      </c>
      <c r="S47" s="13">
        <v>0.24737155530318816</v>
      </c>
      <c r="T47" s="199">
        <f>S47*K47</f>
        <v>6.4778682784079651</v>
      </c>
      <c r="U47" s="82">
        <f>($U$192*(V47/$V$192))</f>
        <v>3613.7399040462019</v>
      </c>
      <c r="V47" s="82">
        <f>IF(E47="per lamp", R47*G47, O47*L47)</f>
        <v>5053.5499222269173</v>
      </c>
      <c r="W47" s="82">
        <f>IF(E47="per lamp", T47*G47, S47*L47)</f>
        <v>5447.8872221410984</v>
      </c>
      <c r="Z47" s="184"/>
    </row>
    <row r="48" spans="1:26" x14ac:dyDescent="0.2">
      <c r="A48" s="66">
        <f>A47+1</f>
        <v>41</v>
      </c>
      <c r="B48" s="48">
        <v>52</v>
      </c>
      <c r="C48" s="107" t="s">
        <v>247</v>
      </c>
      <c r="D48" s="49">
        <v>100</v>
      </c>
      <c r="E48" s="107" t="str">
        <f>'Exh CTM-7 (Tariff Rates Y1)'!G60</f>
        <v>per lamp</v>
      </c>
      <c r="F48" s="107" t="s">
        <v>56</v>
      </c>
      <c r="G48" s="200">
        <v>46</v>
      </c>
      <c r="H48" s="183">
        <f>VLOOKUP(J48, 'Exh CTM-7 (Unitized Costs)'!$C$27:$D$34, 2, FALSE)</f>
        <v>1456.9933333333331</v>
      </c>
      <c r="I48" s="201">
        <f>IFERROR(IF(F48="Company",H48*G48/12, 0), 0)</f>
        <v>0</v>
      </c>
      <c r="J48" s="184">
        <v>150</v>
      </c>
      <c r="K48" s="201">
        <v>39.674794170929992</v>
      </c>
      <c r="L48" s="14">
        <f>K48*G48</f>
        <v>1825.0405318627797</v>
      </c>
      <c r="M48" s="118">
        <f>IF(F48="Company", 'Exh CTM-7 (Unitized Costs)'!$D$18*H48/K48, 0)</f>
        <v>0</v>
      </c>
      <c r="N48" s="118">
        <f>$N$9</f>
        <v>0.2294659292840994</v>
      </c>
      <c r="O48" s="202">
        <f>SUM(M48:N48)</f>
        <v>0.2294659292840994</v>
      </c>
      <c r="P48" s="84">
        <f>K48*M48</f>
        <v>0</v>
      </c>
      <c r="Q48" s="84">
        <f>K48*N48</f>
        <v>9.1040135135878213</v>
      </c>
      <c r="R48" s="199">
        <f>SUM(P48:Q48)</f>
        <v>9.1040135135878213</v>
      </c>
      <c r="S48" s="13">
        <v>0.24737155530318816</v>
      </c>
      <c r="T48" s="199">
        <f>S48*K48</f>
        <v>9.8144155403968156</v>
      </c>
      <c r="U48" s="82">
        <f>($U$192*(V48/$V$192))</f>
        <v>299.46843736737145</v>
      </c>
      <c r="V48" s="82">
        <f>IF(E48="per lamp", R48*G48, O48*L48)</f>
        <v>418.78462162503979</v>
      </c>
      <c r="W48" s="82">
        <f>IF(E48="per lamp", T48*G48, S48*L48)</f>
        <v>451.4631148582535</v>
      </c>
      <c r="Z48" s="184"/>
    </row>
    <row r="49" spans="1:26" x14ac:dyDescent="0.2">
      <c r="A49" s="66">
        <f>A48+1</f>
        <v>42</v>
      </c>
      <c r="B49" s="48">
        <v>52</v>
      </c>
      <c r="C49" s="107" t="s">
        <v>248</v>
      </c>
      <c r="D49" s="49">
        <v>150</v>
      </c>
      <c r="E49" s="107" t="str">
        <f>'Exh CTM-7 (Tariff Rates Y1)'!G61</f>
        <v>per lamp</v>
      </c>
      <c r="F49" s="107" t="s">
        <v>56</v>
      </c>
      <c r="G49" s="200">
        <v>2376</v>
      </c>
      <c r="H49" s="183">
        <f>VLOOKUP(J49, 'Exh CTM-7 (Unitized Costs)'!$C$27:$D$34, 2, FALSE)</f>
        <v>1456.9933333333331</v>
      </c>
      <c r="I49" s="201">
        <f>IFERROR(IF(F49="Company",H49*G49/12, 0), 0)</f>
        <v>0</v>
      </c>
      <c r="J49" s="184">
        <v>150</v>
      </c>
      <c r="K49" s="201">
        <v>39.674794170929992</v>
      </c>
      <c r="L49" s="14">
        <f>K49*G49</f>
        <v>94267.310950129657</v>
      </c>
      <c r="M49" s="118">
        <f>IF(F49="Company", 'Exh CTM-7 (Unitized Costs)'!$D$18*H49/K49, 0)</f>
        <v>0</v>
      </c>
      <c r="N49" s="118">
        <f>$N$9</f>
        <v>0.2294659292840994</v>
      </c>
      <c r="O49" s="202">
        <f>SUM(M49:N49)</f>
        <v>0.2294659292840994</v>
      </c>
      <c r="P49" s="84">
        <f>K49*M49</f>
        <v>0</v>
      </c>
      <c r="Q49" s="84">
        <f>K49*N49</f>
        <v>9.1040135135878213</v>
      </c>
      <c r="R49" s="199">
        <f>SUM(P49:Q49)</f>
        <v>9.1040135135878213</v>
      </c>
      <c r="S49" s="13">
        <v>0.24737155530318816</v>
      </c>
      <c r="T49" s="199">
        <f>S49*K49</f>
        <v>9.8144155403968156</v>
      </c>
      <c r="U49" s="82">
        <f>($U$192*(V49/$V$192))</f>
        <v>15468.195808366836</v>
      </c>
      <c r="V49" s="82">
        <f>IF(E49="per lamp", R49*G49, O49*L49)</f>
        <v>21631.136108284663</v>
      </c>
      <c r="W49" s="82">
        <f>IF(E49="per lamp", T49*G49, S49*L49)</f>
        <v>23319.051323982832</v>
      </c>
      <c r="Z49" s="184"/>
    </row>
    <row r="50" spans="1:26" x14ac:dyDescent="0.2">
      <c r="A50" s="66">
        <f>A49+1</f>
        <v>43</v>
      </c>
      <c r="B50" s="48">
        <v>52</v>
      </c>
      <c r="C50" s="107" t="s">
        <v>249</v>
      </c>
      <c r="D50" s="49">
        <v>175</v>
      </c>
      <c r="E50" s="107" t="str">
        <f>'Exh CTM-7 (Tariff Rates Y1)'!G62</f>
        <v>per lamp</v>
      </c>
      <c r="F50" s="107" t="s">
        <v>56</v>
      </c>
      <c r="G50" s="200">
        <v>2514</v>
      </c>
      <c r="H50" s="183">
        <f>VLOOKUP(J50, 'Exh CTM-7 (Unitized Costs)'!$C$27:$D$34, 2, FALSE)</f>
        <v>1576.8033333333335</v>
      </c>
      <c r="I50" s="201">
        <f>IFERROR(IF(F50="Company",H50*G50/12, 0), 0)</f>
        <v>0</v>
      </c>
      <c r="J50" s="184">
        <v>240</v>
      </c>
      <c r="K50" s="201">
        <v>69.495762573691295</v>
      </c>
      <c r="L50" s="14">
        <f>K50*G50</f>
        <v>174712.34711025993</v>
      </c>
      <c r="M50" s="118">
        <f>IF(F50="Company", 'Exh CTM-7 (Unitized Costs)'!$D$18*H50/K50, 0)</f>
        <v>0</v>
      </c>
      <c r="N50" s="118">
        <f>$N$9</f>
        <v>0.2294659292840994</v>
      </c>
      <c r="O50" s="202">
        <f>SUM(M50:N50)</f>
        <v>0.2294659292840994</v>
      </c>
      <c r="P50" s="84">
        <f>K50*M50</f>
        <v>0</v>
      </c>
      <c r="Q50" s="84">
        <f>K50*N50</f>
        <v>15.946909740279208</v>
      </c>
      <c r="R50" s="199">
        <f>SUM(P50:Q50)</f>
        <v>15.946909740279208</v>
      </c>
      <c r="S50" s="13">
        <v>0.24737155530318816</v>
      </c>
      <c r="T50" s="199">
        <f>S50*K50</f>
        <v>17.191274874835109</v>
      </c>
      <c r="U50" s="82">
        <f>($U$192*(V50/$V$192))</f>
        <v>28668.313204251179</v>
      </c>
      <c r="V50" s="82">
        <f>IF(E50="per lamp", R50*G50, O50*L50)</f>
        <v>40090.531087061929</v>
      </c>
      <c r="W50" s="82">
        <f>IF(E50="per lamp", T50*G50, S50*L50)</f>
        <v>43218.865035335468</v>
      </c>
      <c r="Z50" s="184"/>
    </row>
    <row r="51" spans="1:26" x14ac:dyDescent="0.2">
      <c r="A51" s="66">
        <f>A50+1</f>
        <v>44</v>
      </c>
      <c r="B51" s="48">
        <v>52</v>
      </c>
      <c r="C51" s="107" t="s">
        <v>250</v>
      </c>
      <c r="D51" s="49">
        <v>250</v>
      </c>
      <c r="E51" s="107" t="str">
        <f>'Exh CTM-7 (Tariff Rates Y1)'!G63</f>
        <v>per lamp</v>
      </c>
      <c r="F51" s="107" t="s">
        <v>56</v>
      </c>
      <c r="G51" s="200">
        <v>428</v>
      </c>
      <c r="H51" s="183">
        <f>VLOOKUP(J51, 'Exh CTM-7 (Unitized Costs)'!$C$27:$D$34, 2, FALSE)</f>
        <v>1602.95</v>
      </c>
      <c r="I51" s="201">
        <f>IFERROR(IF(F51="Company",H51*G51/12, 0), 0)</f>
        <v>0</v>
      </c>
      <c r="J51" s="184">
        <v>340</v>
      </c>
      <c r="K51" s="201">
        <v>92.063107873663981</v>
      </c>
      <c r="L51" s="14">
        <f>K51*G51</f>
        <v>39403.01016992818</v>
      </c>
      <c r="M51" s="118">
        <f>IF(F51="Company", 'Exh CTM-7 (Unitized Costs)'!$D$18*H51/K51, 0)</f>
        <v>0</v>
      </c>
      <c r="N51" s="118">
        <f>$N$9</f>
        <v>0.2294659292840994</v>
      </c>
      <c r="O51" s="202">
        <f>SUM(M51:N51)</f>
        <v>0.2294659292840994</v>
      </c>
      <c r="P51" s="84">
        <f>K51*M51</f>
        <v>0</v>
      </c>
      <c r="Q51" s="84">
        <f>K51*N51</f>
        <v>21.125346601012595</v>
      </c>
      <c r="R51" s="199">
        <f>SUM(P51:Q51)</f>
        <v>21.125346601012595</v>
      </c>
      <c r="S51" s="13">
        <v>0.24737155530318816</v>
      </c>
      <c r="T51" s="199">
        <f>S51*K51</f>
        <v>22.773794180753448</v>
      </c>
      <c r="U51" s="82">
        <f>($U$192*(V51/$V$192))</f>
        <v>6465.5867511693414</v>
      </c>
      <c r="V51" s="82">
        <f>IF(E51="per lamp", R51*G51, O51*L51)</f>
        <v>9041.6483452333905</v>
      </c>
      <c r="W51" s="82">
        <f>IF(E51="per lamp", T51*G51, S51*L51)</f>
        <v>9747.1839093624767</v>
      </c>
      <c r="Z51" s="184"/>
    </row>
    <row r="52" spans="1:26" x14ac:dyDescent="0.2">
      <c r="A52" s="66">
        <f>A51+1</f>
        <v>45</v>
      </c>
      <c r="B52" s="48">
        <v>52</v>
      </c>
      <c r="C52" s="107" t="s">
        <v>251</v>
      </c>
      <c r="D52" s="49">
        <v>400</v>
      </c>
      <c r="E52" s="107" t="str">
        <f>'Exh CTM-7 (Tariff Rates Y1)'!G64</f>
        <v>per lamp</v>
      </c>
      <c r="F52" s="107" t="s">
        <v>56</v>
      </c>
      <c r="G52" s="200">
        <v>684</v>
      </c>
      <c r="H52" s="183">
        <f>VLOOKUP(J52, 'Exh CTM-7 (Unitized Costs)'!$C$27:$D$34, 2, FALSE)</f>
        <v>1388.9766666666667</v>
      </c>
      <c r="I52" s="201">
        <f>IFERROR(IF(F52="Company",H52*G52/12, 0), 0)</f>
        <v>0</v>
      </c>
      <c r="J52" s="184">
        <v>600</v>
      </c>
      <c r="K52" s="201">
        <v>144.31146442180207</v>
      </c>
      <c r="L52" s="14">
        <f>K52*G52</f>
        <v>98709.04166451261</v>
      </c>
      <c r="M52" s="118">
        <f>IF(F52="Company", 'Exh CTM-7 (Unitized Costs)'!$D$18*H52/K52, 0)</f>
        <v>0</v>
      </c>
      <c r="N52" s="118">
        <f>$N$9</f>
        <v>0.2294659292840994</v>
      </c>
      <c r="O52" s="202">
        <f>SUM(M52:N52)</f>
        <v>0.2294659292840994</v>
      </c>
      <c r="P52" s="84">
        <f>K52*M52</f>
        <v>0</v>
      </c>
      <c r="Q52" s="84">
        <f>K52*N52</f>
        <v>33.114564289898063</v>
      </c>
      <c r="R52" s="199">
        <f>SUM(P52:Q52)</f>
        <v>33.114564289898063</v>
      </c>
      <c r="S52" s="13">
        <v>0.24737155530318816</v>
      </c>
      <c r="T52" s="199">
        <f>S52*K52</f>
        <v>35.698551402101884</v>
      </c>
      <c r="U52" s="82">
        <f>($U$192*(V52/$V$192))</f>
        <v>16197.0334056805</v>
      </c>
      <c r="V52" s="82">
        <f>IF(E52="per lamp", R52*G52, O52*L52)</f>
        <v>22650.361974290274</v>
      </c>
      <c r="W52" s="82">
        <f>IF(E52="per lamp", T52*G52, S52*L52)</f>
        <v>24417.80915903769</v>
      </c>
      <c r="Z52" s="184"/>
    </row>
    <row r="53" spans="1:26" x14ac:dyDescent="0.2">
      <c r="A53" s="66">
        <f>A52+1</f>
        <v>46</v>
      </c>
      <c r="B53" s="48">
        <v>52</v>
      </c>
      <c r="C53" s="107" t="s">
        <v>252</v>
      </c>
      <c r="D53" s="49">
        <v>1000</v>
      </c>
      <c r="E53" s="107" t="str">
        <f>'Exh CTM-7 (Tariff Rates Y1)'!G65</f>
        <v>per lamp</v>
      </c>
      <c r="F53" s="107" t="s">
        <v>56</v>
      </c>
      <c r="G53" s="200">
        <v>216</v>
      </c>
      <c r="H53" s="183">
        <f>VLOOKUP(J53, 'Exh CTM-7 (Unitized Costs)'!$C$27:$D$34, 2, FALSE)</f>
        <v>1783.47</v>
      </c>
      <c r="I53" s="201">
        <f>IFERROR(IF(F53="Company",H53*G53/12, 0), 0)</f>
        <v>0</v>
      </c>
      <c r="J53" s="184">
        <v>1000</v>
      </c>
      <c r="K53" s="201">
        <v>360.77866105450516</v>
      </c>
      <c r="L53" s="14">
        <f>K53*G53</f>
        <v>77928.190787773114</v>
      </c>
      <c r="M53" s="118">
        <f>IF(F53="Company", 'Exh CTM-7 (Unitized Costs)'!$D$18*H53/K53, 0)</f>
        <v>0</v>
      </c>
      <c r="N53" s="118">
        <f>$N$9</f>
        <v>0.2294659292840994</v>
      </c>
      <c r="O53" s="202">
        <f>SUM(M53:N53)</f>
        <v>0.2294659292840994</v>
      </c>
      <c r="P53" s="84">
        <f>K53*M53</f>
        <v>0</v>
      </c>
      <c r="Q53" s="84">
        <f>K53*N53</f>
        <v>82.786410724745153</v>
      </c>
      <c r="R53" s="199">
        <f>SUM(P53:Q53)</f>
        <v>82.786410724745153</v>
      </c>
      <c r="S53" s="13">
        <v>0.24737155530318816</v>
      </c>
      <c r="T53" s="199">
        <f>S53*K53</f>
        <v>89.246378505254697</v>
      </c>
      <c r="U53" s="82">
        <f>($U$192*(V53/$V$192))</f>
        <v>12787.131636063554</v>
      </c>
      <c r="V53" s="82">
        <f>IF(E53="per lamp", R53*G53, O53*L53)</f>
        <v>17881.864716544955</v>
      </c>
      <c r="W53" s="82">
        <f>IF(E53="per lamp", T53*G53, S53*L53)</f>
        <v>19277.217757135015</v>
      </c>
      <c r="Z53" s="184"/>
    </row>
    <row r="54" spans="1:26" x14ac:dyDescent="0.2">
      <c r="A54" s="66">
        <f>A53+1</f>
        <v>47</v>
      </c>
      <c r="B54" s="50"/>
      <c r="C54" s="196"/>
      <c r="D54" s="51"/>
      <c r="E54" s="196"/>
      <c r="F54" s="196"/>
      <c r="G54" s="196"/>
      <c r="H54" s="196"/>
      <c r="I54" s="196"/>
      <c r="J54" s="196"/>
      <c r="K54" s="196"/>
      <c r="L54" s="18"/>
      <c r="M54" s="196"/>
      <c r="N54" s="196"/>
      <c r="O54" s="203"/>
      <c r="P54" s="196"/>
      <c r="Q54" s="196"/>
      <c r="R54" s="203"/>
      <c r="S54" s="17"/>
      <c r="T54" s="203"/>
      <c r="U54" s="204"/>
      <c r="V54" s="204"/>
      <c r="W54" s="204"/>
      <c r="Z54" s="184"/>
    </row>
    <row r="55" spans="1:26" x14ac:dyDescent="0.2">
      <c r="A55" s="66">
        <f>A54+1</f>
        <v>48</v>
      </c>
      <c r="B55" s="48">
        <v>53</v>
      </c>
      <c r="C55" s="107" t="s">
        <v>253</v>
      </c>
      <c r="D55" s="49">
        <v>50</v>
      </c>
      <c r="E55" s="107" t="str">
        <f>'Exh CTM-7 (Tariff Rates Y1)'!G67</f>
        <v>per lamp</v>
      </c>
      <c r="F55" s="107" t="s">
        <v>57</v>
      </c>
      <c r="G55" s="200">
        <v>0</v>
      </c>
      <c r="H55" s="183">
        <f>VLOOKUP(J55, 'Exh CTM-7 (Unitized Costs)'!$C$27:$D$34, 2, FALSE)</f>
        <v>1401.77</v>
      </c>
      <c r="I55" s="201">
        <f>IFERROR(IF(F55="Company",H55*G55/12, 0), 0)</f>
        <v>0</v>
      </c>
      <c r="J55" s="184">
        <v>60</v>
      </c>
      <c r="K55" s="201">
        <v>16.236746289282937</v>
      </c>
      <c r="L55" s="14">
        <f>K55*G55</f>
        <v>0</v>
      </c>
      <c r="M55" s="118">
        <f>IF(F55="Company", 'Exh CTM-7 (Unitized Costs)'!$D$18*H55/K55, 0)</f>
        <v>0.3950531777840206</v>
      </c>
      <c r="N55" s="118">
        <f>$N$9</f>
        <v>0.2294659292840994</v>
      </c>
      <c r="O55" s="202">
        <f>SUM(M55:N55)</f>
        <v>0.62451910706811997</v>
      </c>
      <c r="P55" s="84">
        <f>K55*M55</f>
        <v>6.4143782184541287</v>
      </c>
      <c r="Q55" s="84">
        <f>K55*N55</f>
        <v>3.7257800758204618</v>
      </c>
      <c r="R55" s="199">
        <f>SUM(P55:Q55)</f>
        <v>10.14015829427459</v>
      </c>
      <c r="S55" s="13">
        <v>0.69086800865251297</v>
      </c>
      <c r="T55" s="199">
        <f>S55*K55</f>
        <v>11.217448575872982</v>
      </c>
      <c r="U55" s="82">
        <f>($U$192*(V55/$V$192))</f>
        <v>0</v>
      </c>
      <c r="V55" s="82">
        <f>IF(E55="per lamp", R55*G55, O55*L55)</f>
        <v>0</v>
      </c>
      <c r="W55" s="82">
        <f>IF(E55="per lamp", T55*G55, S55*L55)</f>
        <v>0</v>
      </c>
      <c r="Z55" s="184"/>
    </row>
    <row r="56" spans="1:26" x14ac:dyDescent="0.2">
      <c r="A56" s="66">
        <f>A55+1</f>
        <v>49</v>
      </c>
      <c r="B56" s="48">
        <v>53</v>
      </c>
      <c r="C56" s="107" t="s">
        <v>239</v>
      </c>
      <c r="D56" s="49">
        <v>70</v>
      </c>
      <c r="E56" s="107" t="str">
        <f>'Exh CTM-7 (Tariff Rates Y1)'!G68</f>
        <v>per lamp</v>
      </c>
      <c r="F56" s="107" t="s">
        <v>57</v>
      </c>
      <c r="G56" s="200">
        <v>44681</v>
      </c>
      <c r="H56" s="183">
        <f>VLOOKUP(J56, 'Exh CTM-7 (Unitized Costs)'!$C$27:$D$34, 2, FALSE)</f>
        <v>1562.875</v>
      </c>
      <c r="I56" s="201">
        <f>IFERROR(IF(F56="Company",H56*G56/12, 0), 0)</f>
        <v>5819234.822916667</v>
      </c>
      <c r="J56" s="184">
        <v>90</v>
      </c>
      <c r="K56" s="201">
        <v>26.186795286420214</v>
      </c>
      <c r="L56" s="14">
        <f>K56*G56</f>
        <v>1170052.2001925416</v>
      </c>
      <c r="M56" s="118">
        <f>IF(F56="Company", 'Exh CTM-7 (Unitized Costs)'!$D$18*H56/K56, 0)</f>
        <v>0.27309873847041366</v>
      </c>
      <c r="N56" s="118">
        <f>$N$9</f>
        <v>0.2294659292840994</v>
      </c>
      <c r="O56" s="202">
        <f>SUM(M56:N56)</f>
        <v>0.50256466775451303</v>
      </c>
      <c r="P56" s="84">
        <f>K56*M56</f>
        <v>7.1515807573043348</v>
      </c>
      <c r="Q56" s="84">
        <f>K56*N56</f>
        <v>6.0089773153708883</v>
      </c>
      <c r="R56" s="199">
        <f>SUM(P56:Q56)</f>
        <v>13.160558072675222</v>
      </c>
      <c r="S56" s="13">
        <v>0.55395894337381346</v>
      </c>
      <c r="T56" s="199">
        <f>S56*K56</f>
        <v>14.5064094472117</v>
      </c>
      <c r="U56" s="82">
        <f>($U$192*(V56/$V$192))</f>
        <v>420491.79066258844</v>
      </c>
      <c r="V56" s="82">
        <f>IF(E56="per lamp", R56*G56, O56*L56)</f>
        <v>588026.89524520165</v>
      </c>
      <c r="W56" s="82">
        <f>IF(E56="per lamp", T56*G56, S56*L56)</f>
        <v>648160.88051086594</v>
      </c>
      <c r="Z56" s="184"/>
    </row>
    <row r="57" spans="1:26" x14ac:dyDescent="0.2">
      <c r="A57" s="66">
        <f>A56+1</f>
        <v>50</v>
      </c>
      <c r="B57" s="48">
        <v>53</v>
      </c>
      <c r="C57" s="107" t="s">
        <v>240</v>
      </c>
      <c r="D57" s="49">
        <v>100</v>
      </c>
      <c r="E57" s="107" t="str">
        <f>'Exh CTM-7 (Tariff Rates Y1)'!G69</f>
        <v>per lamp</v>
      </c>
      <c r="F57" s="107" t="s">
        <v>57</v>
      </c>
      <c r="G57" s="200">
        <v>332560</v>
      </c>
      <c r="H57" s="183">
        <f>VLOOKUP(J57, 'Exh CTM-7 (Unitized Costs)'!$C$27:$D$34, 2, FALSE)</f>
        <v>1456.9933333333331</v>
      </c>
      <c r="I57" s="201">
        <f>IFERROR(IF(F57="Company",H57*G57/12, 0), 0)</f>
        <v>40378141.911111109</v>
      </c>
      <c r="J57" s="184">
        <v>150</v>
      </c>
      <c r="K57" s="201">
        <v>39.674794170929992</v>
      </c>
      <c r="L57" s="14">
        <f>K57*G57</f>
        <v>13194249.549484478</v>
      </c>
      <c r="M57" s="118">
        <f>IF(F57="Company", 'Exh CTM-7 (Unitized Costs)'!$D$18*H57/K57, 0)</f>
        <v>0.16804310021968036</v>
      </c>
      <c r="N57" s="118">
        <f>$N$9</f>
        <v>0.2294659292840994</v>
      </c>
      <c r="O57" s="202">
        <f>SUM(M57:N57)</f>
        <v>0.39750902950377975</v>
      </c>
      <c r="P57" s="84">
        <f>K57*M57</f>
        <v>6.667075413060779</v>
      </c>
      <c r="Q57" s="84">
        <f>K57*N57</f>
        <v>9.1040135135878213</v>
      </c>
      <c r="R57" s="199">
        <f>SUM(P57:Q57)</f>
        <v>15.7710889266486</v>
      </c>
      <c r="S57" s="13">
        <v>0.43602088948978157</v>
      </c>
      <c r="T57" s="199">
        <f>S57*K57</f>
        <v>17.299039044732897</v>
      </c>
      <c r="U57" s="82">
        <f>($U$192*(V57/$V$192))</f>
        <v>3750524.6408636039</v>
      </c>
      <c r="V57" s="82">
        <f>IF(E57="per lamp", R57*G57, O57*L57)</f>
        <v>5244833.3334462587</v>
      </c>
      <c r="W57" s="82">
        <f>IF(E57="per lamp", T57*G57, S57*L57)</f>
        <v>5752968.424716372</v>
      </c>
      <c r="Z57" s="184"/>
    </row>
    <row r="58" spans="1:26" x14ac:dyDescent="0.2">
      <c r="A58" s="66">
        <f>A57+1</f>
        <v>51</v>
      </c>
      <c r="B58" s="48">
        <v>53</v>
      </c>
      <c r="C58" s="107" t="s">
        <v>241</v>
      </c>
      <c r="D58" s="49">
        <v>150</v>
      </c>
      <c r="E58" s="107" t="str">
        <f>'Exh CTM-7 (Tariff Rates Y1)'!G70</f>
        <v>per lamp</v>
      </c>
      <c r="F58" s="107" t="s">
        <v>57</v>
      </c>
      <c r="G58" s="200">
        <v>39917</v>
      </c>
      <c r="H58" s="183">
        <f>VLOOKUP(J58, 'Exh CTM-7 (Unitized Costs)'!$C$27:$D$34, 2, FALSE)</f>
        <v>1456.9933333333331</v>
      </c>
      <c r="I58" s="201">
        <f>IFERROR(IF(F58="Company",H58*G58/12, 0), 0)</f>
        <v>4846566.9072222216</v>
      </c>
      <c r="J58" s="184">
        <v>150</v>
      </c>
      <c r="K58" s="201">
        <v>39.674794170929992</v>
      </c>
      <c r="L58" s="14">
        <f>K58*G58</f>
        <v>1583698.7589210125</v>
      </c>
      <c r="M58" s="118">
        <f>IF(F58="Company", 'Exh CTM-7 (Unitized Costs)'!$D$18*H58/K58, 0)</f>
        <v>0.16804310021968036</v>
      </c>
      <c r="N58" s="118">
        <f>$N$9</f>
        <v>0.2294659292840994</v>
      </c>
      <c r="O58" s="202">
        <f>SUM(M58:N58)</f>
        <v>0.39750902950377975</v>
      </c>
      <c r="P58" s="84">
        <f>K58*M58</f>
        <v>6.667075413060779</v>
      </c>
      <c r="Q58" s="84">
        <f>K58*N58</f>
        <v>9.1040135135878213</v>
      </c>
      <c r="R58" s="199">
        <f>SUM(P58:Q58)</f>
        <v>15.7710889266486</v>
      </c>
      <c r="S58" s="13">
        <v>0.43602088948978157</v>
      </c>
      <c r="T58" s="199">
        <f>S58*K58</f>
        <v>17.299039044732897</v>
      </c>
      <c r="U58" s="82">
        <f>($U$192*(V58/$V$192))</f>
        <v>450173.4787387313</v>
      </c>
      <c r="V58" s="82">
        <f>IF(E58="per lamp", R58*G58, O58*L58)</f>
        <v>629534.55668503221</v>
      </c>
      <c r="W58" s="82">
        <f>IF(E58="per lamp", T58*G58, S58*L58)</f>
        <v>690525.74154860305</v>
      </c>
      <c r="Z58" s="184"/>
    </row>
    <row r="59" spans="1:26" x14ac:dyDescent="0.2">
      <c r="A59" s="66">
        <f>A58+1</f>
        <v>52</v>
      </c>
      <c r="B59" s="48">
        <v>53</v>
      </c>
      <c r="C59" s="107" t="s">
        <v>242</v>
      </c>
      <c r="D59" s="49">
        <v>200</v>
      </c>
      <c r="E59" s="107" t="str">
        <f>'Exh CTM-7 (Tariff Rates Y1)'!G71</f>
        <v>per lamp</v>
      </c>
      <c r="F59" s="107" t="s">
        <v>57</v>
      </c>
      <c r="G59" s="200">
        <v>50001</v>
      </c>
      <c r="H59" s="183">
        <f>VLOOKUP(J59, 'Exh CTM-7 (Unitized Costs)'!$C$27:$D$34, 2, FALSE)</f>
        <v>1576.8033333333335</v>
      </c>
      <c r="I59" s="201">
        <f>IFERROR(IF(F59="Company",H59*G59/12, 0), 0)</f>
        <v>6570145.2891666675</v>
      </c>
      <c r="J59" s="184">
        <v>240</v>
      </c>
      <c r="K59" s="201">
        <v>69.495762573691295</v>
      </c>
      <c r="L59" s="14">
        <f>K59*G59</f>
        <v>3474857.6244471385</v>
      </c>
      <c r="M59" s="118">
        <f>IF(F59="Company", 'Exh CTM-7 (Unitized Costs)'!$D$18*H59/K59, 0)</f>
        <v>0.10382382087979253</v>
      </c>
      <c r="N59" s="118">
        <f>$N$9</f>
        <v>0.2294659292840994</v>
      </c>
      <c r="O59" s="202">
        <f>SUM(M59:N59)</f>
        <v>0.33328975016389195</v>
      </c>
      <c r="P59" s="84">
        <f>K59*M59</f>
        <v>7.2153156053555145</v>
      </c>
      <c r="Q59" s="84">
        <f>K59*N59</f>
        <v>15.946909740279208</v>
      </c>
      <c r="R59" s="199">
        <f>SUM(P59:Q59)</f>
        <v>23.162225345634724</v>
      </c>
      <c r="S59" s="13">
        <v>0.3639267405864644</v>
      </c>
      <c r="T59" s="199">
        <f>S59*K59</f>
        <v>25.291366358014272</v>
      </c>
      <c r="U59" s="82">
        <f>($U$192*(V59/$V$192))</f>
        <v>828169.63650677842</v>
      </c>
      <c r="V59" s="82">
        <f>IF(E59="per lamp", R59*G59, O59*L59)</f>
        <v>1158134.4295070819</v>
      </c>
      <c r="W59" s="82">
        <f>IF(E59="per lamp", T59*G59, S59*L59)</f>
        <v>1264593.6092670716</v>
      </c>
      <c r="Z59" s="184"/>
    </row>
    <row r="60" spans="1:26" x14ac:dyDescent="0.2">
      <c r="A60" s="66">
        <f>A59+1</f>
        <v>53</v>
      </c>
      <c r="B60" s="48">
        <v>53</v>
      </c>
      <c r="C60" s="107" t="s">
        <v>243</v>
      </c>
      <c r="D60" s="49">
        <v>250</v>
      </c>
      <c r="E60" s="107" t="str">
        <f>'Exh CTM-7 (Tariff Rates Y1)'!G72</f>
        <v>per lamp</v>
      </c>
      <c r="F60" s="107" t="s">
        <v>57</v>
      </c>
      <c r="G60" s="200">
        <v>18553</v>
      </c>
      <c r="H60" s="183">
        <f>VLOOKUP(J60, 'Exh CTM-7 (Unitized Costs)'!$C$27:$D$34, 2, FALSE)</f>
        <v>1602.95</v>
      </c>
      <c r="I60" s="201">
        <f>IFERROR(IF(F60="Company",H60*G60/12, 0), 0)</f>
        <v>2478294.2791666668</v>
      </c>
      <c r="J60" s="184">
        <v>340</v>
      </c>
      <c r="K60" s="201">
        <v>92.063107873663981</v>
      </c>
      <c r="L60" s="14">
        <f>K60*G60</f>
        <v>1708046.8403800877</v>
      </c>
      <c r="M60" s="118">
        <f>IF(F60="Company", 'Exh CTM-7 (Unitized Costs)'!$D$18*H60/K60, 0)</f>
        <v>7.9673179179411996E-2</v>
      </c>
      <c r="N60" s="118">
        <f>$N$9</f>
        <v>0.2294659292840994</v>
      </c>
      <c r="O60" s="202">
        <f>SUM(M60:N60)</f>
        <v>0.30913910846351139</v>
      </c>
      <c r="P60" s="84">
        <f>K60*M60</f>
        <v>7.3349604894319658</v>
      </c>
      <c r="Q60" s="84">
        <f>K60*N60</f>
        <v>21.125346601012595</v>
      </c>
      <c r="R60" s="199">
        <f>SUM(P60:Q60)</f>
        <v>28.460307090444559</v>
      </c>
      <c r="S60" s="13">
        <v>0.33681463380552679</v>
      </c>
      <c r="T60" s="199">
        <f>S60*K60</f>
        <v>31.008201965466842</v>
      </c>
      <c r="U60" s="82">
        <f>($U$192*(V60/$V$192))</f>
        <v>377584.41260907718</v>
      </c>
      <c r="V60" s="82">
        <f>IF(E60="per lamp", R60*G60, O60*L60)</f>
        <v>528024.0774490179</v>
      </c>
      <c r="W60" s="82">
        <f>IF(E60="per lamp", T60*G60, S60*L60)</f>
        <v>575295.17106530629</v>
      </c>
      <c r="Z60" s="184"/>
    </row>
    <row r="61" spans="1:26" x14ac:dyDescent="0.2">
      <c r="A61" s="66">
        <f>A60+1</f>
        <v>54</v>
      </c>
      <c r="B61" s="48">
        <v>53</v>
      </c>
      <c r="C61" s="107" t="s">
        <v>244</v>
      </c>
      <c r="D61" s="49">
        <v>310</v>
      </c>
      <c r="E61" s="107" t="str">
        <f>'Exh CTM-7 (Tariff Rates Y1)'!G73</f>
        <v>per lamp</v>
      </c>
      <c r="F61" s="107" t="s">
        <v>57</v>
      </c>
      <c r="G61" s="200">
        <v>189</v>
      </c>
      <c r="H61" s="183">
        <f>VLOOKUP(J61, 'Exh CTM-7 (Unitized Costs)'!$C$27:$D$34, 2, FALSE)</f>
        <v>1602.95</v>
      </c>
      <c r="I61" s="201">
        <f>IFERROR(IF(F61="Company",H61*G61/12, 0), 0)</f>
        <v>25246.462499999998</v>
      </c>
      <c r="J61" s="184">
        <v>340</v>
      </c>
      <c r="K61" s="201">
        <v>92.063107873663981</v>
      </c>
      <c r="L61" s="14">
        <f>K61*G61</f>
        <v>17399.927388122491</v>
      </c>
      <c r="M61" s="118">
        <f>IF(F61="Company", 'Exh CTM-7 (Unitized Costs)'!$D$18*H61/K61, 0)</f>
        <v>7.9673179179411996E-2</v>
      </c>
      <c r="N61" s="118">
        <f>$N$9</f>
        <v>0.2294659292840994</v>
      </c>
      <c r="O61" s="202">
        <f>SUM(M61:N61)</f>
        <v>0.30913910846351139</v>
      </c>
      <c r="P61" s="84">
        <f>K61*M61</f>
        <v>7.3349604894319658</v>
      </c>
      <c r="Q61" s="84">
        <f>K61*N61</f>
        <v>21.125346601012595</v>
      </c>
      <c r="R61" s="199">
        <f>SUM(P61:Q61)</f>
        <v>28.460307090444559</v>
      </c>
      <c r="S61" s="13">
        <v>0.33681463380552679</v>
      </c>
      <c r="T61" s="199">
        <f>S61*K61</f>
        <v>31.008201965466842</v>
      </c>
      <c r="U61" s="82">
        <f>($U$192*(V61/$V$192))</f>
        <v>3846.4643983784608</v>
      </c>
      <c r="V61" s="82">
        <f>IF(E61="per lamp", R61*G61, O61*L61)</f>
        <v>5378.9980400940212</v>
      </c>
      <c r="W61" s="82">
        <f>IF(E61="per lamp", T61*G61, S61*L61)</f>
        <v>5860.5501714732336</v>
      </c>
      <c r="Z61" s="184"/>
    </row>
    <row r="62" spans="1:26" x14ac:dyDescent="0.2">
      <c r="A62" s="66">
        <f>A61+1</f>
        <v>55</v>
      </c>
      <c r="B62" s="48">
        <v>53</v>
      </c>
      <c r="C62" s="107" t="s">
        <v>245</v>
      </c>
      <c r="D62" s="49">
        <v>400</v>
      </c>
      <c r="E62" s="107" t="str">
        <f>'Exh CTM-7 (Tariff Rates Y1)'!G74</f>
        <v>per lamp</v>
      </c>
      <c r="F62" s="107" t="s">
        <v>57</v>
      </c>
      <c r="G62" s="200">
        <v>9869</v>
      </c>
      <c r="H62" s="183">
        <f>VLOOKUP(J62, 'Exh CTM-7 (Unitized Costs)'!$C$27:$D$34, 2, FALSE)</f>
        <v>1388.9766666666667</v>
      </c>
      <c r="I62" s="201">
        <f>IFERROR(IF(F62="Company",H62*G62/12, 0), 0)</f>
        <v>1142317.5602777777</v>
      </c>
      <c r="J62" s="184">
        <v>600</v>
      </c>
      <c r="K62" s="201">
        <v>144.31146442180207</v>
      </c>
      <c r="L62" s="14">
        <f>K62*G62</f>
        <v>1424209.8423787646</v>
      </c>
      <c r="M62" s="118">
        <f>IF(F62="Company", 'Exh CTM-7 (Unitized Costs)'!$D$18*H62/K62, 0)</f>
        <v>4.404249556784353E-2</v>
      </c>
      <c r="N62" s="118">
        <f>$N$9</f>
        <v>0.2294659292840994</v>
      </c>
      <c r="O62" s="202">
        <f>SUM(M62:N62)</f>
        <v>0.27350842485194293</v>
      </c>
      <c r="P62" s="84">
        <f>K62*M62</f>
        <v>6.3558370321862272</v>
      </c>
      <c r="Q62" s="84">
        <f>K62*N62</f>
        <v>33.114564289898063</v>
      </c>
      <c r="R62" s="199">
        <f>SUM(P62:Q62)</f>
        <v>39.470401322084292</v>
      </c>
      <c r="S62" s="13">
        <v>0.2968147484716549</v>
      </c>
      <c r="T62" s="199">
        <f>S62*K62</f>
        <v>42.833771013933358</v>
      </c>
      <c r="U62" s="82">
        <f>($U$192*(V62/$V$192))</f>
        <v>278551.1926082882</v>
      </c>
      <c r="V62" s="82">
        <f>IF(E62="per lamp", R62*G62, O62*L62)</f>
        <v>389533.39064764988</v>
      </c>
      <c r="W62" s="82">
        <f>IF(E62="per lamp", T62*G62, S62*L62)</f>
        <v>422726.48613650829</v>
      </c>
      <c r="Z62" s="184"/>
    </row>
    <row r="63" spans="1:26" x14ac:dyDescent="0.2">
      <c r="A63" s="66">
        <f>A62+1</f>
        <v>56</v>
      </c>
      <c r="B63" s="48">
        <v>53</v>
      </c>
      <c r="C63" s="107" t="s">
        <v>254</v>
      </c>
      <c r="D63" s="49">
        <v>1000</v>
      </c>
      <c r="E63" s="107" t="str">
        <f>'Exh CTM-7 (Tariff Rates Y1)'!G75</f>
        <v>per lamp</v>
      </c>
      <c r="F63" s="107" t="s">
        <v>57</v>
      </c>
      <c r="G63" s="200">
        <v>0</v>
      </c>
      <c r="H63" s="183">
        <f>VLOOKUP(J63, 'Exh CTM-7 (Unitized Costs)'!$C$27:$D$34, 2, FALSE)</f>
        <v>1783.47</v>
      </c>
      <c r="I63" s="201">
        <f>IFERROR(IF(F63="Company",H63*G63/12, 0), 0)</f>
        <v>0</v>
      </c>
      <c r="J63" s="184">
        <v>1000</v>
      </c>
      <c r="K63" s="201">
        <v>360.77866105450516</v>
      </c>
      <c r="L63" s="14">
        <f>K63*G63</f>
        <v>0</v>
      </c>
      <c r="M63" s="118">
        <f>IF(F63="Company", 'Exh CTM-7 (Unitized Costs)'!$D$18*H63/K63, 0)</f>
        <v>2.2620529618798079E-2</v>
      </c>
      <c r="N63" s="118">
        <f>$N$9</f>
        <v>0.2294659292840994</v>
      </c>
      <c r="O63" s="202">
        <f>SUM(M63:N63)</f>
        <v>0.25208645890289749</v>
      </c>
      <c r="P63" s="84">
        <f>K63*M63</f>
        <v>8.1610043882137475</v>
      </c>
      <c r="Q63" s="84">
        <f>K63*N63</f>
        <v>82.786410724745153</v>
      </c>
      <c r="R63" s="199">
        <f>SUM(P63:Q63)</f>
        <v>90.947415112958907</v>
      </c>
      <c r="S63" s="13">
        <v>0.27276592047471698</v>
      </c>
      <c r="T63" s="199">
        <f>S63*K63</f>
        <v>98.40812357016803</v>
      </c>
      <c r="U63" s="82">
        <f>($U$192*(V63/$V$192))</f>
        <v>0</v>
      </c>
      <c r="V63" s="82">
        <f>IF(E63="per lamp", R63*G63, O63*L63)</f>
        <v>0</v>
      </c>
      <c r="W63" s="82">
        <f>IF(E63="per lamp", T63*G63, S63*L63)</f>
        <v>0</v>
      </c>
      <c r="Z63" s="184"/>
    </row>
    <row r="64" spans="1:26" x14ac:dyDescent="0.2">
      <c r="A64" s="66">
        <f>A63+1</f>
        <v>57</v>
      </c>
      <c r="B64" s="48">
        <v>53</v>
      </c>
      <c r="C64" s="107" t="s">
        <v>246</v>
      </c>
      <c r="D64" s="49">
        <v>70</v>
      </c>
      <c r="E64" s="107" t="str">
        <f>'Exh CTM-7 (Tariff Rates Y1)'!G77</f>
        <v>per lamp</v>
      </c>
      <c r="F64" s="107" t="s">
        <v>57</v>
      </c>
      <c r="G64" s="200">
        <v>0</v>
      </c>
      <c r="H64" s="183">
        <f>VLOOKUP(J64, 'Exh CTM-7 (Unitized Costs)'!$C$27:$D$34, 2, FALSE)</f>
        <v>1562.875</v>
      </c>
      <c r="I64" s="201">
        <f>IFERROR(IF(F64="Company",H64*G64/12, 0), 0)</f>
        <v>0</v>
      </c>
      <c r="J64" s="184">
        <v>90</v>
      </c>
      <c r="K64" s="201">
        <v>26.186795286420214</v>
      </c>
      <c r="L64" s="14">
        <f>K64*G64</f>
        <v>0</v>
      </c>
      <c r="M64" s="118">
        <f>IF(F64="Company", 'Exh CTM-7 (Unitized Costs)'!$D$18*H64/K64, 0)</f>
        <v>0.27309873847041366</v>
      </c>
      <c r="N64" s="118">
        <f>$N$9</f>
        <v>0.2294659292840994</v>
      </c>
      <c r="O64" s="202">
        <f>SUM(M64:N64)</f>
        <v>0.50256466775451303</v>
      </c>
      <c r="P64" s="84">
        <f>K64*M64</f>
        <v>7.1515807573043348</v>
      </c>
      <c r="Q64" s="84">
        <f>K64*N64</f>
        <v>6.0089773153708883</v>
      </c>
      <c r="R64" s="199">
        <f>SUM(P64:Q64)</f>
        <v>13.160558072675222</v>
      </c>
      <c r="S64" s="13">
        <v>0.55395894337381346</v>
      </c>
      <c r="T64" s="199">
        <f>S64*K64</f>
        <v>14.5064094472117</v>
      </c>
      <c r="U64" s="82">
        <f>($U$192*(V64/$V$192))</f>
        <v>0</v>
      </c>
      <c r="V64" s="82">
        <f>IF(E64="per lamp", R64*G64, O64*L64)</f>
        <v>0</v>
      </c>
      <c r="W64" s="82">
        <f>IF(E64="per lamp", T64*G64, S64*L64)</f>
        <v>0</v>
      </c>
      <c r="Z64" s="184"/>
    </row>
    <row r="65" spans="1:26" x14ac:dyDescent="0.2">
      <c r="A65" s="66">
        <f>A64+1</f>
        <v>58</v>
      </c>
      <c r="B65" s="48">
        <v>53</v>
      </c>
      <c r="C65" s="107" t="s">
        <v>247</v>
      </c>
      <c r="D65" s="49">
        <v>100</v>
      </c>
      <c r="E65" s="107" t="str">
        <f>'Exh CTM-7 (Tariff Rates Y1)'!G78</f>
        <v>per lamp</v>
      </c>
      <c r="F65" s="107" t="s">
        <v>57</v>
      </c>
      <c r="G65" s="200">
        <v>0</v>
      </c>
      <c r="H65" s="183">
        <f>VLOOKUP(J65, 'Exh CTM-7 (Unitized Costs)'!$C$27:$D$34, 2, FALSE)</f>
        <v>1456.9933333333331</v>
      </c>
      <c r="I65" s="201">
        <f>IFERROR(IF(F65="Company",H65*G65/12, 0), 0)</f>
        <v>0</v>
      </c>
      <c r="J65" s="184">
        <v>150</v>
      </c>
      <c r="K65" s="201">
        <v>39.674794170929992</v>
      </c>
      <c r="L65" s="14">
        <f>K65*G65</f>
        <v>0</v>
      </c>
      <c r="M65" s="118">
        <f>IF(F65="Company", 'Exh CTM-7 (Unitized Costs)'!$D$18*H65/K65, 0)</f>
        <v>0.16804310021968036</v>
      </c>
      <c r="N65" s="118">
        <f>$N$9</f>
        <v>0.2294659292840994</v>
      </c>
      <c r="O65" s="202">
        <f>SUM(M65:N65)</f>
        <v>0.39750902950377975</v>
      </c>
      <c r="P65" s="84">
        <f>K65*M65</f>
        <v>6.667075413060779</v>
      </c>
      <c r="Q65" s="84">
        <f>K65*N65</f>
        <v>9.1040135135878213</v>
      </c>
      <c r="R65" s="199">
        <f>SUM(P65:Q65)</f>
        <v>15.7710889266486</v>
      </c>
      <c r="S65" s="13">
        <v>0.43602088948978157</v>
      </c>
      <c r="T65" s="199">
        <f>S65*K65</f>
        <v>17.299039044732897</v>
      </c>
      <c r="U65" s="82">
        <f>($U$192*(V65/$V$192))</f>
        <v>0</v>
      </c>
      <c r="V65" s="82">
        <f>IF(E65="per lamp", R65*G65, O65*L65)</f>
        <v>0</v>
      </c>
      <c r="W65" s="82">
        <f>IF(E65="per lamp", T65*G65, S65*L65)</f>
        <v>0</v>
      </c>
      <c r="Z65" s="184"/>
    </row>
    <row r="66" spans="1:26" x14ac:dyDescent="0.2">
      <c r="A66" s="66">
        <f>A65+1</f>
        <v>59</v>
      </c>
      <c r="B66" s="48">
        <v>53</v>
      </c>
      <c r="C66" s="107" t="s">
        <v>248</v>
      </c>
      <c r="D66" s="49">
        <v>150</v>
      </c>
      <c r="E66" s="107" t="str">
        <f>'Exh CTM-7 (Tariff Rates Y1)'!G79</f>
        <v>per lamp</v>
      </c>
      <c r="F66" s="107" t="s">
        <v>57</v>
      </c>
      <c r="G66" s="200">
        <v>0</v>
      </c>
      <c r="H66" s="183">
        <f>VLOOKUP(J66, 'Exh CTM-7 (Unitized Costs)'!$C$27:$D$34, 2, FALSE)</f>
        <v>1456.9933333333331</v>
      </c>
      <c r="I66" s="201">
        <f>IFERROR(IF(F66="Company",H66*G66/12, 0), 0)</f>
        <v>0</v>
      </c>
      <c r="J66" s="184">
        <v>150</v>
      </c>
      <c r="K66" s="201">
        <v>39.674794170929992</v>
      </c>
      <c r="L66" s="14">
        <f>K66*G66</f>
        <v>0</v>
      </c>
      <c r="M66" s="118">
        <f>IF(F66="Company", 'Exh CTM-7 (Unitized Costs)'!$D$18*H66/K66, 0)</f>
        <v>0.16804310021968036</v>
      </c>
      <c r="N66" s="118">
        <f>$N$9</f>
        <v>0.2294659292840994</v>
      </c>
      <c r="O66" s="202">
        <f>SUM(M66:N66)</f>
        <v>0.39750902950377975</v>
      </c>
      <c r="P66" s="84">
        <f>K66*M66</f>
        <v>6.667075413060779</v>
      </c>
      <c r="Q66" s="84">
        <f>K66*N66</f>
        <v>9.1040135135878213</v>
      </c>
      <c r="R66" s="199">
        <f>SUM(P66:Q66)</f>
        <v>15.7710889266486</v>
      </c>
      <c r="S66" s="13">
        <v>0.43602088948978157</v>
      </c>
      <c r="T66" s="199">
        <f>S66*K66</f>
        <v>17.299039044732897</v>
      </c>
      <c r="U66" s="82">
        <f>($U$192*(V66/$V$192))</f>
        <v>0</v>
      </c>
      <c r="V66" s="82">
        <f>IF(E66="per lamp", R66*G66, O66*L66)</f>
        <v>0</v>
      </c>
      <c r="W66" s="82">
        <f>IF(E66="per lamp", T66*G66, S66*L66)</f>
        <v>0</v>
      </c>
      <c r="Z66" s="184"/>
    </row>
    <row r="67" spans="1:26" x14ac:dyDescent="0.2">
      <c r="A67" s="66">
        <f>A66+1</f>
        <v>60</v>
      </c>
      <c r="B67" s="48">
        <v>53</v>
      </c>
      <c r="C67" s="107" t="s">
        <v>250</v>
      </c>
      <c r="D67" s="49">
        <v>250</v>
      </c>
      <c r="E67" s="107" t="str">
        <f>'Exh CTM-7 (Tariff Rates Y1)'!G80</f>
        <v>per lamp</v>
      </c>
      <c r="F67" s="107" t="s">
        <v>57</v>
      </c>
      <c r="G67" s="200">
        <v>0</v>
      </c>
      <c r="H67" s="183">
        <f>VLOOKUP(J67, 'Exh CTM-7 (Unitized Costs)'!$C$27:$D$34, 2, FALSE)</f>
        <v>1602.95</v>
      </c>
      <c r="I67" s="201">
        <f>IFERROR(IF(F67="Company",H67*G67/12, 0), 0)</f>
        <v>0</v>
      </c>
      <c r="J67" s="184">
        <v>340</v>
      </c>
      <c r="K67" s="201">
        <v>92.063107873663981</v>
      </c>
      <c r="L67" s="14">
        <f>K67*G67</f>
        <v>0</v>
      </c>
      <c r="M67" s="118">
        <f>IF(F67="Company", 'Exh CTM-7 (Unitized Costs)'!$D$18*H67/K67, 0)</f>
        <v>7.9673179179411996E-2</v>
      </c>
      <c r="N67" s="118">
        <f>$N$9</f>
        <v>0.2294659292840994</v>
      </c>
      <c r="O67" s="202">
        <f>SUM(M67:N67)</f>
        <v>0.30913910846351139</v>
      </c>
      <c r="P67" s="84">
        <f>K67*M67</f>
        <v>7.3349604894319658</v>
      </c>
      <c r="Q67" s="84">
        <f>K67*N67</f>
        <v>21.125346601012595</v>
      </c>
      <c r="R67" s="199">
        <f>SUM(P67:Q67)</f>
        <v>28.460307090444559</v>
      </c>
      <c r="S67" s="13">
        <v>0.33681463380552679</v>
      </c>
      <c r="T67" s="199">
        <f>S67*K67</f>
        <v>31.008201965466842</v>
      </c>
      <c r="U67" s="82">
        <f>($U$192*(V67/$V$192))</f>
        <v>0</v>
      </c>
      <c r="V67" s="82">
        <f>IF(E67="per lamp", R67*G67, O67*L67)</f>
        <v>0</v>
      </c>
      <c r="W67" s="82">
        <f>IF(E67="per lamp", T67*G67, S67*L67)</f>
        <v>0</v>
      </c>
      <c r="Z67" s="184"/>
    </row>
    <row r="68" spans="1:26" x14ac:dyDescent="0.2">
      <c r="A68" s="66">
        <f>A67+1</f>
        <v>61</v>
      </c>
      <c r="B68" s="48">
        <v>53</v>
      </c>
      <c r="C68" s="107" t="s">
        <v>251</v>
      </c>
      <c r="D68" s="49">
        <v>400</v>
      </c>
      <c r="E68" s="107" t="str">
        <f>'Exh CTM-7 (Tariff Rates Y1)'!G81</f>
        <v>per lamp</v>
      </c>
      <c r="F68" s="107" t="s">
        <v>57</v>
      </c>
      <c r="G68" s="200">
        <v>0</v>
      </c>
      <c r="H68" s="183">
        <f>VLOOKUP(J68, 'Exh CTM-7 (Unitized Costs)'!$C$27:$D$34, 2, FALSE)</f>
        <v>1388.9766666666667</v>
      </c>
      <c r="I68" s="201">
        <f>IFERROR(IF(F68="Company",H68*G68/12, 0), 0)</f>
        <v>0</v>
      </c>
      <c r="J68" s="184">
        <v>600</v>
      </c>
      <c r="K68" s="201">
        <v>144.31146442180207</v>
      </c>
      <c r="L68" s="14">
        <f>K68*G68</f>
        <v>0</v>
      </c>
      <c r="M68" s="118">
        <f>IF(F68="Company", 'Exh CTM-7 (Unitized Costs)'!$D$18*H68/K68, 0)</f>
        <v>4.404249556784353E-2</v>
      </c>
      <c r="N68" s="118">
        <f>$N$9</f>
        <v>0.2294659292840994</v>
      </c>
      <c r="O68" s="202">
        <f>SUM(M68:N68)</f>
        <v>0.27350842485194293</v>
      </c>
      <c r="P68" s="84">
        <f>K68*M68</f>
        <v>6.3558370321862272</v>
      </c>
      <c r="Q68" s="84">
        <f>K68*N68</f>
        <v>33.114564289898063</v>
      </c>
      <c r="R68" s="199">
        <f>SUM(P68:Q68)</f>
        <v>39.470401322084292</v>
      </c>
      <c r="S68" s="13">
        <v>0.2968147484716549</v>
      </c>
      <c r="T68" s="199">
        <f>S68*K68</f>
        <v>42.833771013933358</v>
      </c>
      <c r="U68" s="82">
        <f>($U$192*(V68/$V$192))</f>
        <v>0</v>
      </c>
      <c r="V68" s="82">
        <f>IF(E68="per lamp", R68*G68, O68*L68)</f>
        <v>0</v>
      </c>
      <c r="W68" s="82">
        <f>IF(E68="per lamp", T68*G68, S68*L68)</f>
        <v>0</v>
      </c>
      <c r="Z68" s="184"/>
    </row>
    <row r="69" spans="1:26" x14ac:dyDescent="0.2">
      <c r="A69" s="66">
        <f>A68+1</f>
        <v>62</v>
      </c>
      <c r="B69" s="48">
        <v>53</v>
      </c>
      <c r="C69" s="107" t="s">
        <v>228</v>
      </c>
      <c r="D69" s="49">
        <v>15</v>
      </c>
      <c r="E69" s="107" t="str">
        <f>'Exh CTM-7 (Tariff Rates Y1)'!G83</f>
        <v>per lamp</v>
      </c>
      <c r="F69" s="107" t="s">
        <v>57</v>
      </c>
      <c r="G69" s="200">
        <v>2</v>
      </c>
      <c r="H69" s="183">
        <f>VLOOKUP(J69, 'Exh CTM-7 (Unitized Costs)'!$C$27:$D$34, 2, FALSE)</f>
        <v>1426.7</v>
      </c>
      <c r="I69" s="201">
        <f>IFERROR(IF(F69="Company",H69*G69/12, 0), 0)</f>
        <v>237.78333333333333</v>
      </c>
      <c r="J69" s="184">
        <v>30</v>
      </c>
      <c r="K69" s="201">
        <v>7.4297601011292338</v>
      </c>
      <c r="L69" s="14">
        <f>K69*G69</f>
        <v>14.859520202258468</v>
      </c>
      <c r="M69" s="118">
        <f>IF(F69="Company", 'Exh CTM-7 (Unitized Costs)'!$D$18*H69/K69, 0)</f>
        <v>0.87868997818050398</v>
      </c>
      <c r="N69" s="118">
        <f>$N$9</f>
        <v>0.2294659292840994</v>
      </c>
      <c r="O69" s="202">
        <f>SUM(M69:N69)</f>
        <v>1.1081559074646035</v>
      </c>
      <c r="P69" s="84">
        <f>K69*M69</f>
        <v>6.5284557411476252</v>
      </c>
      <c r="Q69" s="84">
        <f>K69*N69</f>
        <v>1.704876805963544</v>
      </c>
      <c r="R69" s="199">
        <f>SUM(P69:Q69)</f>
        <v>8.2333325471111696</v>
      </c>
      <c r="S69" s="13">
        <v>1.2338106243484692</v>
      </c>
      <c r="T69" s="199">
        <f>S69*K69</f>
        <v>9.166916949133606</v>
      </c>
      <c r="U69" s="82">
        <f>($U$192*(V69/$V$192))</f>
        <v>11.775137409018356</v>
      </c>
      <c r="V69" s="82">
        <f>IF(E69="per lamp", R69*G69, O69*L69)</f>
        <v>16.466665094222339</v>
      </c>
      <c r="W69" s="82">
        <f>IF(E69="per lamp", T69*G69, S69*L69)</f>
        <v>18.333833898267212</v>
      </c>
      <c r="Z69" s="184"/>
    </row>
    <row r="70" spans="1:26" x14ac:dyDescent="0.2">
      <c r="A70" s="66">
        <f>A69+1</f>
        <v>63</v>
      </c>
      <c r="B70" s="48">
        <v>53</v>
      </c>
      <c r="C70" s="107" t="s">
        <v>229</v>
      </c>
      <c r="D70" s="49">
        <v>45</v>
      </c>
      <c r="E70" s="107" t="str">
        <f>'Exh CTM-7 (Tariff Rates Y1)'!G84</f>
        <v>per lamp</v>
      </c>
      <c r="F70" s="107" t="s">
        <v>57</v>
      </c>
      <c r="G70" s="200">
        <v>275786</v>
      </c>
      <c r="H70" s="183">
        <f>VLOOKUP(J70, 'Exh CTM-7 (Unitized Costs)'!$C$27:$D$34, 2, FALSE)</f>
        <v>1401.77</v>
      </c>
      <c r="I70" s="201">
        <f>IFERROR(IF(F70="Company",H70*G70/12, 0), 0)</f>
        <v>32215711.768333331</v>
      </c>
      <c r="J70" s="184">
        <v>60</v>
      </c>
      <c r="K70" s="201">
        <v>16.236746289282937</v>
      </c>
      <c r="L70" s="14">
        <f>K70*G70</f>
        <v>4477867.3121361844</v>
      </c>
      <c r="M70" s="118">
        <f>IF(F70="Company", 'Exh CTM-7 (Unitized Costs)'!$D$18*H70/K70, 0)</f>
        <v>0.3950531777840206</v>
      </c>
      <c r="N70" s="118">
        <f>$N$9</f>
        <v>0.2294659292840994</v>
      </c>
      <c r="O70" s="202">
        <f>SUM(M70:N70)</f>
        <v>0.62451910706811997</v>
      </c>
      <c r="P70" s="84">
        <f>K70*M70</f>
        <v>6.4143782184541287</v>
      </c>
      <c r="Q70" s="84">
        <f>K70*N70</f>
        <v>3.7257800758204618</v>
      </c>
      <c r="R70" s="199">
        <f>SUM(P70:Q70)</f>
        <v>10.14015829427459</v>
      </c>
      <c r="S70" s="13">
        <v>0.69086800865251297</v>
      </c>
      <c r="T70" s="199">
        <f>S70*K70</f>
        <v>11.217448575872982</v>
      </c>
      <c r="U70" s="82">
        <f>($U$192*(V70/$V$192))</f>
        <v>1999757.2574935516</v>
      </c>
      <c r="V70" s="82">
        <f>IF(E70="per lamp", R70*G70, O70*L70)</f>
        <v>2796513.6953448122</v>
      </c>
      <c r="W70" s="82">
        <f>IF(E70="per lamp", T70*G70, S70*L70)</f>
        <v>3093615.2729457063</v>
      </c>
      <c r="Z70" s="184"/>
    </row>
    <row r="71" spans="1:26" x14ac:dyDescent="0.2">
      <c r="A71" s="66">
        <f>A70+1</f>
        <v>64</v>
      </c>
      <c r="B71" s="48">
        <v>53</v>
      </c>
      <c r="C71" s="107" t="s">
        <v>230</v>
      </c>
      <c r="D71" s="49">
        <v>75</v>
      </c>
      <c r="E71" s="107" t="str">
        <f>'Exh CTM-7 (Tariff Rates Y1)'!G85</f>
        <v>per lamp</v>
      </c>
      <c r="F71" s="107" t="s">
        <v>57</v>
      </c>
      <c r="G71" s="200">
        <v>8241</v>
      </c>
      <c r="H71" s="183">
        <f>VLOOKUP(J71, 'Exh CTM-7 (Unitized Costs)'!$C$27:$D$34, 2, FALSE)</f>
        <v>1562.875</v>
      </c>
      <c r="I71" s="201">
        <f>IFERROR(IF(F71="Company",H71*G71/12, 0), 0)</f>
        <v>1073304.40625</v>
      </c>
      <c r="J71" s="184">
        <v>90</v>
      </c>
      <c r="K71" s="201">
        <v>26.186795286420214</v>
      </c>
      <c r="L71" s="14">
        <f>K71*G71</f>
        <v>215805.37995538898</v>
      </c>
      <c r="M71" s="118">
        <f>IF(F71="Company", 'Exh CTM-7 (Unitized Costs)'!$D$18*H71/K71, 0)</f>
        <v>0.27309873847041366</v>
      </c>
      <c r="N71" s="118">
        <f>$N$9</f>
        <v>0.2294659292840994</v>
      </c>
      <c r="O71" s="202">
        <f>SUM(M71:N71)</f>
        <v>0.50256466775451303</v>
      </c>
      <c r="P71" s="84">
        <f>K71*M71</f>
        <v>7.1515807573043348</v>
      </c>
      <c r="Q71" s="84">
        <f>K71*N71</f>
        <v>6.0089773153708883</v>
      </c>
      <c r="R71" s="199">
        <f>SUM(P71:Q71)</f>
        <v>13.160558072675222</v>
      </c>
      <c r="S71" s="13">
        <v>0.55395894337381346</v>
      </c>
      <c r="T71" s="199">
        <f>S71*K71</f>
        <v>14.5064094472117</v>
      </c>
      <c r="U71" s="82">
        <f>($U$192*(V71/$V$192))</f>
        <v>77555.848052872389</v>
      </c>
      <c r="V71" s="82">
        <f>IF(E71="per lamp", R71*G71, O71*L71)</f>
        <v>108456.15907691651</v>
      </c>
      <c r="W71" s="82">
        <f>IF(E71="per lamp", T71*G71, S71*L71)</f>
        <v>119547.32025447162</v>
      </c>
      <c r="Z71" s="184"/>
    </row>
    <row r="72" spans="1:26" x14ac:dyDescent="0.2">
      <c r="A72" s="66">
        <f>A71+1</f>
        <v>65</v>
      </c>
      <c r="B72" s="48">
        <v>53</v>
      </c>
      <c r="C72" s="107" t="s">
        <v>231</v>
      </c>
      <c r="D72" s="49">
        <v>105</v>
      </c>
      <c r="E72" s="107" t="str">
        <f>'Exh CTM-7 (Tariff Rates Y1)'!G86</f>
        <v>per lamp</v>
      </c>
      <c r="F72" s="107" t="s">
        <v>57</v>
      </c>
      <c r="G72" s="200">
        <v>32776</v>
      </c>
      <c r="H72" s="183">
        <f>VLOOKUP(J72, 'Exh CTM-7 (Unitized Costs)'!$C$27:$D$34, 2, FALSE)</f>
        <v>1456.9933333333331</v>
      </c>
      <c r="I72" s="201">
        <f>IFERROR(IF(F72="Company",H72*G72/12, 0), 0)</f>
        <v>3979534.4577777772</v>
      </c>
      <c r="J72" s="184">
        <v>150</v>
      </c>
      <c r="K72" s="201">
        <v>39.674794170929992</v>
      </c>
      <c r="L72" s="14">
        <f>K72*G72</f>
        <v>1300381.0537464013</v>
      </c>
      <c r="M72" s="118">
        <f>IF(F72="Company", 'Exh CTM-7 (Unitized Costs)'!$D$18*H72/K72, 0)</f>
        <v>0.16804310021968036</v>
      </c>
      <c r="N72" s="118">
        <f>$N$9</f>
        <v>0.2294659292840994</v>
      </c>
      <c r="O72" s="202">
        <f>SUM(M72:N72)</f>
        <v>0.39750902950377975</v>
      </c>
      <c r="P72" s="84">
        <f>K72*M72</f>
        <v>6.667075413060779</v>
      </c>
      <c r="Q72" s="84">
        <f>K72*N72</f>
        <v>9.1040135135878213</v>
      </c>
      <c r="R72" s="199">
        <f>SUM(P72:Q72)</f>
        <v>15.7710889266486</v>
      </c>
      <c r="S72" s="13">
        <v>0.43602088948978157</v>
      </c>
      <c r="T72" s="199">
        <f>S72*K72</f>
        <v>17.299039044732897</v>
      </c>
      <c r="U72" s="82">
        <f>($U$192*(V72/$V$192))</f>
        <v>369639.14971417334</v>
      </c>
      <c r="V72" s="82">
        <f>IF(E72="per lamp", R72*G72, O72*L72)</f>
        <v>516913.2106598345</v>
      </c>
      <c r="W72" s="82">
        <f>IF(E72="per lamp", T72*G72, S72*L72)</f>
        <v>566993.30373016547</v>
      </c>
      <c r="Z72" s="184"/>
    </row>
    <row r="73" spans="1:26" x14ac:dyDescent="0.2">
      <c r="A73" s="66">
        <f>A72+1</f>
        <v>66</v>
      </c>
      <c r="B73" s="48">
        <v>53</v>
      </c>
      <c r="C73" s="107" t="s">
        <v>232</v>
      </c>
      <c r="D73" s="49">
        <v>135</v>
      </c>
      <c r="E73" s="107" t="str">
        <f>'Exh CTM-7 (Tariff Rates Y1)'!G87</f>
        <v>per lamp</v>
      </c>
      <c r="F73" s="107" t="s">
        <v>57</v>
      </c>
      <c r="G73" s="200">
        <v>22631</v>
      </c>
      <c r="H73" s="183">
        <f>VLOOKUP(J73, 'Exh CTM-7 (Unitized Costs)'!$C$27:$D$34, 2, FALSE)</f>
        <v>1456.9933333333331</v>
      </c>
      <c r="I73" s="201">
        <f>IFERROR(IF(F73="Company",H73*G73/12, 0), 0)</f>
        <v>2747768.0105555551</v>
      </c>
      <c r="J73" s="184">
        <v>150</v>
      </c>
      <c r="K73" s="201">
        <v>39.674794170929992</v>
      </c>
      <c r="L73" s="14">
        <f>K73*G73</f>
        <v>897880.26688231668</v>
      </c>
      <c r="M73" s="118">
        <f>IF(F73="Company", 'Exh CTM-7 (Unitized Costs)'!$D$18*H73/K73, 0)</f>
        <v>0.16804310021968036</v>
      </c>
      <c r="N73" s="118">
        <f>$N$9</f>
        <v>0.2294659292840994</v>
      </c>
      <c r="O73" s="202">
        <f>SUM(M73:N73)</f>
        <v>0.39750902950377975</v>
      </c>
      <c r="P73" s="84">
        <f>K73*M73</f>
        <v>6.667075413060779</v>
      </c>
      <c r="Q73" s="84">
        <f>K73*N73</f>
        <v>9.1040135135878213</v>
      </c>
      <c r="R73" s="199">
        <f>SUM(P73:Q73)</f>
        <v>15.7710889266486</v>
      </c>
      <c r="S73" s="13">
        <v>0.43602088948978157</v>
      </c>
      <c r="T73" s="199">
        <f>S73*K73</f>
        <v>17.299039044732897</v>
      </c>
      <c r="U73" s="82">
        <f>($U$192*(V73/$V$192))</f>
        <v>255226.49491034466</v>
      </c>
      <c r="V73" s="82">
        <f>IF(E73="per lamp", R73*G73, O73*L73)</f>
        <v>356915.51349898445</v>
      </c>
      <c r="W73" s="82">
        <f>IF(E73="per lamp", T73*G73, S73*L73)</f>
        <v>391494.55262135022</v>
      </c>
      <c r="Z73" s="184"/>
    </row>
    <row r="74" spans="1:26" x14ac:dyDescent="0.2">
      <c r="A74" s="66">
        <f>A73+1</f>
        <v>67</v>
      </c>
      <c r="B74" s="48">
        <v>53</v>
      </c>
      <c r="C74" s="107" t="s">
        <v>233</v>
      </c>
      <c r="D74" s="49">
        <v>165</v>
      </c>
      <c r="E74" s="107" t="str">
        <f>'Exh CTM-7 (Tariff Rates Y1)'!G88</f>
        <v>per lamp</v>
      </c>
      <c r="F74" s="107" t="s">
        <v>57</v>
      </c>
      <c r="G74" s="200">
        <v>1472</v>
      </c>
      <c r="H74" s="183">
        <f>VLOOKUP(J74, 'Exh CTM-7 (Unitized Costs)'!$C$27:$D$34, 2, FALSE)</f>
        <v>1576.8033333333335</v>
      </c>
      <c r="I74" s="201">
        <f>IFERROR(IF(F74="Company",H74*G74/12, 0), 0)</f>
        <v>193421.20888888891</v>
      </c>
      <c r="J74" s="184">
        <v>240</v>
      </c>
      <c r="K74" s="201">
        <v>69.495762573691295</v>
      </c>
      <c r="L74" s="14">
        <f>K74*G74</f>
        <v>102297.76250847359</v>
      </c>
      <c r="M74" s="118">
        <f>IF(F74="Company", 'Exh CTM-7 (Unitized Costs)'!$D$18*H74/K74, 0)</f>
        <v>0.10382382087979253</v>
      </c>
      <c r="N74" s="118">
        <f>$N$9</f>
        <v>0.2294659292840994</v>
      </c>
      <c r="O74" s="202">
        <f>SUM(M74:N74)</f>
        <v>0.33328975016389195</v>
      </c>
      <c r="P74" s="84">
        <f>K74*M74</f>
        <v>7.2153156053555145</v>
      </c>
      <c r="Q74" s="84">
        <f>K74*N74</f>
        <v>15.946909740279208</v>
      </c>
      <c r="R74" s="199">
        <f>SUM(P74:Q74)</f>
        <v>23.162225345634724</v>
      </c>
      <c r="S74" s="13">
        <v>0.3639267405864644</v>
      </c>
      <c r="T74" s="199">
        <f>S74*K74</f>
        <v>25.291366358014272</v>
      </c>
      <c r="U74" s="82">
        <f>($U$192*(V74/$V$192))</f>
        <v>24380.826482229913</v>
      </c>
      <c r="V74" s="82">
        <f>IF(E74="per lamp", R74*G74, O74*L74)</f>
        <v>34094.795708774313</v>
      </c>
      <c r="W74" s="82">
        <f>IF(E74="per lamp", T74*G74, S74*L74)</f>
        <v>37228.891278997005</v>
      </c>
      <c r="Z74" s="184"/>
    </row>
    <row r="75" spans="1:26" x14ac:dyDescent="0.2">
      <c r="A75" s="66">
        <f>A74+1</f>
        <v>68</v>
      </c>
      <c r="B75" s="48">
        <v>53</v>
      </c>
      <c r="C75" s="107" t="s">
        <v>234</v>
      </c>
      <c r="D75" s="49">
        <v>195</v>
      </c>
      <c r="E75" s="107" t="str">
        <f>'Exh CTM-7 (Tariff Rates Y1)'!G89</f>
        <v>per lamp</v>
      </c>
      <c r="F75" s="107" t="s">
        <v>57</v>
      </c>
      <c r="G75" s="200">
        <v>5100</v>
      </c>
      <c r="H75" s="183">
        <f>VLOOKUP(J75, 'Exh CTM-7 (Unitized Costs)'!$C$27:$D$34, 2, FALSE)</f>
        <v>1576.8033333333335</v>
      </c>
      <c r="I75" s="201">
        <f>IFERROR(IF(F75="Company",H75*G75/12, 0), 0)</f>
        <v>670141.41666666674</v>
      </c>
      <c r="J75" s="184">
        <v>240</v>
      </c>
      <c r="K75" s="201">
        <v>69.495762573691295</v>
      </c>
      <c r="L75" s="14">
        <f>K75*G75</f>
        <v>354428.3891258256</v>
      </c>
      <c r="M75" s="118">
        <f>IF(F75="Company", 'Exh CTM-7 (Unitized Costs)'!$D$18*H75/K75, 0)</f>
        <v>0.10382382087979253</v>
      </c>
      <c r="N75" s="118">
        <f>$N$9</f>
        <v>0.2294659292840994</v>
      </c>
      <c r="O75" s="202">
        <f>SUM(M75:N75)</f>
        <v>0.33328975016389195</v>
      </c>
      <c r="P75" s="84">
        <f>K75*M75</f>
        <v>7.2153156053555145</v>
      </c>
      <c r="Q75" s="84">
        <f>K75*N75</f>
        <v>15.946909740279208</v>
      </c>
      <c r="R75" s="199">
        <f>SUM(P75:Q75)</f>
        <v>23.162225345634724</v>
      </c>
      <c r="S75" s="13">
        <v>0.3639267405864644</v>
      </c>
      <c r="T75" s="199">
        <f>S75*K75</f>
        <v>25.291366358014272</v>
      </c>
      <c r="U75" s="82">
        <f>($U$192*(V75/$V$192))</f>
        <v>84471.613491421565</v>
      </c>
      <c r="V75" s="82">
        <f>IF(E75="per lamp", R75*G75, O75*L75)</f>
        <v>118127.34926273709</v>
      </c>
      <c r="W75" s="82">
        <f>IF(E75="per lamp", T75*G75, S75*L75)</f>
        <v>128985.96842587279</v>
      </c>
      <c r="Z75" s="184"/>
    </row>
    <row r="76" spans="1:26" x14ac:dyDescent="0.2">
      <c r="A76" s="66">
        <f>A75+1</f>
        <v>69</v>
      </c>
      <c r="B76" s="48">
        <v>53</v>
      </c>
      <c r="C76" s="107" t="s">
        <v>235</v>
      </c>
      <c r="D76" s="49">
        <v>225</v>
      </c>
      <c r="E76" s="107" t="str">
        <f>'Exh CTM-7 (Tariff Rates Y1)'!G90</f>
        <v>per lamp</v>
      </c>
      <c r="F76" s="107" t="s">
        <v>57</v>
      </c>
      <c r="G76" s="200">
        <v>1024</v>
      </c>
      <c r="H76" s="183">
        <f>VLOOKUP(J76, 'Exh CTM-7 (Unitized Costs)'!$C$27:$D$34, 2, FALSE)</f>
        <v>1576.8033333333335</v>
      </c>
      <c r="I76" s="201">
        <f>IFERROR(IF(F76="Company",H76*G76/12, 0), 0)</f>
        <v>134553.88444444447</v>
      </c>
      <c r="J76" s="184">
        <v>240</v>
      </c>
      <c r="K76" s="201">
        <v>69.495762573691295</v>
      </c>
      <c r="L76" s="14">
        <f>K76*G76</f>
        <v>71163.660875459886</v>
      </c>
      <c r="M76" s="118">
        <f>IF(F76="Company", 'Exh CTM-7 (Unitized Costs)'!$D$18*H76/K76, 0)</f>
        <v>0.10382382087979253</v>
      </c>
      <c r="N76" s="118">
        <f>$N$9</f>
        <v>0.2294659292840994</v>
      </c>
      <c r="O76" s="202">
        <f>SUM(M76:N76)</f>
        <v>0.33328975016389195</v>
      </c>
      <c r="P76" s="84">
        <f>K76*M76</f>
        <v>7.2153156053555145</v>
      </c>
      <c r="Q76" s="84">
        <f>K76*N76</f>
        <v>15.946909740279208</v>
      </c>
      <c r="R76" s="199">
        <f>SUM(P76:Q76)</f>
        <v>23.162225345634724</v>
      </c>
      <c r="S76" s="13">
        <v>0.3639267405864644</v>
      </c>
      <c r="T76" s="199">
        <f>S76*K76</f>
        <v>25.291366358014272</v>
      </c>
      <c r="U76" s="82">
        <f>($U$192*(V76/$V$192))</f>
        <v>16960.57494415994</v>
      </c>
      <c r="V76" s="82">
        <f>IF(E76="per lamp", R76*G76, O76*L76)</f>
        <v>23718.118753929957</v>
      </c>
      <c r="W76" s="82">
        <f>IF(E76="per lamp", T76*G76, S76*L76)</f>
        <v>25898.359150606615</v>
      </c>
      <c r="Z76" s="184"/>
    </row>
    <row r="77" spans="1:26" x14ac:dyDescent="0.2">
      <c r="A77" s="66">
        <f>A76+1</f>
        <v>70</v>
      </c>
      <c r="B77" s="48">
        <v>53</v>
      </c>
      <c r="C77" s="107" t="s">
        <v>236</v>
      </c>
      <c r="D77" s="49">
        <v>255</v>
      </c>
      <c r="E77" s="107" t="str">
        <f>'Exh CTM-7 (Tariff Rates Y1)'!G91</f>
        <v>per lamp</v>
      </c>
      <c r="F77" s="107" t="s">
        <v>57</v>
      </c>
      <c r="G77" s="200">
        <v>288</v>
      </c>
      <c r="H77" s="183">
        <f>VLOOKUP(J77, 'Exh CTM-7 (Unitized Costs)'!$C$27:$D$34, 2, FALSE)</f>
        <v>1602.95</v>
      </c>
      <c r="I77" s="201">
        <f>IFERROR(IF(F77="Company",H77*G77/12, 0), 0)</f>
        <v>38470.800000000003</v>
      </c>
      <c r="J77" s="184">
        <v>340</v>
      </c>
      <c r="K77" s="201">
        <v>92.063107873663981</v>
      </c>
      <c r="L77" s="14">
        <f>K77*G77</f>
        <v>26514.175067615226</v>
      </c>
      <c r="M77" s="118">
        <f>IF(F77="Company", 'Exh CTM-7 (Unitized Costs)'!$D$18*H77/K77, 0)</f>
        <v>7.9673179179411996E-2</v>
      </c>
      <c r="N77" s="118">
        <f>$N$9</f>
        <v>0.2294659292840994</v>
      </c>
      <c r="O77" s="202">
        <f>SUM(M77:N77)</f>
        <v>0.30913910846351139</v>
      </c>
      <c r="P77" s="84">
        <f>K77*M77</f>
        <v>7.3349604894319658</v>
      </c>
      <c r="Q77" s="84">
        <f>K77*N77</f>
        <v>21.125346601012595</v>
      </c>
      <c r="R77" s="199">
        <f>SUM(P77:Q77)</f>
        <v>28.460307090444559</v>
      </c>
      <c r="S77" s="13">
        <v>0.33681463380552679</v>
      </c>
      <c r="T77" s="199">
        <f>S77*K77</f>
        <v>31.008201965466842</v>
      </c>
      <c r="U77" s="82">
        <f>($U$192*(V77/$V$192))</f>
        <v>5861.2790832433684</v>
      </c>
      <c r="V77" s="82">
        <f>IF(E77="per lamp", R77*G77, O77*L77)</f>
        <v>8196.568442048032</v>
      </c>
      <c r="W77" s="82">
        <f>IF(E77="per lamp", T77*G77, S77*L77)</f>
        <v>8930.3621660544504</v>
      </c>
      <c r="Z77" s="184"/>
    </row>
    <row r="78" spans="1:26" x14ac:dyDescent="0.2">
      <c r="A78" s="66">
        <f>A77+1</f>
        <v>71</v>
      </c>
      <c r="B78" s="48">
        <v>53</v>
      </c>
      <c r="C78" s="107" t="s">
        <v>237</v>
      </c>
      <c r="D78" s="49">
        <v>285</v>
      </c>
      <c r="E78" s="107" t="str">
        <f>'Exh CTM-7 (Tariff Rates Y1)'!G92</f>
        <v>per lamp</v>
      </c>
      <c r="F78" s="107" t="s">
        <v>57</v>
      </c>
      <c r="G78" s="200">
        <v>1899</v>
      </c>
      <c r="H78" s="183">
        <f>VLOOKUP(J78, 'Exh CTM-7 (Unitized Costs)'!$C$27:$D$34, 2, FALSE)</f>
        <v>1602.95</v>
      </c>
      <c r="I78" s="201">
        <f>IFERROR(IF(F78="Company",H78*G78/12, 0), 0)</f>
        <v>253666.83750000002</v>
      </c>
      <c r="J78" s="184">
        <v>340</v>
      </c>
      <c r="K78" s="201">
        <v>92.063107873663981</v>
      </c>
      <c r="L78" s="14">
        <f>K78*G78</f>
        <v>174827.84185208791</v>
      </c>
      <c r="M78" s="118">
        <f>IF(F78="Company", 'Exh CTM-7 (Unitized Costs)'!$D$18*H78/K78, 0)</f>
        <v>7.9673179179411996E-2</v>
      </c>
      <c r="N78" s="118">
        <f>$N$9</f>
        <v>0.2294659292840994</v>
      </c>
      <c r="O78" s="202">
        <f>SUM(M78:N78)</f>
        <v>0.30913910846351139</v>
      </c>
      <c r="P78" s="84">
        <f>K78*M78</f>
        <v>7.3349604894319658</v>
      </c>
      <c r="Q78" s="84">
        <f>K78*N78</f>
        <v>21.125346601012595</v>
      </c>
      <c r="R78" s="199">
        <f>SUM(P78:Q78)</f>
        <v>28.460307090444559</v>
      </c>
      <c r="S78" s="13">
        <v>0.33681463380552679</v>
      </c>
      <c r="T78" s="199">
        <f>S78*K78</f>
        <v>31.008201965466842</v>
      </c>
      <c r="U78" s="82">
        <f>($U$192*(V78/$V$192))</f>
        <v>38647.808955135966</v>
      </c>
      <c r="V78" s="82">
        <f>IF(E78="per lamp", R78*G78, O78*L78)</f>
        <v>54046.123164754215</v>
      </c>
      <c r="W78" s="82">
        <f>IF(E78="per lamp", T78*G78, S78*L78)</f>
        <v>58884.575532421535</v>
      </c>
      <c r="Z78" s="184"/>
    </row>
    <row r="79" spans="1:26" x14ac:dyDescent="0.2">
      <c r="A79" s="66">
        <f>A78+1</f>
        <v>72</v>
      </c>
      <c r="B79" s="48">
        <v>53</v>
      </c>
      <c r="C79" s="107" t="s">
        <v>228</v>
      </c>
      <c r="D79" s="49">
        <v>15</v>
      </c>
      <c r="E79" s="107" t="str">
        <f>'Exh CTM-7 (Tariff Rates Y1)'!G94</f>
        <v>per kWh</v>
      </c>
      <c r="F79" s="107" t="s">
        <v>57</v>
      </c>
      <c r="G79" s="200">
        <v>32</v>
      </c>
      <c r="H79" s="183">
        <f>VLOOKUP(J79, 'Exh CTM-7 (Unitized Costs)'!$C$27:$D$34, 2, FALSE)</f>
        <v>1426.7</v>
      </c>
      <c r="I79" s="201">
        <f>IFERROR(IF(F79="Company",H79*G79/12, 0), 0)</f>
        <v>3804.5333333333333</v>
      </c>
      <c r="J79" s="184">
        <v>30</v>
      </c>
      <c r="K79" s="201">
        <v>7.4297601011292338</v>
      </c>
      <c r="L79" s="14">
        <f>K79*G79</f>
        <v>237.75232323613548</v>
      </c>
      <c r="M79" s="118">
        <f>IF(F79="Company", 'Exh CTM-7 (Unitized Costs)'!$D$18*H79/K79, 0)</f>
        <v>0.87868997818050398</v>
      </c>
      <c r="N79" s="118">
        <f>$N$9</f>
        <v>0.2294659292840994</v>
      </c>
      <c r="O79" s="202">
        <f>SUM(M79:N79)</f>
        <v>1.1081559074646035</v>
      </c>
      <c r="P79" s="84">
        <f>K79*M79</f>
        <v>6.5284557411476252</v>
      </c>
      <c r="Q79" s="84">
        <f>K79*N79</f>
        <v>1.704876805963544</v>
      </c>
      <c r="R79" s="199">
        <f>SUM(P79:Q79)</f>
        <v>8.2333325471111696</v>
      </c>
      <c r="S79" s="13">
        <v>1.2338106243484692</v>
      </c>
      <c r="T79" s="199">
        <f>S79*K79</f>
        <v>9.166916949133606</v>
      </c>
      <c r="U79" s="82">
        <f>($U$192*(V79/$V$192))</f>
        <v>188.4021985442937</v>
      </c>
      <c r="V79" s="82">
        <f>IF(E79="per lamp", R79*G79, O79*L79)</f>
        <v>263.46664150755743</v>
      </c>
      <c r="W79" s="82">
        <f>IF(E79="per lamp", T79*G79, S79*L79)</f>
        <v>293.34134237227539</v>
      </c>
      <c r="Z79" s="184"/>
    </row>
    <row r="80" spans="1:26" x14ac:dyDescent="0.2">
      <c r="A80" s="66">
        <f>A79+1</f>
        <v>73</v>
      </c>
      <c r="B80" s="48">
        <v>53</v>
      </c>
      <c r="C80" s="107" t="s">
        <v>229</v>
      </c>
      <c r="D80" s="49">
        <v>45</v>
      </c>
      <c r="E80" s="107" t="str">
        <f>'Exh CTM-7 (Tariff Rates Y1)'!G95</f>
        <v>per kWh</v>
      </c>
      <c r="F80" s="107" t="s">
        <v>57</v>
      </c>
      <c r="G80" s="200">
        <v>82109</v>
      </c>
      <c r="H80" s="183">
        <f>VLOOKUP(J80, 'Exh CTM-7 (Unitized Costs)'!$C$27:$D$34, 2, FALSE)</f>
        <v>1401.77</v>
      </c>
      <c r="I80" s="201">
        <f>IFERROR(IF(F80="Company",H80*G80/12, 0), 0)</f>
        <v>9591494.4108333327</v>
      </c>
      <c r="J80" s="184">
        <v>60</v>
      </c>
      <c r="K80" s="201">
        <v>16.236746289282937</v>
      </c>
      <c r="L80" s="14">
        <f>K80*G80</f>
        <v>1333183.0010667327</v>
      </c>
      <c r="M80" s="118">
        <f>IF(F80="Company", 'Exh CTM-7 (Unitized Costs)'!$D$18*H80/K80, 0)</f>
        <v>0.3950531777840206</v>
      </c>
      <c r="N80" s="118">
        <f>$N$9</f>
        <v>0.2294659292840994</v>
      </c>
      <c r="O80" s="202">
        <f>SUM(M80:N80)</f>
        <v>0.62451910706811997</v>
      </c>
      <c r="P80" s="84">
        <f>K80*M80</f>
        <v>6.4143782184541287</v>
      </c>
      <c r="Q80" s="84">
        <f>K80*N80</f>
        <v>3.7257800758204618</v>
      </c>
      <c r="R80" s="199">
        <f>SUM(P80:Q80)</f>
        <v>10.14015829427459</v>
      </c>
      <c r="S80" s="13">
        <v>0.69086800865251297</v>
      </c>
      <c r="T80" s="199">
        <f>S80*K80</f>
        <v>11.217448575872982</v>
      </c>
      <c r="U80" s="82">
        <f>($U$192*(V80/$V$192))</f>
        <v>595382.17551122257</v>
      </c>
      <c r="V80" s="82">
        <f>IF(E80="per lamp", R80*G80, O80*L80)</f>
        <v>832598.25738459232</v>
      </c>
      <c r="W80" s="82">
        <f>IF(E80="per lamp", T80*G80, S80*L80)</f>
        <v>921053.48511635466</v>
      </c>
      <c r="Z80" s="184"/>
    </row>
    <row r="81" spans="1:26" x14ac:dyDescent="0.2">
      <c r="A81" s="66">
        <f>A80+1</f>
        <v>74</v>
      </c>
      <c r="B81" s="48">
        <v>53</v>
      </c>
      <c r="C81" s="107" t="s">
        <v>230</v>
      </c>
      <c r="D81" s="49">
        <v>75</v>
      </c>
      <c r="E81" s="107" t="str">
        <f>'Exh CTM-7 (Tariff Rates Y1)'!G96</f>
        <v>per kWh</v>
      </c>
      <c r="F81" s="107" t="s">
        <v>57</v>
      </c>
      <c r="G81" s="200">
        <v>2780</v>
      </c>
      <c r="H81" s="183">
        <f>VLOOKUP(J81, 'Exh CTM-7 (Unitized Costs)'!$C$27:$D$34, 2, FALSE)</f>
        <v>1562.875</v>
      </c>
      <c r="I81" s="201">
        <f>IFERROR(IF(F81="Company",H81*G81/12, 0), 0)</f>
        <v>362066.04166666669</v>
      </c>
      <c r="J81" s="184">
        <v>90</v>
      </c>
      <c r="K81" s="201">
        <v>26.186795286420214</v>
      </c>
      <c r="L81" s="14">
        <f>K81*G81</f>
        <v>72799.290896248189</v>
      </c>
      <c r="M81" s="118">
        <f>IF(F81="Company", 'Exh CTM-7 (Unitized Costs)'!$D$18*H81/K81, 0)</f>
        <v>0.27309873847041366</v>
      </c>
      <c r="N81" s="118">
        <f>$N$9</f>
        <v>0.2294659292840994</v>
      </c>
      <c r="O81" s="202">
        <f>SUM(M81:N81)</f>
        <v>0.50256466775451303</v>
      </c>
      <c r="P81" s="84">
        <f>K81*M81</f>
        <v>7.1515807573043348</v>
      </c>
      <c r="Q81" s="84">
        <f>K81*N81</f>
        <v>6.0089773153708883</v>
      </c>
      <c r="R81" s="199">
        <f>SUM(P81:Q81)</f>
        <v>13.160558072675222</v>
      </c>
      <c r="S81" s="13">
        <v>0.55395894337381346</v>
      </c>
      <c r="T81" s="199">
        <f>S81*K81</f>
        <v>14.5064094472117</v>
      </c>
      <c r="U81" s="82">
        <f>($U$192*(V81/$V$192))</f>
        <v>26162.511538282393</v>
      </c>
      <c r="V81" s="82">
        <f>IF(E81="per lamp", R81*G81, O81*L81)</f>
        <v>36586.351442037114</v>
      </c>
      <c r="W81" s="82">
        <f>IF(E81="per lamp", T81*G81, S81*L81)</f>
        <v>40327.818263248526</v>
      </c>
      <c r="Z81" s="184"/>
    </row>
    <row r="82" spans="1:26" x14ac:dyDescent="0.2">
      <c r="A82" s="66">
        <f>A81+1</f>
        <v>75</v>
      </c>
      <c r="B82" s="48">
        <v>53</v>
      </c>
      <c r="C82" s="107" t="s">
        <v>231</v>
      </c>
      <c r="D82" s="49">
        <v>105</v>
      </c>
      <c r="E82" s="107" t="str">
        <f>'Exh CTM-7 (Tariff Rates Y1)'!G97</f>
        <v>per kWh</v>
      </c>
      <c r="F82" s="107" t="s">
        <v>57</v>
      </c>
      <c r="G82" s="200">
        <v>16698</v>
      </c>
      <c r="H82" s="183">
        <f>VLOOKUP(J82, 'Exh CTM-7 (Unitized Costs)'!$C$27:$D$34, 2, FALSE)</f>
        <v>1456.9933333333331</v>
      </c>
      <c r="I82" s="201">
        <f>IFERROR(IF(F82="Company",H82*G82/12, 0), 0)</f>
        <v>2027406.2233333329</v>
      </c>
      <c r="J82" s="184">
        <v>150</v>
      </c>
      <c r="K82" s="201">
        <v>39.674794170929992</v>
      </c>
      <c r="L82" s="14">
        <f>K82*G82</f>
        <v>662489.71306618897</v>
      </c>
      <c r="M82" s="118">
        <f>IF(F82="Company", 'Exh CTM-7 (Unitized Costs)'!$D$18*H82/K82, 0)</f>
        <v>0.16804310021968036</v>
      </c>
      <c r="N82" s="118">
        <f>$N$9</f>
        <v>0.2294659292840994</v>
      </c>
      <c r="O82" s="202">
        <f>SUM(M82:N82)</f>
        <v>0.39750902950377975</v>
      </c>
      <c r="P82" s="84">
        <f>K82*M82</f>
        <v>6.667075413060779</v>
      </c>
      <c r="Q82" s="84">
        <f>K82*N82</f>
        <v>9.1040135135878213</v>
      </c>
      <c r="R82" s="199">
        <f>SUM(P82:Q82)</f>
        <v>15.7710889266486</v>
      </c>
      <c r="S82" s="13">
        <v>0.43602088948978157</v>
      </c>
      <c r="T82" s="199">
        <f>S82*K82</f>
        <v>17.299039044732897</v>
      </c>
      <c r="U82" s="82">
        <f>($U$192*(V82/$V$192))</f>
        <v>188315.67372245746</v>
      </c>
      <c r="V82" s="82">
        <f>IF(E82="per lamp", R82*G82, O82*L82)</f>
        <v>263345.6428971783</v>
      </c>
      <c r="W82" s="82">
        <f>IF(E82="per lamp", T82*G82, S82*L82)</f>
        <v>288859.35396894987</v>
      </c>
      <c r="Z82" s="184"/>
    </row>
    <row r="83" spans="1:26" x14ac:dyDescent="0.2">
      <c r="A83" s="66">
        <f>A82+1</f>
        <v>76</v>
      </c>
      <c r="B83" s="48">
        <v>53</v>
      </c>
      <c r="C83" s="107" t="s">
        <v>232</v>
      </c>
      <c r="D83" s="49">
        <v>135</v>
      </c>
      <c r="E83" s="107" t="str">
        <f>'Exh CTM-7 (Tariff Rates Y1)'!G98</f>
        <v>per kWh</v>
      </c>
      <c r="F83" s="107" t="s">
        <v>57</v>
      </c>
      <c r="G83" s="200">
        <v>3035</v>
      </c>
      <c r="H83" s="183">
        <f>VLOOKUP(J83, 'Exh CTM-7 (Unitized Costs)'!$C$27:$D$34, 2, FALSE)</f>
        <v>1456.9933333333331</v>
      </c>
      <c r="I83" s="201">
        <f>IFERROR(IF(F83="Company",H83*G83/12, 0), 0)</f>
        <v>368497.89722222212</v>
      </c>
      <c r="J83" s="184">
        <v>150</v>
      </c>
      <c r="K83" s="201">
        <v>39.674794170929992</v>
      </c>
      <c r="L83" s="14">
        <f>K83*G83</f>
        <v>120413.00030877252</v>
      </c>
      <c r="M83" s="118">
        <f>IF(F83="Company", 'Exh CTM-7 (Unitized Costs)'!$D$18*H83/K83, 0)</f>
        <v>0.16804310021968036</v>
      </c>
      <c r="N83" s="118">
        <f>$N$9</f>
        <v>0.2294659292840994</v>
      </c>
      <c r="O83" s="202">
        <f>SUM(M83:N83)</f>
        <v>0.39750902950377975</v>
      </c>
      <c r="P83" s="84">
        <f>K83*M83</f>
        <v>6.667075413060779</v>
      </c>
      <c r="Q83" s="84">
        <f>K83*N83</f>
        <v>9.1040135135878213</v>
      </c>
      <c r="R83" s="199">
        <f>SUM(P83:Q83)</f>
        <v>15.7710889266486</v>
      </c>
      <c r="S83" s="13">
        <v>0.43602088948978157</v>
      </c>
      <c r="T83" s="199">
        <f>S83*K83</f>
        <v>17.299039044732897</v>
      </c>
      <c r="U83" s="82">
        <f>($U$192*(V83/$V$192))</f>
        <v>34227.935665807789</v>
      </c>
      <c r="V83" s="82">
        <f>IF(E83="per lamp", R83*G83, O83*L83)</f>
        <v>47865.2548923785</v>
      </c>
      <c r="W83" s="82">
        <f>IF(E83="per lamp", T83*G83, S83*L83)</f>
        <v>52502.58350076434</v>
      </c>
      <c r="Z83" s="184"/>
    </row>
    <row r="84" spans="1:26" x14ac:dyDescent="0.2">
      <c r="A84" s="66">
        <f>A83+1</f>
        <v>77</v>
      </c>
      <c r="B84" s="48">
        <v>53</v>
      </c>
      <c r="C84" s="107" t="s">
        <v>233</v>
      </c>
      <c r="D84" s="49">
        <v>165</v>
      </c>
      <c r="E84" s="107" t="str">
        <f>'Exh CTM-7 (Tariff Rates Y1)'!G99</f>
        <v>per kWh</v>
      </c>
      <c r="F84" s="107" t="s">
        <v>57</v>
      </c>
      <c r="G84" s="200">
        <v>143</v>
      </c>
      <c r="H84" s="183">
        <f>VLOOKUP(J84, 'Exh CTM-7 (Unitized Costs)'!$C$27:$D$34, 2, FALSE)</f>
        <v>1576.8033333333335</v>
      </c>
      <c r="I84" s="201">
        <f>IFERROR(IF(F84="Company",H84*G84/12, 0), 0)</f>
        <v>18790.239722222224</v>
      </c>
      <c r="J84" s="184">
        <v>240</v>
      </c>
      <c r="K84" s="201">
        <v>69.495762573691295</v>
      </c>
      <c r="L84" s="14">
        <f>K84*G84</f>
        <v>9937.8940480378551</v>
      </c>
      <c r="M84" s="118">
        <f>IF(F84="Company", 'Exh CTM-7 (Unitized Costs)'!$D$18*H84/K84, 0)</f>
        <v>0.10382382087979253</v>
      </c>
      <c r="N84" s="118">
        <f>$N$9</f>
        <v>0.2294659292840994</v>
      </c>
      <c r="O84" s="202">
        <f>SUM(M84:N84)</f>
        <v>0.33328975016389195</v>
      </c>
      <c r="P84" s="84">
        <f>K84*M84</f>
        <v>7.2153156053555145</v>
      </c>
      <c r="Q84" s="84">
        <f>K84*N84</f>
        <v>15.946909740279208</v>
      </c>
      <c r="R84" s="199">
        <f>SUM(P84:Q84)</f>
        <v>23.162225345634724</v>
      </c>
      <c r="S84" s="13">
        <v>0.3639267405864644</v>
      </c>
      <c r="T84" s="199">
        <f>S84*K84</f>
        <v>25.291366358014272</v>
      </c>
      <c r="U84" s="82">
        <f>($U$192*(V84/$V$192))</f>
        <v>2368.5177900535855</v>
      </c>
      <c r="V84" s="82">
        <f>IF(E84="per lamp", R84*G84, O84*L84)</f>
        <v>3312.1982244257656</v>
      </c>
      <c r="W84" s="82">
        <f>IF(E84="per lamp", T84*G84, S84*L84)</f>
        <v>3616.6653891960409</v>
      </c>
      <c r="Z84" s="184"/>
    </row>
    <row r="85" spans="1:26" x14ac:dyDescent="0.2">
      <c r="A85" s="66">
        <f>A84+1</f>
        <v>78</v>
      </c>
      <c r="B85" s="48">
        <v>53</v>
      </c>
      <c r="C85" s="107" t="s">
        <v>234</v>
      </c>
      <c r="D85" s="49">
        <v>195</v>
      </c>
      <c r="E85" s="107" t="str">
        <f>'Exh CTM-7 (Tariff Rates Y1)'!G100</f>
        <v>per kWh</v>
      </c>
      <c r="F85" s="107" t="s">
        <v>57</v>
      </c>
      <c r="G85" s="200">
        <v>1207</v>
      </c>
      <c r="H85" s="183">
        <f>VLOOKUP(J85, 'Exh CTM-7 (Unitized Costs)'!$C$27:$D$34, 2, FALSE)</f>
        <v>1576.8033333333335</v>
      </c>
      <c r="I85" s="201">
        <f>IFERROR(IF(F85="Company",H85*G85/12, 0), 0)</f>
        <v>158600.13527777779</v>
      </c>
      <c r="J85" s="184">
        <v>240</v>
      </c>
      <c r="K85" s="201">
        <v>69.495762573691295</v>
      </c>
      <c r="L85" s="14">
        <f>K85*G85</f>
        <v>83881.385426445398</v>
      </c>
      <c r="M85" s="118">
        <f>IF(F85="Company", 'Exh CTM-7 (Unitized Costs)'!$D$18*H85/K85, 0)</f>
        <v>0.10382382087979253</v>
      </c>
      <c r="N85" s="118">
        <f>$N$9</f>
        <v>0.2294659292840994</v>
      </c>
      <c r="O85" s="202">
        <f>SUM(M85:N85)</f>
        <v>0.33328975016389195</v>
      </c>
      <c r="P85" s="84">
        <f>K85*M85</f>
        <v>7.2153156053555145</v>
      </c>
      <c r="Q85" s="84">
        <f>K85*N85</f>
        <v>15.946909740279208</v>
      </c>
      <c r="R85" s="199">
        <f>SUM(P85:Q85)</f>
        <v>23.162225345634724</v>
      </c>
      <c r="S85" s="13">
        <v>0.3639267405864644</v>
      </c>
      <c r="T85" s="199">
        <f>S85*K85</f>
        <v>25.291366358014272</v>
      </c>
      <c r="U85" s="82">
        <f>($U$192*(V85/$V$192))</f>
        <v>19991.615192969773</v>
      </c>
      <c r="V85" s="82">
        <f>IF(E85="per lamp", R85*G85, O85*L85)</f>
        <v>27956.805992181115</v>
      </c>
      <c r="W85" s="82">
        <f>IF(E85="per lamp", T85*G85, S85*L85)</f>
        <v>30526.67919412323</v>
      </c>
      <c r="Z85" s="184"/>
    </row>
    <row r="86" spans="1:26" x14ac:dyDescent="0.2">
      <c r="A86" s="66">
        <f>A85+1</f>
        <v>79</v>
      </c>
      <c r="B86" s="48">
        <v>53</v>
      </c>
      <c r="C86" s="107" t="s">
        <v>235</v>
      </c>
      <c r="D86" s="49">
        <v>225</v>
      </c>
      <c r="E86" s="107" t="str">
        <f>'Exh CTM-7 (Tariff Rates Y1)'!G101</f>
        <v>per kWh</v>
      </c>
      <c r="F86" s="107" t="s">
        <v>57</v>
      </c>
      <c r="G86" s="200">
        <v>477</v>
      </c>
      <c r="H86" s="183">
        <f>VLOOKUP(J86, 'Exh CTM-7 (Unitized Costs)'!$C$27:$D$34, 2, FALSE)</f>
        <v>1576.8033333333335</v>
      </c>
      <c r="I86" s="201">
        <f>IFERROR(IF(F86="Company",H86*G86/12, 0), 0)</f>
        <v>62677.932500000003</v>
      </c>
      <c r="J86" s="184">
        <v>240</v>
      </c>
      <c r="K86" s="201">
        <v>69.495762573691295</v>
      </c>
      <c r="L86" s="14">
        <f>K86*G86</f>
        <v>33149.478747650748</v>
      </c>
      <c r="M86" s="118">
        <f>IF(F86="Company", 'Exh CTM-7 (Unitized Costs)'!$D$18*H86/K86, 0)</f>
        <v>0.10382382087979253</v>
      </c>
      <c r="N86" s="118">
        <f>$N$9</f>
        <v>0.2294659292840994</v>
      </c>
      <c r="O86" s="202">
        <f>SUM(M86:N86)</f>
        <v>0.33328975016389195</v>
      </c>
      <c r="P86" s="84">
        <f>K86*M86</f>
        <v>7.2153156053555145</v>
      </c>
      <c r="Q86" s="84">
        <f>K86*N86</f>
        <v>15.946909740279208</v>
      </c>
      <c r="R86" s="199">
        <f>SUM(P86:Q86)</f>
        <v>23.162225345634724</v>
      </c>
      <c r="S86" s="13">
        <v>0.3639267405864644</v>
      </c>
      <c r="T86" s="199">
        <f>S86*K86</f>
        <v>25.291366358014272</v>
      </c>
      <c r="U86" s="82">
        <f>($U$192*(V86/$V$192))</f>
        <v>7900.5803206682522</v>
      </c>
      <c r="V86" s="82">
        <f>IF(E86="per lamp", R86*G86, O86*L86)</f>
        <v>11048.381489867763</v>
      </c>
      <c r="W86" s="82">
        <f>IF(E86="per lamp", T86*G86, S86*L86)</f>
        <v>12063.981752772808</v>
      </c>
      <c r="Z86" s="184"/>
    </row>
    <row r="87" spans="1:26" x14ac:dyDescent="0.2">
      <c r="A87" s="66">
        <f>A86+1</f>
        <v>80</v>
      </c>
      <c r="B87" s="48">
        <v>53</v>
      </c>
      <c r="C87" s="107" t="s">
        <v>236</v>
      </c>
      <c r="D87" s="49">
        <v>255</v>
      </c>
      <c r="E87" s="107" t="str">
        <f>'Exh CTM-7 (Tariff Rates Y1)'!G102</f>
        <v>per kWh</v>
      </c>
      <c r="F87" s="107" t="s">
        <v>57</v>
      </c>
      <c r="G87" s="200">
        <v>0</v>
      </c>
      <c r="H87" s="183">
        <f>VLOOKUP(J87, 'Exh CTM-7 (Unitized Costs)'!$C$27:$D$34, 2, FALSE)</f>
        <v>1602.95</v>
      </c>
      <c r="I87" s="201">
        <f>IFERROR(IF(F87="Company",H87*G87/12, 0), 0)</f>
        <v>0</v>
      </c>
      <c r="J87" s="184">
        <v>340</v>
      </c>
      <c r="K87" s="201">
        <v>92.063107873663981</v>
      </c>
      <c r="L87" s="14">
        <f>K87*G87</f>
        <v>0</v>
      </c>
      <c r="M87" s="118">
        <f>IF(F87="Company", 'Exh CTM-7 (Unitized Costs)'!$D$18*H87/K87, 0)</f>
        <v>7.9673179179411996E-2</v>
      </c>
      <c r="N87" s="118">
        <f>$N$9</f>
        <v>0.2294659292840994</v>
      </c>
      <c r="O87" s="202">
        <f>SUM(M87:N87)</f>
        <v>0.30913910846351139</v>
      </c>
      <c r="P87" s="84">
        <f>K87*M87</f>
        <v>7.3349604894319658</v>
      </c>
      <c r="Q87" s="84">
        <f>K87*N87</f>
        <v>21.125346601012595</v>
      </c>
      <c r="R87" s="199">
        <f>SUM(P87:Q87)</f>
        <v>28.460307090444559</v>
      </c>
      <c r="S87" s="13">
        <v>0.33681463380552679</v>
      </c>
      <c r="T87" s="199">
        <f>S87*K87</f>
        <v>31.008201965466842</v>
      </c>
      <c r="U87" s="82">
        <f>($U$192*(V87/$V$192))</f>
        <v>0</v>
      </c>
      <c r="V87" s="82">
        <f>IF(E87="per lamp", R87*G87, O87*L87)</f>
        <v>0</v>
      </c>
      <c r="W87" s="82">
        <f>IF(E87="per lamp", T87*G87, S87*L87)</f>
        <v>0</v>
      </c>
      <c r="Z87" s="184"/>
    </row>
    <row r="88" spans="1:26" x14ac:dyDescent="0.2">
      <c r="A88" s="66">
        <f>A87+1</f>
        <v>81</v>
      </c>
      <c r="B88" s="48">
        <v>53</v>
      </c>
      <c r="C88" s="107" t="s">
        <v>237</v>
      </c>
      <c r="D88" s="49">
        <v>285</v>
      </c>
      <c r="E88" s="107" t="str">
        <f>'Exh CTM-7 (Tariff Rates Y1)'!G103</f>
        <v>per kWh</v>
      </c>
      <c r="F88" s="107" t="s">
        <v>57</v>
      </c>
      <c r="G88" s="200">
        <v>0</v>
      </c>
      <c r="H88" s="183">
        <f>VLOOKUP(J88, 'Exh CTM-7 (Unitized Costs)'!$C$27:$D$34, 2, FALSE)</f>
        <v>1602.95</v>
      </c>
      <c r="I88" s="201">
        <f>IFERROR(IF(F88="Company",H88*G88/12, 0), 0)</f>
        <v>0</v>
      </c>
      <c r="J88" s="184">
        <v>340</v>
      </c>
      <c r="K88" s="201">
        <v>92.063107873663981</v>
      </c>
      <c r="L88" s="14">
        <f>K88*G88</f>
        <v>0</v>
      </c>
      <c r="M88" s="118">
        <f>IF(F88="Company", 'Exh CTM-7 (Unitized Costs)'!$D$18*H88/K88, 0)</f>
        <v>7.9673179179411996E-2</v>
      </c>
      <c r="N88" s="118">
        <f>$N$9</f>
        <v>0.2294659292840994</v>
      </c>
      <c r="O88" s="202">
        <f>SUM(M88:N88)</f>
        <v>0.30913910846351139</v>
      </c>
      <c r="P88" s="84">
        <f>K88*M88</f>
        <v>7.3349604894319658</v>
      </c>
      <c r="Q88" s="84">
        <f>K88*N88</f>
        <v>21.125346601012595</v>
      </c>
      <c r="R88" s="199">
        <f>SUM(P88:Q88)</f>
        <v>28.460307090444559</v>
      </c>
      <c r="S88" s="13">
        <v>0.33681463380552679</v>
      </c>
      <c r="T88" s="199">
        <f>S88*K88</f>
        <v>31.008201965466842</v>
      </c>
      <c r="U88" s="82">
        <f>($U$192*(V88/$V$192))</f>
        <v>0</v>
      </c>
      <c r="V88" s="82">
        <f>IF(E88="per lamp", R88*G88, O88*L88)</f>
        <v>0</v>
      </c>
      <c r="W88" s="82">
        <f>IF(E88="per lamp", T88*G88, S88*L88)</f>
        <v>0</v>
      </c>
      <c r="Z88" s="184"/>
    </row>
    <row r="89" spans="1:26" x14ac:dyDescent="0.2">
      <c r="A89" s="66">
        <f>A88+1</f>
        <v>82</v>
      </c>
      <c r="B89" s="48">
        <v>53</v>
      </c>
      <c r="C89" s="107" t="s">
        <v>253</v>
      </c>
      <c r="D89" s="49">
        <v>50</v>
      </c>
      <c r="E89" s="107" t="str">
        <f>'Exh CTM-7 (Tariff Rates Y1)'!G105</f>
        <v>per lamp</v>
      </c>
      <c r="F89" s="107" t="s">
        <v>56</v>
      </c>
      <c r="G89" s="200">
        <v>0</v>
      </c>
      <c r="H89" s="183">
        <f>VLOOKUP(J89, 'Exh CTM-7 (Unitized Costs)'!$C$27:$D$34, 2, FALSE)</f>
        <v>1401.77</v>
      </c>
      <c r="I89" s="201">
        <f>IFERROR(IF(F89="Company",H89*G89/12, 0), 0)</f>
        <v>0</v>
      </c>
      <c r="J89" s="184">
        <v>60</v>
      </c>
      <c r="K89" s="201">
        <v>16.236746289282937</v>
      </c>
      <c r="L89" s="14">
        <f>K89*G89</f>
        <v>0</v>
      </c>
      <c r="M89" s="118">
        <f>IF(F89="Company", 'Exh CTM-7 (Unitized Costs)'!$D$18*H89/K89, 0)</f>
        <v>0</v>
      </c>
      <c r="N89" s="118">
        <f>$N$9</f>
        <v>0.2294659292840994</v>
      </c>
      <c r="O89" s="202">
        <f>SUM(M89:N89)</f>
        <v>0.2294659292840994</v>
      </c>
      <c r="P89" s="84">
        <f>K89*M89</f>
        <v>0</v>
      </c>
      <c r="Q89" s="84">
        <f>K89*N89</f>
        <v>3.7257800758204618</v>
      </c>
      <c r="R89" s="199">
        <f>SUM(P89:Q89)</f>
        <v>3.7257800758204618</v>
      </c>
      <c r="S89" s="13">
        <v>0.24737155530318816</v>
      </c>
      <c r="T89" s="199">
        <f>S89*K89</f>
        <v>4.0165091826431896</v>
      </c>
      <c r="U89" s="82">
        <f>($U$192*(V89/$V$192))</f>
        <v>0</v>
      </c>
      <c r="V89" s="82">
        <f>IF(E89="per lamp", R89*G89, O89*L89)</f>
        <v>0</v>
      </c>
      <c r="W89" s="82">
        <f>IF(E89="per lamp", T89*G89, S89*L89)</f>
        <v>0</v>
      </c>
      <c r="Z89" s="184"/>
    </row>
    <row r="90" spans="1:26" x14ac:dyDescent="0.2">
      <c r="A90" s="66">
        <f>A89+1</f>
        <v>83</v>
      </c>
      <c r="B90" s="48">
        <v>53</v>
      </c>
      <c r="C90" s="107" t="s">
        <v>239</v>
      </c>
      <c r="D90" s="49">
        <v>70</v>
      </c>
      <c r="E90" s="107" t="str">
        <f>'Exh CTM-7 (Tariff Rates Y1)'!G106</f>
        <v>per lamp</v>
      </c>
      <c r="F90" s="107" t="s">
        <v>56</v>
      </c>
      <c r="G90" s="200">
        <v>604</v>
      </c>
      <c r="H90" s="183">
        <f>VLOOKUP(J90, 'Exh CTM-7 (Unitized Costs)'!$C$27:$D$34, 2, FALSE)</f>
        <v>1562.875</v>
      </c>
      <c r="I90" s="201">
        <f>IFERROR(IF(F90="Company",H90*G90/12, 0), 0)</f>
        <v>0</v>
      </c>
      <c r="J90" s="184">
        <v>90</v>
      </c>
      <c r="K90" s="201">
        <v>26.186795286420214</v>
      </c>
      <c r="L90" s="14">
        <f>K90*G90</f>
        <v>15816.82435299781</v>
      </c>
      <c r="M90" s="118">
        <f>IF(F90="Company", 'Exh CTM-7 (Unitized Costs)'!$D$18*H90/K90, 0)</f>
        <v>0</v>
      </c>
      <c r="N90" s="118">
        <f>$N$9</f>
        <v>0.2294659292840994</v>
      </c>
      <c r="O90" s="202">
        <f>SUM(M90:N90)</f>
        <v>0.2294659292840994</v>
      </c>
      <c r="P90" s="84">
        <f>K90*M90</f>
        <v>0</v>
      </c>
      <c r="Q90" s="84">
        <f>K90*N90</f>
        <v>6.0089773153708883</v>
      </c>
      <c r="R90" s="199">
        <f>SUM(P90:Q90)</f>
        <v>6.0089773153708883</v>
      </c>
      <c r="S90" s="13">
        <v>0.24737155530318816</v>
      </c>
      <c r="T90" s="199">
        <f>S90*K90</f>
        <v>6.4778682784079651</v>
      </c>
      <c r="U90" s="82">
        <f>($U$192*(V90/$V$192))</f>
        <v>2595.3613579594598</v>
      </c>
      <c r="V90" s="82">
        <f>IF(E90="per lamp", R90*G90, O90*L90)</f>
        <v>3629.4222984840167</v>
      </c>
      <c r="W90" s="82">
        <f>IF(E90="per lamp", T90*G90, S90*L90)</f>
        <v>3912.6324401584111</v>
      </c>
      <c r="Z90" s="184"/>
    </row>
    <row r="91" spans="1:26" x14ac:dyDescent="0.2">
      <c r="A91" s="66">
        <f>A90+1</f>
        <v>84</v>
      </c>
      <c r="B91" s="48">
        <v>53</v>
      </c>
      <c r="C91" s="107" t="s">
        <v>240</v>
      </c>
      <c r="D91" s="49">
        <v>100</v>
      </c>
      <c r="E91" s="107" t="str">
        <f>'Exh CTM-7 (Tariff Rates Y1)'!G107</f>
        <v>per lamp</v>
      </c>
      <c r="F91" s="107" t="s">
        <v>56</v>
      </c>
      <c r="G91" s="200">
        <v>2393</v>
      </c>
      <c r="H91" s="183">
        <f>VLOOKUP(J91, 'Exh CTM-7 (Unitized Costs)'!$C$27:$D$34, 2, FALSE)</f>
        <v>1456.9933333333331</v>
      </c>
      <c r="I91" s="201">
        <f>IFERROR(IF(F91="Company",H91*G91/12, 0), 0)</f>
        <v>0</v>
      </c>
      <c r="J91" s="184">
        <v>150</v>
      </c>
      <c r="K91" s="201">
        <v>39.674794170929992</v>
      </c>
      <c r="L91" s="14">
        <f>K91*G91</f>
        <v>94941.782451035469</v>
      </c>
      <c r="M91" s="118">
        <f>IF(F91="Company", 'Exh CTM-7 (Unitized Costs)'!$D$18*H91/K91, 0)</f>
        <v>0</v>
      </c>
      <c r="N91" s="118">
        <f>$N$9</f>
        <v>0.2294659292840994</v>
      </c>
      <c r="O91" s="202">
        <f>SUM(M91:N91)</f>
        <v>0.2294659292840994</v>
      </c>
      <c r="P91" s="84">
        <f>K91*M91</f>
        <v>0</v>
      </c>
      <c r="Q91" s="84">
        <f>K91*N91</f>
        <v>9.1040135135878213</v>
      </c>
      <c r="R91" s="199">
        <f>SUM(P91:Q91)</f>
        <v>9.1040135135878213</v>
      </c>
      <c r="S91" s="13">
        <v>0.24737155530318816</v>
      </c>
      <c r="T91" s="199">
        <f>S91*K91</f>
        <v>9.8144155403968156</v>
      </c>
      <c r="U91" s="82">
        <f>($U$192*(V91/$V$192))</f>
        <v>15578.868926524345</v>
      </c>
      <c r="V91" s="82">
        <f>IF(E91="per lamp", R91*G91, O91*L91)</f>
        <v>21785.904338015658</v>
      </c>
      <c r="W91" s="82">
        <f>IF(E91="per lamp", T91*G91, S91*L91)</f>
        <v>23485.896388169578</v>
      </c>
      <c r="Z91" s="184"/>
    </row>
    <row r="92" spans="1:26" x14ac:dyDescent="0.2">
      <c r="A92" s="66">
        <f>A91+1</f>
        <v>85</v>
      </c>
      <c r="B92" s="48">
        <v>53</v>
      </c>
      <c r="C92" s="107" t="s">
        <v>241</v>
      </c>
      <c r="D92" s="49">
        <v>150</v>
      </c>
      <c r="E92" s="107" t="str">
        <f>'Exh CTM-7 (Tariff Rates Y1)'!G108</f>
        <v>per lamp</v>
      </c>
      <c r="F92" s="107" t="s">
        <v>56</v>
      </c>
      <c r="G92" s="200">
        <v>1097</v>
      </c>
      <c r="H92" s="183">
        <f>VLOOKUP(J92, 'Exh CTM-7 (Unitized Costs)'!$C$27:$D$34, 2, FALSE)</f>
        <v>1456.9933333333331</v>
      </c>
      <c r="I92" s="201">
        <f>IFERROR(IF(F92="Company",H92*G92/12, 0), 0)</f>
        <v>0</v>
      </c>
      <c r="J92" s="184">
        <v>150</v>
      </c>
      <c r="K92" s="201">
        <v>39.674794170929992</v>
      </c>
      <c r="L92" s="14">
        <f>K92*G92</f>
        <v>43523.249205510205</v>
      </c>
      <c r="M92" s="118">
        <f>IF(F92="Company", 'Exh CTM-7 (Unitized Costs)'!$D$18*H92/K92, 0)</f>
        <v>0</v>
      </c>
      <c r="N92" s="118">
        <f>$N$9</f>
        <v>0.2294659292840994</v>
      </c>
      <c r="O92" s="202">
        <f>SUM(M92:N92)</f>
        <v>0.2294659292840994</v>
      </c>
      <c r="P92" s="84">
        <f>K92*M92</f>
        <v>0</v>
      </c>
      <c r="Q92" s="84">
        <f>K92*N92</f>
        <v>9.1040135135878213</v>
      </c>
      <c r="R92" s="199">
        <f>SUM(P92:Q92)</f>
        <v>9.1040135135878213</v>
      </c>
      <c r="S92" s="13">
        <v>0.24737155530318816</v>
      </c>
      <c r="T92" s="199">
        <f>S92*K92</f>
        <v>9.8144155403968156</v>
      </c>
      <c r="U92" s="82">
        <f>($U$192*(V92/$V$192))</f>
        <v>7141.6712128697045</v>
      </c>
      <c r="V92" s="82">
        <f>IF(E92="per lamp", R92*G92, O92*L92)</f>
        <v>9987.1028244058398</v>
      </c>
      <c r="W92" s="82">
        <f>IF(E92="per lamp", T92*G92, S92*L92)</f>
        <v>10766.413847815307</v>
      </c>
      <c r="Z92" s="184"/>
    </row>
    <row r="93" spans="1:26" x14ac:dyDescent="0.2">
      <c r="A93" s="66">
        <f>A92+1</f>
        <v>86</v>
      </c>
      <c r="B93" s="48">
        <v>53</v>
      </c>
      <c r="C93" s="107" t="s">
        <v>242</v>
      </c>
      <c r="D93" s="49">
        <v>200</v>
      </c>
      <c r="E93" s="107" t="str">
        <f>'Exh CTM-7 (Tariff Rates Y1)'!G109</f>
        <v>per lamp</v>
      </c>
      <c r="F93" s="107" t="s">
        <v>56</v>
      </c>
      <c r="G93" s="200">
        <v>4687</v>
      </c>
      <c r="H93" s="183">
        <f>VLOOKUP(J93, 'Exh CTM-7 (Unitized Costs)'!$C$27:$D$34, 2, FALSE)</f>
        <v>1576.8033333333335</v>
      </c>
      <c r="I93" s="201">
        <f>IFERROR(IF(F93="Company",H93*G93/12, 0), 0)</f>
        <v>0</v>
      </c>
      <c r="J93" s="184">
        <v>240</v>
      </c>
      <c r="K93" s="201">
        <v>69.495762573691295</v>
      </c>
      <c r="L93" s="14">
        <f>K93*G93</f>
        <v>325726.63918289111</v>
      </c>
      <c r="M93" s="118">
        <f>IF(F93="Company", 'Exh CTM-7 (Unitized Costs)'!$D$18*H93/K93, 0)</f>
        <v>0</v>
      </c>
      <c r="N93" s="118">
        <f>$N$9</f>
        <v>0.2294659292840994</v>
      </c>
      <c r="O93" s="202">
        <f>SUM(M93:N93)</f>
        <v>0.2294659292840994</v>
      </c>
      <c r="P93" s="84">
        <f>K93*M93</f>
        <v>0</v>
      </c>
      <c r="Q93" s="84">
        <f>K93*N93</f>
        <v>15.946909740279208</v>
      </c>
      <c r="R93" s="199">
        <f>SUM(P93:Q93)</f>
        <v>15.946909740279208</v>
      </c>
      <c r="S93" s="13">
        <v>0.24737155530318816</v>
      </c>
      <c r="T93" s="199">
        <f>S93*K93</f>
        <v>17.191274874835109</v>
      </c>
      <c r="U93" s="82">
        <f>($U$192*(V93/$V$192))</f>
        <v>53448.044545873214</v>
      </c>
      <c r="V93" s="82">
        <f>IF(E93="per lamp", R93*G93, O93*L93)</f>
        <v>74743.165952688651</v>
      </c>
      <c r="W93" s="82">
        <f>IF(E93="per lamp", T93*G93, S93*L93)</f>
        <v>80575.505338352159</v>
      </c>
      <c r="Z93" s="184"/>
    </row>
    <row r="94" spans="1:26" x14ac:dyDescent="0.2">
      <c r="A94" s="66">
        <f>A93+1</f>
        <v>87</v>
      </c>
      <c r="B94" s="48">
        <v>53</v>
      </c>
      <c r="C94" s="107" t="s">
        <v>243</v>
      </c>
      <c r="D94" s="49">
        <v>250</v>
      </c>
      <c r="E94" s="107" t="str">
        <f>'Exh CTM-7 (Tariff Rates Y1)'!G110</f>
        <v>per lamp</v>
      </c>
      <c r="F94" s="107" t="s">
        <v>56</v>
      </c>
      <c r="G94" s="200">
        <v>2872</v>
      </c>
      <c r="H94" s="183">
        <f>VLOOKUP(J94, 'Exh CTM-7 (Unitized Costs)'!$C$27:$D$34, 2, FALSE)</f>
        <v>1602.95</v>
      </c>
      <c r="I94" s="201">
        <f>IFERROR(IF(F94="Company",H94*G94/12, 0), 0)</f>
        <v>0</v>
      </c>
      <c r="J94" s="184">
        <v>340</v>
      </c>
      <c r="K94" s="201">
        <v>92.063107873663981</v>
      </c>
      <c r="L94" s="14">
        <f>K94*G94</f>
        <v>264405.24581316294</v>
      </c>
      <c r="M94" s="118">
        <f>IF(F94="Company", 'Exh CTM-7 (Unitized Costs)'!$D$18*H94/K94, 0)</f>
        <v>0</v>
      </c>
      <c r="N94" s="118">
        <f>$N$9</f>
        <v>0.2294659292840994</v>
      </c>
      <c r="O94" s="202">
        <f>SUM(M94:N94)</f>
        <v>0.2294659292840994</v>
      </c>
      <c r="P94" s="84">
        <f>K94*M94</f>
        <v>0</v>
      </c>
      <c r="Q94" s="84">
        <f>K94*N94</f>
        <v>21.125346601012595</v>
      </c>
      <c r="R94" s="199">
        <f>SUM(P94:Q94)</f>
        <v>21.125346601012595</v>
      </c>
      <c r="S94" s="13">
        <v>0.24737155530318816</v>
      </c>
      <c r="T94" s="199">
        <f>S94*K94</f>
        <v>22.773794180753448</v>
      </c>
      <c r="U94" s="82">
        <f>($U$192*(V94/$V$192))</f>
        <v>43385.899881678379</v>
      </c>
      <c r="V94" s="82">
        <f>IF(E94="per lamp", R94*G94, O94*L94)</f>
        <v>60671.99543810817</v>
      </c>
      <c r="W94" s="82">
        <f>IF(E94="per lamp", T94*G94, S94*L94)</f>
        <v>65406.3368871239</v>
      </c>
      <c r="Z94" s="184"/>
    </row>
    <row r="95" spans="1:26" x14ac:dyDescent="0.2">
      <c r="A95" s="66">
        <f>A94+1</f>
        <v>88</v>
      </c>
      <c r="B95" s="48">
        <v>53</v>
      </c>
      <c r="C95" s="107" t="s">
        <v>244</v>
      </c>
      <c r="D95" s="49">
        <v>310</v>
      </c>
      <c r="E95" s="107" t="str">
        <f>'Exh CTM-7 (Tariff Rates Y1)'!G111</f>
        <v>per lamp</v>
      </c>
      <c r="F95" s="107" t="s">
        <v>56</v>
      </c>
      <c r="G95" s="200">
        <v>48</v>
      </c>
      <c r="H95" s="183">
        <f>VLOOKUP(J95, 'Exh CTM-7 (Unitized Costs)'!$C$27:$D$34, 2, FALSE)</f>
        <v>1602.95</v>
      </c>
      <c r="I95" s="201">
        <f>IFERROR(IF(F95="Company",H95*G95/12, 0), 0)</f>
        <v>0</v>
      </c>
      <c r="J95" s="184">
        <v>340</v>
      </c>
      <c r="K95" s="201">
        <v>92.063107873663981</v>
      </c>
      <c r="L95" s="14">
        <f>K95*G95</f>
        <v>4419.0291779358713</v>
      </c>
      <c r="M95" s="118">
        <f>IF(F95="Company", 'Exh CTM-7 (Unitized Costs)'!$D$18*H95/K95, 0)</f>
        <v>0</v>
      </c>
      <c r="N95" s="118">
        <f>$N$9</f>
        <v>0.2294659292840994</v>
      </c>
      <c r="O95" s="202">
        <f>SUM(M95:N95)</f>
        <v>0.2294659292840994</v>
      </c>
      <c r="P95" s="84">
        <f>K95*M95</f>
        <v>0</v>
      </c>
      <c r="Q95" s="84">
        <f>K95*N95</f>
        <v>21.125346601012595</v>
      </c>
      <c r="R95" s="199">
        <f>SUM(P95:Q95)</f>
        <v>21.125346601012595</v>
      </c>
      <c r="S95" s="13">
        <v>0.24737155530318816</v>
      </c>
      <c r="T95" s="199">
        <f>S95*K95</f>
        <v>22.773794180753448</v>
      </c>
      <c r="U95" s="82">
        <f>($U$192*(V95/$V$192))</f>
        <v>725.1125328414214</v>
      </c>
      <c r="V95" s="82">
        <f>IF(E95="per lamp", R95*G95, O95*L95)</f>
        <v>1014.0166368486045</v>
      </c>
      <c r="W95" s="82">
        <f>IF(E95="per lamp", T95*G95, S95*L95)</f>
        <v>1093.1421206761656</v>
      </c>
      <c r="Z95" s="184"/>
    </row>
    <row r="96" spans="1:26" x14ac:dyDescent="0.2">
      <c r="A96" s="66">
        <f>A95+1</f>
        <v>89</v>
      </c>
      <c r="B96" s="48">
        <v>53</v>
      </c>
      <c r="C96" s="107" t="s">
        <v>245</v>
      </c>
      <c r="D96" s="49">
        <v>400</v>
      </c>
      <c r="E96" s="107" t="str">
        <f>'Exh CTM-7 (Tariff Rates Y1)'!G112</f>
        <v>per lamp</v>
      </c>
      <c r="F96" s="107" t="s">
        <v>56</v>
      </c>
      <c r="G96" s="200">
        <v>4707</v>
      </c>
      <c r="H96" s="183">
        <f>VLOOKUP(J96, 'Exh CTM-7 (Unitized Costs)'!$C$27:$D$34, 2, FALSE)</f>
        <v>1388.9766666666667</v>
      </c>
      <c r="I96" s="201">
        <f>IFERROR(IF(F96="Company",H96*G96/12, 0), 0)</f>
        <v>0</v>
      </c>
      <c r="J96" s="184">
        <v>600</v>
      </c>
      <c r="K96" s="201">
        <v>144.31146442180207</v>
      </c>
      <c r="L96" s="14">
        <f>K96*G96</f>
        <v>679274.06303342234</v>
      </c>
      <c r="M96" s="118">
        <f>IF(F96="Company", 'Exh CTM-7 (Unitized Costs)'!$D$18*H96/K96, 0)</f>
        <v>0</v>
      </c>
      <c r="N96" s="118">
        <f>$N$9</f>
        <v>0.2294659292840994</v>
      </c>
      <c r="O96" s="202">
        <f>SUM(M96:N96)</f>
        <v>0.2294659292840994</v>
      </c>
      <c r="P96" s="84">
        <f>K96*M96</f>
        <v>0</v>
      </c>
      <c r="Q96" s="84">
        <f>K96*N96</f>
        <v>33.114564289898063</v>
      </c>
      <c r="R96" s="199">
        <f>SUM(P96:Q96)</f>
        <v>33.114564289898063</v>
      </c>
      <c r="S96" s="13">
        <v>0.24737155530318816</v>
      </c>
      <c r="T96" s="199">
        <f>S96*K96</f>
        <v>35.698551402101884</v>
      </c>
      <c r="U96" s="82">
        <f>($U$192*(V96/$V$192))</f>
        <v>111461.16409435397</v>
      </c>
      <c r="V96" s="82">
        <f>IF(E96="per lamp", R96*G96, O96*L96)</f>
        <v>155870.25411255017</v>
      </c>
      <c r="W96" s="82">
        <f>IF(E96="per lamp", T96*G96, S96*L96)</f>
        <v>168033.08144969356</v>
      </c>
      <c r="Z96" s="184"/>
    </row>
    <row r="97" spans="1:26" x14ac:dyDescent="0.2">
      <c r="A97" s="66">
        <f>A96+1</f>
        <v>90</v>
      </c>
      <c r="B97" s="48">
        <v>53</v>
      </c>
      <c r="C97" s="107" t="s">
        <v>254</v>
      </c>
      <c r="D97" s="49">
        <v>1000</v>
      </c>
      <c r="E97" s="107" t="str">
        <f>'Exh CTM-7 (Tariff Rates Y1)'!G113</f>
        <v>per lamp</v>
      </c>
      <c r="F97" s="107" t="s">
        <v>56</v>
      </c>
      <c r="G97" s="200">
        <v>0</v>
      </c>
      <c r="H97" s="183">
        <f>VLOOKUP(J97, 'Exh CTM-7 (Unitized Costs)'!$C$27:$D$34, 2, FALSE)</f>
        <v>1783.47</v>
      </c>
      <c r="I97" s="201">
        <f>IFERROR(IF(F97="Company",H97*G97/12, 0), 0)</f>
        <v>0</v>
      </c>
      <c r="J97" s="184">
        <v>1000</v>
      </c>
      <c r="K97" s="201">
        <v>360.77866105450516</v>
      </c>
      <c r="L97" s="14">
        <f>K97*G97</f>
        <v>0</v>
      </c>
      <c r="M97" s="118">
        <f>IF(F97="Company", 'Exh CTM-7 (Unitized Costs)'!$D$18*H97/K97, 0)</f>
        <v>0</v>
      </c>
      <c r="N97" s="118">
        <f>$N$9</f>
        <v>0.2294659292840994</v>
      </c>
      <c r="O97" s="202">
        <f>SUM(M97:N97)</f>
        <v>0.2294659292840994</v>
      </c>
      <c r="P97" s="84">
        <f>K97*M97</f>
        <v>0</v>
      </c>
      <c r="Q97" s="84">
        <f>K97*N97</f>
        <v>82.786410724745153</v>
      </c>
      <c r="R97" s="199">
        <f>SUM(P97:Q97)</f>
        <v>82.786410724745153</v>
      </c>
      <c r="S97" s="13">
        <v>0.24737155530318816</v>
      </c>
      <c r="T97" s="199">
        <f>S97*K97</f>
        <v>89.246378505254697</v>
      </c>
      <c r="U97" s="82">
        <f>($U$192*(V97/$V$192))</f>
        <v>0</v>
      </c>
      <c r="V97" s="82">
        <f>IF(E97="per lamp", R97*G97, O97*L97)</f>
        <v>0</v>
      </c>
      <c r="W97" s="82">
        <f>IF(E97="per lamp", T97*G97, S97*L97)</f>
        <v>0</v>
      </c>
      <c r="Z97" s="184"/>
    </row>
    <row r="98" spans="1:26" x14ac:dyDescent="0.2">
      <c r="A98" s="66">
        <f>A97+1</f>
        <v>91</v>
      </c>
      <c r="B98" s="48">
        <v>53</v>
      </c>
      <c r="C98" s="107" t="s">
        <v>255</v>
      </c>
      <c r="D98" s="49">
        <v>70</v>
      </c>
      <c r="E98" s="107" t="str">
        <f>'Exh CTM-7 (Tariff Rates Y1)'!G115</f>
        <v>per lamp</v>
      </c>
      <c r="F98" s="107" t="s">
        <v>56</v>
      </c>
      <c r="G98" s="200">
        <v>0</v>
      </c>
      <c r="H98" s="183">
        <f>VLOOKUP(J98, 'Exh CTM-7 (Unitized Costs)'!$C$27:$D$34, 2, FALSE)</f>
        <v>1562.875</v>
      </c>
      <c r="I98" s="201">
        <f>IFERROR(IF(F98="Company",H98*G98/12, 0), 0)</f>
        <v>0</v>
      </c>
      <c r="J98" s="184">
        <v>90</v>
      </c>
      <c r="K98" s="201">
        <v>26.186795286420214</v>
      </c>
      <c r="L98" s="14">
        <f>K98*G98</f>
        <v>0</v>
      </c>
      <c r="M98" s="118">
        <f>IF(F98="Company", 'Exh CTM-7 (Unitized Costs)'!$D$18*H98/K98, 0)</f>
        <v>0</v>
      </c>
      <c r="N98" s="118">
        <f>$N$9</f>
        <v>0.2294659292840994</v>
      </c>
      <c r="O98" s="202">
        <f>SUM(M98:N98)</f>
        <v>0.2294659292840994</v>
      </c>
      <c r="P98" s="84">
        <f>K98*M98</f>
        <v>0</v>
      </c>
      <c r="Q98" s="84">
        <f>K98*N98</f>
        <v>6.0089773153708883</v>
      </c>
      <c r="R98" s="199">
        <f>SUM(P98:Q98)</f>
        <v>6.0089773153708883</v>
      </c>
      <c r="S98" s="13">
        <v>0.24737155530318816</v>
      </c>
      <c r="T98" s="199">
        <f>S98*K98</f>
        <v>6.4778682784079651</v>
      </c>
      <c r="U98" s="82">
        <f>($U$192*(V98/$V$192))</f>
        <v>0</v>
      </c>
      <c r="V98" s="82">
        <f>IF(E98="per lamp", R98*G98, O98*L98)</f>
        <v>0</v>
      </c>
      <c r="W98" s="82">
        <f>IF(E98="per lamp", T98*G98, S98*L98)</f>
        <v>0</v>
      </c>
      <c r="Z98" s="184"/>
    </row>
    <row r="99" spans="1:26" x14ac:dyDescent="0.2">
      <c r="A99" s="66">
        <f>A98+1</f>
        <v>92</v>
      </c>
      <c r="B99" s="48">
        <v>53</v>
      </c>
      <c r="C99" s="107" t="s">
        <v>247</v>
      </c>
      <c r="D99" s="49">
        <v>100</v>
      </c>
      <c r="E99" s="107" t="str">
        <f>'Exh CTM-7 (Tariff Rates Y1)'!G116</f>
        <v>per lamp</v>
      </c>
      <c r="F99" s="107" t="s">
        <v>56</v>
      </c>
      <c r="G99" s="200">
        <v>0</v>
      </c>
      <c r="H99" s="183">
        <f>VLOOKUP(J99, 'Exh CTM-7 (Unitized Costs)'!$C$27:$D$34, 2, FALSE)</f>
        <v>1456.9933333333331</v>
      </c>
      <c r="I99" s="201">
        <f>IFERROR(IF(F99="Company",H99*G99/12, 0), 0)</f>
        <v>0</v>
      </c>
      <c r="J99" s="184">
        <v>150</v>
      </c>
      <c r="K99" s="201">
        <v>39.674794170929992</v>
      </c>
      <c r="L99" s="14">
        <f>K99*G99</f>
        <v>0</v>
      </c>
      <c r="M99" s="118">
        <f>IF(F99="Company", 'Exh CTM-7 (Unitized Costs)'!$D$18*H99/K99, 0)</f>
        <v>0</v>
      </c>
      <c r="N99" s="118">
        <f>$N$9</f>
        <v>0.2294659292840994</v>
      </c>
      <c r="O99" s="202">
        <f>SUM(M99:N99)</f>
        <v>0.2294659292840994</v>
      </c>
      <c r="P99" s="84">
        <f>K99*M99</f>
        <v>0</v>
      </c>
      <c r="Q99" s="84">
        <f>K99*N99</f>
        <v>9.1040135135878213</v>
      </c>
      <c r="R99" s="199">
        <f>SUM(P99:Q99)</f>
        <v>9.1040135135878213</v>
      </c>
      <c r="S99" s="13">
        <v>0.24737155530318816</v>
      </c>
      <c r="T99" s="199">
        <f>S99*K99</f>
        <v>9.8144155403968156</v>
      </c>
      <c r="U99" s="82">
        <f>($U$192*(V99/$V$192))</f>
        <v>0</v>
      </c>
      <c r="V99" s="82">
        <f>IF(E99="per lamp", R99*G99, O99*L99)</f>
        <v>0</v>
      </c>
      <c r="W99" s="82">
        <f>IF(E99="per lamp", T99*G99, S99*L99)</f>
        <v>0</v>
      </c>
      <c r="Z99" s="184"/>
    </row>
    <row r="100" spans="1:26" x14ac:dyDescent="0.2">
      <c r="A100" s="66">
        <f>A99+1</f>
        <v>93</v>
      </c>
      <c r="B100" s="48">
        <v>53</v>
      </c>
      <c r="C100" s="107" t="s">
        <v>248</v>
      </c>
      <c r="D100" s="49">
        <v>150</v>
      </c>
      <c r="E100" s="107" t="str">
        <f>'Exh CTM-7 (Tariff Rates Y1)'!G117</f>
        <v>per lamp</v>
      </c>
      <c r="F100" s="107" t="s">
        <v>56</v>
      </c>
      <c r="G100" s="200">
        <v>0</v>
      </c>
      <c r="H100" s="183">
        <f>VLOOKUP(J100, 'Exh CTM-7 (Unitized Costs)'!$C$27:$D$34, 2, FALSE)</f>
        <v>1456.9933333333331</v>
      </c>
      <c r="I100" s="201">
        <f>IFERROR(IF(F100="Company",H100*G100/12, 0), 0)</f>
        <v>0</v>
      </c>
      <c r="J100" s="184">
        <v>150</v>
      </c>
      <c r="K100" s="201">
        <v>39.674794170929992</v>
      </c>
      <c r="L100" s="14">
        <f>K100*G100</f>
        <v>0</v>
      </c>
      <c r="M100" s="118">
        <f>IF(F100="Company", 'Exh CTM-7 (Unitized Costs)'!$D$18*H100/K100, 0)</f>
        <v>0</v>
      </c>
      <c r="N100" s="118">
        <f>$N$9</f>
        <v>0.2294659292840994</v>
      </c>
      <c r="O100" s="202">
        <f>SUM(M100:N100)</f>
        <v>0.2294659292840994</v>
      </c>
      <c r="P100" s="84">
        <f>K100*M100</f>
        <v>0</v>
      </c>
      <c r="Q100" s="84">
        <f>K100*N100</f>
        <v>9.1040135135878213</v>
      </c>
      <c r="R100" s="199">
        <f>SUM(P100:Q100)</f>
        <v>9.1040135135878213</v>
      </c>
      <c r="S100" s="13">
        <v>0.24737155530318816</v>
      </c>
      <c r="T100" s="199">
        <f>S100*K100</f>
        <v>9.8144155403968156</v>
      </c>
      <c r="U100" s="82">
        <f>($U$192*(V100/$V$192))</f>
        <v>0</v>
      </c>
      <c r="V100" s="82">
        <f>IF(E100="per lamp", R100*G100, O100*L100)</f>
        <v>0</v>
      </c>
      <c r="W100" s="82">
        <f>IF(E100="per lamp", T100*G100, S100*L100)</f>
        <v>0</v>
      </c>
      <c r="Z100" s="184"/>
    </row>
    <row r="101" spans="1:26" x14ac:dyDescent="0.2">
      <c r="A101" s="66">
        <f>A100+1</f>
        <v>94</v>
      </c>
      <c r="B101" s="48">
        <v>53</v>
      </c>
      <c r="C101" s="107" t="s">
        <v>249</v>
      </c>
      <c r="D101" s="49">
        <v>175</v>
      </c>
      <c r="E101" s="107" t="str">
        <f>'Exh CTM-7 (Tariff Rates Y1)'!G118</f>
        <v>per lamp</v>
      </c>
      <c r="F101" s="107" t="s">
        <v>56</v>
      </c>
      <c r="G101" s="200">
        <v>48</v>
      </c>
      <c r="H101" s="183">
        <f>VLOOKUP(J101, 'Exh CTM-7 (Unitized Costs)'!$C$27:$D$34, 2, FALSE)</f>
        <v>1576.8033333333335</v>
      </c>
      <c r="I101" s="201">
        <f>IFERROR(IF(F101="Company",H101*G101/12, 0), 0)</f>
        <v>0</v>
      </c>
      <c r="J101" s="184">
        <v>240</v>
      </c>
      <c r="K101" s="201">
        <v>69.495762573691295</v>
      </c>
      <c r="L101" s="14">
        <f>K101*G101</f>
        <v>3335.7966035371819</v>
      </c>
      <c r="M101" s="118">
        <f>IF(F101="Company", 'Exh CTM-7 (Unitized Costs)'!$D$18*H101/K101, 0)</f>
        <v>0</v>
      </c>
      <c r="N101" s="118">
        <f>$N$9</f>
        <v>0.2294659292840994</v>
      </c>
      <c r="O101" s="202">
        <f>SUM(M101:N101)</f>
        <v>0.2294659292840994</v>
      </c>
      <c r="P101" s="84">
        <f>K101*M101</f>
        <v>0</v>
      </c>
      <c r="Q101" s="84">
        <f>K101*N101</f>
        <v>15.946909740279208</v>
      </c>
      <c r="R101" s="199">
        <f>SUM(P101:Q101)</f>
        <v>15.946909740279208</v>
      </c>
      <c r="S101" s="13">
        <v>0.24737155530318816</v>
      </c>
      <c r="T101" s="199">
        <f>S101*K101</f>
        <v>17.191274874835109</v>
      </c>
      <c r="U101" s="82">
        <f>($U$192*(V101/$V$192))</f>
        <v>547.36636189501053</v>
      </c>
      <c r="V101" s="82">
        <f>IF(E101="per lamp", R101*G101, O101*L101)</f>
        <v>765.45166753340197</v>
      </c>
      <c r="W101" s="82">
        <f>IF(E101="per lamp", T101*G101, S101*L101)</f>
        <v>825.18119399208524</v>
      </c>
      <c r="Z101" s="184"/>
    </row>
    <row r="102" spans="1:26" x14ac:dyDescent="0.2">
      <c r="A102" s="66">
        <f>A101+1</f>
        <v>95</v>
      </c>
      <c r="B102" s="48">
        <v>53</v>
      </c>
      <c r="C102" s="107" t="s">
        <v>250</v>
      </c>
      <c r="D102" s="49">
        <v>250</v>
      </c>
      <c r="E102" s="107" t="str">
        <f>'Exh CTM-7 (Tariff Rates Y1)'!G119</f>
        <v>per lamp</v>
      </c>
      <c r="F102" s="107" t="s">
        <v>56</v>
      </c>
      <c r="G102" s="200">
        <v>0</v>
      </c>
      <c r="H102" s="183">
        <f>VLOOKUP(J102, 'Exh CTM-7 (Unitized Costs)'!$C$27:$D$34, 2, FALSE)</f>
        <v>1602.95</v>
      </c>
      <c r="I102" s="201">
        <f>IFERROR(IF(F102="Company",H102*G102/12, 0), 0)</f>
        <v>0</v>
      </c>
      <c r="J102" s="184">
        <v>340</v>
      </c>
      <c r="K102" s="201">
        <v>92.063107873663981</v>
      </c>
      <c r="L102" s="14">
        <f>K102*G102</f>
        <v>0</v>
      </c>
      <c r="M102" s="118">
        <f>IF(F102="Company", 'Exh CTM-7 (Unitized Costs)'!$D$18*H102/K102, 0)</f>
        <v>0</v>
      </c>
      <c r="N102" s="118">
        <f>$N$9</f>
        <v>0.2294659292840994</v>
      </c>
      <c r="O102" s="202">
        <f>SUM(M102:N102)</f>
        <v>0.2294659292840994</v>
      </c>
      <c r="P102" s="84">
        <f>K102*M102</f>
        <v>0</v>
      </c>
      <c r="Q102" s="84">
        <f>K102*N102</f>
        <v>21.125346601012595</v>
      </c>
      <c r="R102" s="199">
        <f>SUM(P102:Q102)</f>
        <v>21.125346601012595</v>
      </c>
      <c r="S102" s="13">
        <v>0.24737155530318816</v>
      </c>
      <c r="T102" s="199">
        <f>S102*K102</f>
        <v>22.773794180753448</v>
      </c>
      <c r="U102" s="82">
        <f>($U$192*(V102/$V$192))</f>
        <v>0</v>
      </c>
      <c r="V102" s="82">
        <f>IF(E102="per lamp", R102*G102, O102*L102)</f>
        <v>0</v>
      </c>
      <c r="W102" s="82">
        <f>IF(E102="per lamp", T102*G102, S102*L102)</f>
        <v>0</v>
      </c>
      <c r="Z102" s="184"/>
    </row>
    <row r="103" spans="1:26" x14ac:dyDescent="0.2">
      <c r="A103" s="66">
        <f>A102+1</f>
        <v>96</v>
      </c>
      <c r="B103" s="48">
        <v>53</v>
      </c>
      <c r="C103" s="107" t="s">
        <v>251</v>
      </c>
      <c r="D103" s="49">
        <v>400</v>
      </c>
      <c r="E103" s="107" t="str">
        <f>'Exh CTM-7 (Tariff Rates Y1)'!G120</f>
        <v>per lamp</v>
      </c>
      <c r="F103" s="107" t="s">
        <v>56</v>
      </c>
      <c r="G103" s="200">
        <v>0</v>
      </c>
      <c r="H103" s="183">
        <f>VLOOKUP(J103, 'Exh CTM-7 (Unitized Costs)'!$C$27:$D$34, 2, FALSE)</f>
        <v>1388.9766666666667</v>
      </c>
      <c r="I103" s="201">
        <f>IFERROR(IF(F103="Company",H103*G103/12, 0), 0)</f>
        <v>0</v>
      </c>
      <c r="J103" s="184">
        <v>600</v>
      </c>
      <c r="K103" s="201">
        <v>144.31146442180207</v>
      </c>
      <c r="L103" s="14">
        <f>K103*G103</f>
        <v>0</v>
      </c>
      <c r="M103" s="118">
        <f>IF(F103="Company", 'Exh CTM-7 (Unitized Costs)'!$D$18*H103/K103, 0)</f>
        <v>0</v>
      </c>
      <c r="N103" s="118">
        <f>$N$9</f>
        <v>0.2294659292840994</v>
      </c>
      <c r="O103" s="202">
        <f>SUM(M103:N103)</f>
        <v>0.2294659292840994</v>
      </c>
      <c r="P103" s="84">
        <f>K103*M103</f>
        <v>0</v>
      </c>
      <c r="Q103" s="84">
        <f>K103*N103</f>
        <v>33.114564289898063</v>
      </c>
      <c r="R103" s="199">
        <f>SUM(P103:Q103)</f>
        <v>33.114564289898063</v>
      </c>
      <c r="S103" s="13">
        <v>0.24737155530318816</v>
      </c>
      <c r="T103" s="199">
        <f>S103*K103</f>
        <v>35.698551402101884</v>
      </c>
      <c r="U103" s="82">
        <f>($U$192*(V103/$V$192))</f>
        <v>0</v>
      </c>
      <c r="V103" s="82">
        <f>IF(E103="per lamp", R103*G103, O103*L103)</f>
        <v>0</v>
      </c>
      <c r="W103" s="82">
        <f>IF(E103="per lamp", T103*G103, S103*L103)</f>
        <v>0</v>
      </c>
      <c r="Z103" s="184"/>
    </row>
    <row r="104" spans="1:26" x14ac:dyDescent="0.2">
      <c r="A104" s="66">
        <f>A103+1</f>
        <v>97</v>
      </c>
      <c r="B104" s="48">
        <v>53</v>
      </c>
      <c r="C104" s="107" t="s">
        <v>228</v>
      </c>
      <c r="D104" s="49">
        <v>15</v>
      </c>
      <c r="E104" s="107" t="str">
        <f>'Exh CTM-7 (Tariff Rates Y1)'!G122</f>
        <v>per lamp</v>
      </c>
      <c r="F104" s="107" t="s">
        <v>56</v>
      </c>
      <c r="G104" s="200">
        <v>0</v>
      </c>
      <c r="H104" s="183">
        <f>VLOOKUP(J104, 'Exh CTM-7 (Unitized Costs)'!$C$27:$D$34, 2, FALSE)</f>
        <v>1426.7</v>
      </c>
      <c r="I104" s="201">
        <f>IFERROR(IF(F104="Company",H104*G104/12, 0), 0)</f>
        <v>0</v>
      </c>
      <c r="J104" s="184">
        <v>30</v>
      </c>
      <c r="K104" s="201">
        <v>7.4297601011292338</v>
      </c>
      <c r="L104" s="14">
        <f>K104*G104</f>
        <v>0</v>
      </c>
      <c r="M104" s="118">
        <f>IF(F104="Company", 'Exh CTM-7 (Unitized Costs)'!$D$18*H104/K104, 0)</f>
        <v>0</v>
      </c>
      <c r="N104" s="118">
        <f>$N$9</f>
        <v>0.2294659292840994</v>
      </c>
      <c r="O104" s="202">
        <f>SUM(M104:N104)</f>
        <v>0.2294659292840994</v>
      </c>
      <c r="P104" s="84">
        <f>K104*M104</f>
        <v>0</v>
      </c>
      <c r="Q104" s="84">
        <f>K104*N104</f>
        <v>1.704876805963544</v>
      </c>
      <c r="R104" s="199">
        <f>SUM(P104:Q104)</f>
        <v>1.704876805963544</v>
      </c>
      <c r="S104" s="13">
        <v>0.24737155530318816</v>
      </c>
      <c r="T104" s="199">
        <f>S104*K104</f>
        <v>1.8379113117459112</v>
      </c>
      <c r="U104" s="82">
        <f>($U$192*(V104/$V$192))</f>
        <v>0</v>
      </c>
      <c r="V104" s="82">
        <f>IF(E104="per lamp", R104*G104, O104*L104)</f>
        <v>0</v>
      </c>
      <c r="W104" s="82">
        <f>IF(E104="per lamp", T104*G104, S104*L104)</f>
        <v>0</v>
      </c>
      <c r="Z104" s="184"/>
    </row>
    <row r="105" spans="1:26" x14ac:dyDescent="0.2">
      <c r="A105" s="66">
        <f>A104+1</f>
        <v>98</v>
      </c>
      <c r="B105" s="48">
        <v>53</v>
      </c>
      <c r="C105" s="107" t="s">
        <v>229</v>
      </c>
      <c r="D105" s="49">
        <v>45</v>
      </c>
      <c r="E105" s="107" t="str">
        <f>'Exh CTM-7 (Tariff Rates Y1)'!G123</f>
        <v>per lamp</v>
      </c>
      <c r="F105" s="107" t="s">
        <v>56</v>
      </c>
      <c r="G105" s="200">
        <v>8781</v>
      </c>
      <c r="H105" s="183">
        <f>VLOOKUP(J105, 'Exh CTM-7 (Unitized Costs)'!$C$27:$D$34, 2, FALSE)</f>
        <v>1401.77</v>
      </c>
      <c r="I105" s="201">
        <f>IFERROR(IF(F105="Company",H105*G105/12, 0), 0)</f>
        <v>0</v>
      </c>
      <c r="J105" s="184">
        <v>60</v>
      </c>
      <c r="K105" s="201">
        <v>16.236746289282937</v>
      </c>
      <c r="L105" s="14">
        <f>K105*G105</f>
        <v>142574.86916619347</v>
      </c>
      <c r="M105" s="118">
        <f>IF(F105="Company", 'Exh CTM-7 (Unitized Costs)'!$D$18*H105/K105, 0)</f>
        <v>0</v>
      </c>
      <c r="N105" s="118">
        <f>$N$9</f>
        <v>0.2294659292840994</v>
      </c>
      <c r="O105" s="202">
        <f>SUM(M105:N105)</f>
        <v>0.2294659292840994</v>
      </c>
      <c r="P105" s="84">
        <f>K105*M105</f>
        <v>0</v>
      </c>
      <c r="Q105" s="84">
        <f>K105*N105</f>
        <v>3.7257800758204618</v>
      </c>
      <c r="R105" s="199">
        <f>SUM(P105:Q105)</f>
        <v>3.7257800758204618</v>
      </c>
      <c r="S105" s="13">
        <v>0.24737155530318816</v>
      </c>
      <c r="T105" s="199">
        <f>S105*K105</f>
        <v>4.0165091826431896</v>
      </c>
      <c r="U105" s="82">
        <f>($U$192*(V105/$V$192))</f>
        <v>23394.917828744223</v>
      </c>
      <c r="V105" s="82">
        <f>IF(E105="per lamp", R105*G105, O105*L105)</f>
        <v>32716.074845779476</v>
      </c>
      <c r="W105" s="82">
        <f>IF(E105="per lamp", T105*G105, S105*L105)</f>
        <v>35268.967132789847</v>
      </c>
      <c r="Z105" s="184"/>
    </row>
    <row r="106" spans="1:26" x14ac:dyDescent="0.2">
      <c r="A106" s="66">
        <f>A105+1</f>
        <v>99</v>
      </c>
      <c r="B106" s="48">
        <v>53</v>
      </c>
      <c r="C106" s="107" t="s">
        <v>230</v>
      </c>
      <c r="D106" s="49">
        <v>75</v>
      </c>
      <c r="E106" s="107" t="str">
        <f>'Exh CTM-7 (Tariff Rates Y1)'!G124</f>
        <v>per lamp</v>
      </c>
      <c r="F106" s="107" t="s">
        <v>56</v>
      </c>
      <c r="G106" s="200">
        <v>8154</v>
      </c>
      <c r="H106" s="183">
        <f>VLOOKUP(J106, 'Exh CTM-7 (Unitized Costs)'!$C$27:$D$34, 2, FALSE)</f>
        <v>1562.875</v>
      </c>
      <c r="I106" s="201">
        <f>IFERROR(IF(F106="Company",H106*G106/12, 0), 0)</f>
        <v>0</v>
      </c>
      <c r="J106" s="184">
        <v>90</v>
      </c>
      <c r="K106" s="201">
        <v>26.186795286420214</v>
      </c>
      <c r="L106" s="14">
        <f>K106*G106</f>
        <v>213527.12876547044</v>
      </c>
      <c r="M106" s="118">
        <f>IF(F106="Company", 'Exh CTM-7 (Unitized Costs)'!$D$18*H106/K106, 0)</f>
        <v>0</v>
      </c>
      <c r="N106" s="118">
        <f>$N$9</f>
        <v>0.2294659292840994</v>
      </c>
      <c r="O106" s="202">
        <f>SUM(M106:N106)</f>
        <v>0.2294659292840994</v>
      </c>
      <c r="P106" s="84">
        <f>K106*M106</f>
        <v>0</v>
      </c>
      <c r="Q106" s="84">
        <f>K106*N106</f>
        <v>6.0089773153708883</v>
      </c>
      <c r="R106" s="199">
        <f>SUM(P106:Q106)</f>
        <v>6.0089773153708883</v>
      </c>
      <c r="S106" s="13">
        <v>0.24737155530318816</v>
      </c>
      <c r="T106" s="199">
        <f>S106*K106</f>
        <v>6.4778682784079651</v>
      </c>
      <c r="U106" s="82">
        <f>($U$192*(V106/$V$192))</f>
        <v>35037.37833245271</v>
      </c>
      <c r="V106" s="82">
        <f>IF(E106="per lamp", R106*G106, O106*L106)</f>
        <v>48997.201029534226</v>
      </c>
      <c r="W106" s="82">
        <f>IF(E106="per lamp", T106*G106, S106*L106)</f>
        <v>52820.537942138544</v>
      </c>
      <c r="Z106" s="184"/>
    </row>
    <row r="107" spans="1:26" x14ac:dyDescent="0.2">
      <c r="A107" s="66">
        <f>A106+1</f>
        <v>100</v>
      </c>
      <c r="B107" s="48">
        <v>53</v>
      </c>
      <c r="C107" s="107" t="s">
        <v>231</v>
      </c>
      <c r="D107" s="49">
        <v>105</v>
      </c>
      <c r="E107" s="107" t="str">
        <f>'Exh CTM-7 (Tariff Rates Y1)'!G125</f>
        <v>per lamp</v>
      </c>
      <c r="F107" s="107" t="s">
        <v>56</v>
      </c>
      <c r="G107" s="200">
        <v>11025</v>
      </c>
      <c r="H107" s="183">
        <f>VLOOKUP(J107, 'Exh CTM-7 (Unitized Costs)'!$C$27:$D$34, 2, FALSE)</f>
        <v>1456.9933333333331</v>
      </c>
      <c r="I107" s="201">
        <f>IFERROR(IF(F107="Company",H107*G107/12, 0), 0)</f>
        <v>0</v>
      </c>
      <c r="J107" s="184">
        <v>150</v>
      </c>
      <c r="K107" s="201">
        <v>39.674794170929992</v>
      </c>
      <c r="L107" s="14">
        <f>K107*G107</f>
        <v>437414.60573450319</v>
      </c>
      <c r="M107" s="118">
        <f>IF(F107="Company", 'Exh CTM-7 (Unitized Costs)'!$D$18*H107/K107, 0)</f>
        <v>0</v>
      </c>
      <c r="N107" s="118">
        <f>$N$9</f>
        <v>0.2294659292840994</v>
      </c>
      <c r="O107" s="202">
        <f>SUM(M107:N107)</f>
        <v>0.2294659292840994</v>
      </c>
      <c r="P107" s="84">
        <f>K107*M107</f>
        <v>0</v>
      </c>
      <c r="Q107" s="84">
        <f>K107*N107</f>
        <v>9.1040135135878213</v>
      </c>
      <c r="R107" s="199">
        <f>SUM(P107:Q107)</f>
        <v>9.1040135135878213</v>
      </c>
      <c r="S107" s="13">
        <v>0.24737155530318816</v>
      </c>
      <c r="T107" s="199">
        <f>S107*K107</f>
        <v>9.8144155403968156</v>
      </c>
      <c r="U107" s="82">
        <f>($U$192*(V107/$V$192))</f>
        <v>71774.772216853686</v>
      </c>
      <c r="V107" s="82">
        <f>IF(E107="per lamp", R107*G107, O107*L107)</f>
        <v>100371.74898730573</v>
      </c>
      <c r="W107" s="82">
        <f>IF(E107="per lamp", T107*G107, S107*L107)</f>
        <v>108203.9313328749</v>
      </c>
      <c r="Z107" s="184"/>
    </row>
    <row r="108" spans="1:26" x14ac:dyDescent="0.2">
      <c r="A108" s="66">
        <f>A107+1</f>
        <v>101</v>
      </c>
      <c r="B108" s="48">
        <v>53</v>
      </c>
      <c r="C108" s="107" t="s">
        <v>232</v>
      </c>
      <c r="D108" s="49">
        <v>135</v>
      </c>
      <c r="E108" s="107" t="str">
        <f>'Exh CTM-7 (Tariff Rates Y1)'!G126</f>
        <v>per lamp</v>
      </c>
      <c r="F108" s="107" t="s">
        <v>56</v>
      </c>
      <c r="G108" s="200">
        <v>1168</v>
      </c>
      <c r="H108" s="183">
        <f>VLOOKUP(J108, 'Exh CTM-7 (Unitized Costs)'!$C$27:$D$34, 2, FALSE)</f>
        <v>1456.9933333333331</v>
      </c>
      <c r="I108" s="201">
        <f>IFERROR(IF(F108="Company",H108*G108/12, 0), 0)</f>
        <v>0</v>
      </c>
      <c r="J108" s="184">
        <v>150</v>
      </c>
      <c r="K108" s="201">
        <v>39.674794170929992</v>
      </c>
      <c r="L108" s="14">
        <f>K108*G108</f>
        <v>46340.159591646232</v>
      </c>
      <c r="M108" s="118">
        <f>IF(F108="Company", 'Exh CTM-7 (Unitized Costs)'!$D$18*H108/K108, 0)</f>
        <v>0</v>
      </c>
      <c r="N108" s="118">
        <f>$N$9</f>
        <v>0.2294659292840994</v>
      </c>
      <c r="O108" s="202">
        <f>SUM(M108:N108)</f>
        <v>0.2294659292840994</v>
      </c>
      <c r="P108" s="84">
        <f>K108*M108</f>
        <v>0</v>
      </c>
      <c r="Q108" s="84">
        <f>K108*N108</f>
        <v>9.1040135135878213</v>
      </c>
      <c r="R108" s="199">
        <f>SUM(P108:Q108)</f>
        <v>9.1040135135878213</v>
      </c>
      <c r="S108" s="13">
        <v>0.24737155530318816</v>
      </c>
      <c r="T108" s="199">
        <f>S108*K108</f>
        <v>9.8144155403968156</v>
      </c>
      <c r="U108" s="82">
        <f>($U$192*(V108/$V$192))</f>
        <v>7603.8942357628221</v>
      </c>
      <c r="V108" s="82">
        <f>IF(E108="per lamp", R108*G108, O108*L108)</f>
        <v>10633.487783870576</v>
      </c>
      <c r="W108" s="82">
        <f>IF(E108="per lamp", T108*G108, S108*L108)</f>
        <v>11463.237351183481</v>
      </c>
      <c r="Z108" s="184"/>
    </row>
    <row r="109" spans="1:26" x14ac:dyDescent="0.2">
      <c r="A109" s="66">
        <f>A108+1</f>
        <v>102</v>
      </c>
      <c r="B109" s="48">
        <v>53</v>
      </c>
      <c r="C109" s="107" t="s">
        <v>233</v>
      </c>
      <c r="D109" s="49">
        <v>165</v>
      </c>
      <c r="E109" s="107" t="str">
        <f>'Exh CTM-7 (Tariff Rates Y1)'!G127</f>
        <v>per lamp</v>
      </c>
      <c r="F109" s="107" t="s">
        <v>56</v>
      </c>
      <c r="G109" s="200">
        <v>17109</v>
      </c>
      <c r="H109" s="183">
        <f>VLOOKUP(J109, 'Exh CTM-7 (Unitized Costs)'!$C$27:$D$34, 2, FALSE)</f>
        <v>1576.8033333333335</v>
      </c>
      <c r="I109" s="201">
        <f>IFERROR(IF(F109="Company",H109*G109/12, 0), 0)</f>
        <v>0</v>
      </c>
      <c r="J109" s="184">
        <v>240</v>
      </c>
      <c r="K109" s="201">
        <v>69.495762573691295</v>
      </c>
      <c r="L109" s="14">
        <f>K109*G109</f>
        <v>1189003.0018732843</v>
      </c>
      <c r="M109" s="118">
        <f>IF(F109="Company", 'Exh CTM-7 (Unitized Costs)'!$D$18*H109/K109, 0)</f>
        <v>0</v>
      </c>
      <c r="N109" s="118">
        <f>$N$9</f>
        <v>0.2294659292840994</v>
      </c>
      <c r="O109" s="202">
        <f>SUM(M109:N109)</f>
        <v>0.2294659292840994</v>
      </c>
      <c r="P109" s="84">
        <f>K109*M109</f>
        <v>0</v>
      </c>
      <c r="Q109" s="84">
        <f>K109*N109</f>
        <v>15.946909740279208</v>
      </c>
      <c r="R109" s="199">
        <f>SUM(P109:Q109)</f>
        <v>15.946909740279208</v>
      </c>
      <c r="S109" s="13">
        <v>0.24737155530318816</v>
      </c>
      <c r="T109" s="199">
        <f>S109*K109</f>
        <v>17.191274874835109</v>
      </c>
      <c r="U109" s="82">
        <f>($U$192*(V109/$V$192))</f>
        <v>195101.89761795281</v>
      </c>
      <c r="V109" s="82">
        <f>IF(E109="per lamp", R109*G109, O109*L109)</f>
        <v>272835.67874643696</v>
      </c>
      <c r="W109" s="82">
        <f>IF(E109="per lamp", T109*G109, S109*L109)</f>
        <v>294125.52183355391</v>
      </c>
      <c r="Z109" s="184"/>
    </row>
    <row r="110" spans="1:26" x14ac:dyDescent="0.2">
      <c r="A110" s="66">
        <f>A109+1</f>
        <v>103</v>
      </c>
      <c r="B110" s="48">
        <v>53</v>
      </c>
      <c r="C110" s="107" t="s">
        <v>234</v>
      </c>
      <c r="D110" s="49">
        <v>195</v>
      </c>
      <c r="E110" s="107" t="str">
        <f>'Exh CTM-7 (Tariff Rates Y1)'!G128</f>
        <v>per lamp</v>
      </c>
      <c r="F110" s="107" t="s">
        <v>56</v>
      </c>
      <c r="G110" s="200">
        <v>1236</v>
      </c>
      <c r="H110" s="183">
        <f>VLOOKUP(J110, 'Exh CTM-7 (Unitized Costs)'!$C$27:$D$34, 2, FALSE)</f>
        <v>1576.8033333333335</v>
      </c>
      <c r="I110" s="201">
        <f>IFERROR(IF(F110="Company",H110*G110/12, 0), 0)</f>
        <v>0</v>
      </c>
      <c r="J110" s="184">
        <v>240</v>
      </c>
      <c r="K110" s="201">
        <v>69.495762573691295</v>
      </c>
      <c r="L110" s="14">
        <f>K110*G110</f>
        <v>85896.76254108244</v>
      </c>
      <c r="M110" s="118">
        <f>IF(F110="Company", 'Exh CTM-7 (Unitized Costs)'!$D$18*H110/K110, 0)</f>
        <v>0</v>
      </c>
      <c r="N110" s="118">
        <f>$N$9</f>
        <v>0.2294659292840994</v>
      </c>
      <c r="O110" s="202">
        <f>SUM(M110:N110)</f>
        <v>0.2294659292840994</v>
      </c>
      <c r="P110" s="84">
        <f>K110*M110</f>
        <v>0</v>
      </c>
      <c r="Q110" s="84">
        <f>K110*N110</f>
        <v>15.946909740279208</v>
      </c>
      <c r="R110" s="199">
        <f>SUM(P110:Q110)</f>
        <v>15.946909740279208</v>
      </c>
      <c r="S110" s="13">
        <v>0.24737155530318816</v>
      </c>
      <c r="T110" s="199">
        <f>S110*K110</f>
        <v>17.191274874835109</v>
      </c>
      <c r="U110" s="82">
        <f>($U$192*(V110/$V$192))</f>
        <v>14094.683818796522</v>
      </c>
      <c r="V110" s="82">
        <f>IF(E110="per lamp", R110*G110, O110*L110)</f>
        <v>19710.380438985103</v>
      </c>
      <c r="W110" s="82">
        <f>IF(E110="per lamp", T110*G110, S110*L110)</f>
        <v>21248.415745296195</v>
      </c>
      <c r="Z110" s="184"/>
    </row>
    <row r="111" spans="1:26" x14ac:dyDescent="0.2">
      <c r="A111" s="66">
        <f>A110+1</f>
        <v>104</v>
      </c>
      <c r="B111" s="48">
        <v>53</v>
      </c>
      <c r="C111" s="107" t="s">
        <v>235</v>
      </c>
      <c r="D111" s="49">
        <v>225</v>
      </c>
      <c r="E111" s="107" t="str">
        <f>'Exh CTM-7 (Tariff Rates Y1)'!G129</f>
        <v>per lamp</v>
      </c>
      <c r="F111" s="107" t="s">
        <v>56</v>
      </c>
      <c r="G111" s="200">
        <v>0</v>
      </c>
      <c r="H111" s="183">
        <f>VLOOKUP(J111, 'Exh CTM-7 (Unitized Costs)'!$C$27:$D$34, 2, FALSE)</f>
        <v>1576.8033333333335</v>
      </c>
      <c r="I111" s="201">
        <f>IFERROR(IF(F111="Company",H111*G111/12, 0), 0)</f>
        <v>0</v>
      </c>
      <c r="J111" s="184">
        <v>240</v>
      </c>
      <c r="K111" s="201">
        <v>69.495762573691295</v>
      </c>
      <c r="L111" s="14">
        <f>K111*G111</f>
        <v>0</v>
      </c>
      <c r="M111" s="118">
        <f>IF(F111="Company", 'Exh CTM-7 (Unitized Costs)'!$D$18*H111/K111, 0)</f>
        <v>0</v>
      </c>
      <c r="N111" s="118">
        <f>$N$9</f>
        <v>0.2294659292840994</v>
      </c>
      <c r="O111" s="202">
        <f>SUM(M111:N111)</f>
        <v>0.2294659292840994</v>
      </c>
      <c r="P111" s="84">
        <f>K111*M111</f>
        <v>0</v>
      </c>
      <c r="Q111" s="84">
        <f>K111*N111</f>
        <v>15.946909740279208</v>
      </c>
      <c r="R111" s="199">
        <f>SUM(P111:Q111)</f>
        <v>15.946909740279208</v>
      </c>
      <c r="S111" s="13">
        <v>0.24737155530318816</v>
      </c>
      <c r="T111" s="199">
        <f>S111*K111</f>
        <v>17.191274874835109</v>
      </c>
      <c r="U111" s="82">
        <f>($U$192*(V111/$V$192))</f>
        <v>0</v>
      </c>
      <c r="V111" s="82">
        <f>IF(E111="per lamp", R111*G111, O111*L111)</f>
        <v>0</v>
      </c>
      <c r="W111" s="82">
        <f>IF(E111="per lamp", T111*G111, S111*L111)</f>
        <v>0</v>
      </c>
      <c r="Z111" s="184"/>
    </row>
    <row r="112" spans="1:26" x14ac:dyDescent="0.2">
      <c r="A112" s="66">
        <f>A111+1</f>
        <v>105</v>
      </c>
      <c r="B112" s="48">
        <v>53</v>
      </c>
      <c r="C112" s="107" t="s">
        <v>236</v>
      </c>
      <c r="D112" s="49">
        <v>255</v>
      </c>
      <c r="E112" s="107" t="str">
        <f>'Exh CTM-7 (Tariff Rates Y1)'!G130</f>
        <v>per lamp</v>
      </c>
      <c r="F112" s="107" t="s">
        <v>56</v>
      </c>
      <c r="G112" s="200">
        <v>24</v>
      </c>
      <c r="H112" s="183">
        <f>VLOOKUP(J112, 'Exh CTM-7 (Unitized Costs)'!$C$27:$D$34, 2, FALSE)</f>
        <v>1602.95</v>
      </c>
      <c r="I112" s="201">
        <f>IFERROR(IF(F112="Company",H112*G112/12, 0), 0)</f>
        <v>0</v>
      </c>
      <c r="J112" s="184">
        <v>340</v>
      </c>
      <c r="K112" s="201">
        <v>92.063107873663981</v>
      </c>
      <c r="L112" s="14">
        <f>K112*G112</f>
        <v>2209.5145889679357</v>
      </c>
      <c r="M112" s="118">
        <f>IF(F112="Company", 'Exh CTM-7 (Unitized Costs)'!$D$18*H112/K112, 0)</f>
        <v>0</v>
      </c>
      <c r="N112" s="118">
        <f>$N$9</f>
        <v>0.2294659292840994</v>
      </c>
      <c r="O112" s="202">
        <f>SUM(M112:N112)</f>
        <v>0.2294659292840994</v>
      </c>
      <c r="P112" s="84">
        <f>K112*M112</f>
        <v>0</v>
      </c>
      <c r="Q112" s="84">
        <f>K112*N112</f>
        <v>21.125346601012595</v>
      </c>
      <c r="R112" s="199">
        <f>SUM(P112:Q112)</f>
        <v>21.125346601012595</v>
      </c>
      <c r="S112" s="13">
        <v>0.24737155530318816</v>
      </c>
      <c r="T112" s="199">
        <f>S112*K112</f>
        <v>22.773794180753448</v>
      </c>
      <c r="U112" s="82">
        <f>($U$192*(V112/$V$192))</f>
        <v>362.5562664207107</v>
      </c>
      <c r="V112" s="82">
        <f>IF(E112="per lamp", R112*G112, O112*L112)</f>
        <v>507.00831842430227</v>
      </c>
      <c r="W112" s="82">
        <f>IF(E112="per lamp", T112*G112, S112*L112)</f>
        <v>546.57106033808282</v>
      </c>
      <c r="Z112" s="184"/>
    </row>
    <row r="113" spans="1:26" x14ac:dyDescent="0.2">
      <c r="A113" s="66">
        <f>A112+1</f>
        <v>106</v>
      </c>
      <c r="B113" s="48">
        <v>53</v>
      </c>
      <c r="C113" s="107" t="s">
        <v>237</v>
      </c>
      <c r="D113" s="49">
        <v>285</v>
      </c>
      <c r="E113" s="107" t="str">
        <f>'Exh CTM-7 (Tariff Rates Y1)'!G131</f>
        <v>per lamp</v>
      </c>
      <c r="F113" s="107" t="s">
        <v>56</v>
      </c>
      <c r="G113" s="200">
        <v>0</v>
      </c>
      <c r="H113" s="183">
        <f>VLOOKUP(J113, 'Exh CTM-7 (Unitized Costs)'!$C$27:$D$34, 2, FALSE)</f>
        <v>1602.95</v>
      </c>
      <c r="I113" s="201">
        <f>IFERROR(IF(F113="Company",H113*G113/12, 0), 0)</f>
        <v>0</v>
      </c>
      <c r="J113" s="184">
        <v>340</v>
      </c>
      <c r="K113" s="201">
        <v>92.063107873663981</v>
      </c>
      <c r="L113" s="14">
        <f>K113*G113</f>
        <v>0</v>
      </c>
      <c r="M113" s="118">
        <f>IF(F113="Company", 'Exh CTM-7 (Unitized Costs)'!$D$18*H113/K113, 0)</f>
        <v>0</v>
      </c>
      <c r="N113" s="118">
        <f>$N$9</f>
        <v>0.2294659292840994</v>
      </c>
      <c r="O113" s="202">
        <f>SUM(M113:N113)</f>
        <v>0.2294659292840994</v>
      </c>
      <c r="P113" s="84">
        <f>K113*M113</f>
        <v>0</v>
      </c>
      <c r="Q113" s="84">
        <f>K113*N113</f>
        <v>21.125346601012595</v>
      </c>
      <c r="R113" s="199">
        <f>SUM(P113:Q113)</f>
        <v>21.125346601012595</v>
      </c>
      <c r="S113" s="13">
        <v>0.24737155530318816</v>
      </c>
      <c r="T113" s="199">
        <f>S113*K113</f>
        <v>22.773794180753448</v>
      </c>
      <c r="U113" s="82">
        <f>($U$192*(V113/$V$192))</f>
        <v>0</v>
      </c>
      <c r="V113" s="82">
        <f>IF(E113="per lamp", R113*G113, O113*L113)</f>
        <v>0</v>
      </c>
      <c r="W113" s="82">
        <f>IF(E113="per lamp", T113*G113, S113*L113)</f>
        <v>0</v>
      </c>
      <c r="Z113" s="184"/>
    </row>
    <row r="114" spans="1:26" x14ac:dyDescent="0.2">
      <c r="A114" s="66">
        <f>A113+1</f>
        <v>107</v>
      </c>
      <c r="B114" s="52"/>
      <c r="C114" s="205"/>
      <c r="D114" s="53"/>
      <c r="E114" s="205"/>
      <c r="F114" s="205"/>
      <c r="G114" s="205"/>
      <c r="H114" s="205"/>
      <c r="I114" s="205"/>
      <c r="J114" s="205"/>
      <c r="K114" s="205"/>
      <c r="L114" s="16"/>
      <c r="M114" s="205"/>
      <c r="N114" s="205"/>
      <c r="O114" s="206"/>
      <c r="P114" s="205"/>
      <c r="Q114" s="205"/>
      <c r="R114" s="206"/>
      <c r="S114" s="15"/>
      <c r="T114" s="206"/>
      <c r="U114" s="207"/>
      <c r="V114" s="207"/>
      <c r="W114" s="207"/>
      <c r="Z114" s="184"/>
    </row>
    <row r="115" spans="1:26" x14ac:dyDescent="0.2">
      <c r="A115" s="66">
        <f>A114+1</f>
        <v>108</v>
      </c>
      <c r="B115" s="48">
        <v>54</v>
      </c>
      <c r="C115" s="107" t="s">
        <v>253</v>
      </c>
      <c r="D115" s="49">
        <v>50</v>
      </c>
      <c r="E115" s="66" t="str">
        <f>'Exh CTM-7 (Tariff Rates Y1)'!G133</f>
        <v>per lamp</v>
      </c>
      <c r="F115" s="107" t="s">
        <v>56</v>
      </c>
      <c r="G115" s="200">
        <v>456</v>
      </c>
      <c r="H115" s="183">
        <f>VLOOKUP(J115, 'Exh CTM-7 (Unitized Costs)'!$C$27:$D$34, 2, FALSE)</f>
        <v>1401.77</v>
      </c>
      <c r="I115" s="201">
        <f>IFERROR(IF(F115="Company",H115*G115/12, 0), 0)</f>
        <v>0</v>
      </c>
      <c r="J115" s="184">
        <v>60</v>
      </c>
      <c r="K115" s="201">
        <v>16.236746289282937</v>
      </c>
      <c r="L115" s="14">
        <f>K115*G115</f>
        <v>7403.9563079130194</v>
      </c>
      <c r="M115" s="118">
        <f>IF(F115="Company", 'Exh CTM-7 (Unitized Costs)'!$D$18*H115/K115, 0)</f>
        <v>0</v>
      </c>
      <c r="N115" s="118">
        <f>$N$9</f>
        <v>0.2294659292840994</v>
      </c>
      <c r="O115" s="202">
        <f>SUM(M115:N115)</f>
        <v>0.2294659292840994</v>
      </c>
      <c r="P115" s="84">
        <f>K115*M115</f>
        <v>0</v>
      </c>
      <c r="Q115" s="84">
        <f>K115*N115</f>
        <v>3.7257800758204618</v>
      </c>
      <c r="R115" s="199">
        <f>SUM(P115:Q115)</f>
        <v>3.7257800758204618</v>
      </c>
      <c r="S115" s="13">
        <v>0.24737155530318816</v>
      </c>
      <c r="T115" s="199">
        <f>S115*K115</f>
        <v>4.0165091826431896</v>
      </c>
      <c r="U115" s="82">
        <f>($U$192*(V115/$V$192))</f>
        <v>1214.9051964363246</v>
      </c>
      <c r="V115" s="82">
        <f>IF(E115="per lamp", R115*G115, O115*L115)</f>
        <v>1698.9557145741305</v>
      </c>
      <c r="W115" s="82">
        <f>IF(E115="per lamp", T115*G115, S115*L115)</f>
        <v>1831.5281872852945</v>
      </c>
      <c r="Z115" s="184"/>
    </row>
    <row r="116" spans="1:26" x14ac:dyDescent="0.2">
      <c r="A116" s="66">
        <f>A115+1</f>
        <v>109</v>
      </c>
      <c r="B116" s="48">
        <v>54</v>
      </c>
      <c r="C116" s="107" t="s">
        <v>239</v>
      </c>
      <c r="D116" s="49">
        <v>70</v>
      </c>
      <c r="E116" s="66" t="str">
        <f>'Exh CTM-7 (Tariff Rates Y1)'!G134</f>
        <v>per lamp</v>
      </c>
      <c r="F116" s="107" t="s">
        <v>56</v>
      </c>
      <c r="G116" s="200">
        <v>1843</v>
      </c>
      <c r="H116" s="183">
        <f>VLOOKUP(J116, 'Exh CTM-7 (Unitized Costs)'!$C$27:$D$34, 2, FALSE)</f>
        <v>1562.875</v>
      </c>
      <c r="I116" s="201">
        <f>IFERROR(IF(F116="Company",H116*G116/12, 0), 0)</f>
        <v>0</v>
      </c>
      <c r="J116" s="184">
        <v>90</v>
      </c>
      <c r="K116" s="201">
        <v>26.186795286420214</v>
      </c>
      <c r="L116" s="14">
        <f>K116*G116</f>
        <v>48262.263712872453</v>
      </c>
      <c r="M116" s="118">
        <f>IF(F116="Company", 'Exh CTM-7 (Unitized Costs)'!$D$18*H116/K116, 0)</f>
        <v>0</v>
      </c>
      <c r="N116" s="118">
        <f>$N$9</f>
        <v>0.2294659292840994</v>
      </c>
      <c r="O116" s="202">
        <f>SUM(M116:N116)</f>
        <v>0.2294659292840994</v>
      </c>
      <c r="P116" s="84">
        <f>K116*M116</f>
        <v>0</v>
      </c>
      <c r="Q116" s="84">
        <f>K116*N116</f>
        <v>6.0089773153708883</v>
      </c>
      <c r="R116" s="199">
        <f>SUM(P116:Q116)</f>
        <v>6.0089773153708883</v>
      </c>
      <c r="S116" s="13">
        <v>0.24737155530318816</v>
      </c>
      <c r="T116" s="199">
        <f>S116*K116</f>
        <v>6.4778682784079651</v>
      </c>
      <c r="U116" s="82">
        <f>($U$192*(V116/$V$192))</f>
        <v>7919.2897064888812</v>
      </c>
      <c r="V116" s="82">
        <f>IF(E116="per lamp", R116*G116, O116*L116)</f>
        <v>11074.545192228547</v>
      </c>
      <c r="W116" s="82">
        <f>IF(E116="per lamp", T116*G116, S116*L116)</f>
        <v>11938.711237105879</v>
      </c>
      <c r="Z116" s="184"/>
    </row>
    <row r="117" spans="1:26" x14ac:dyDescent="0.2">
      <c r="A117" s="66">
        <f>A116+1</f>
        <v>110</v>
      </c>
      <c r="B117" s="48">
        <v>54</v>
      </c>
      <c r="C117" s="107" t="s">
        <v>240</v>
      </c>
      <c r="D117" s="49">
        <v>100</v>
      </c>
      <c r="E117" s="66" t="str">
        <f>'Exh CTM-7 (Tariff Rates Y1)'!G135</f>
        <v>per lamp</v>
      </c>
      <c r="F117" s="107" t="s">
        <v>56</v>
      </c>
      <c r="G117" s="200">
        <v>9599</v>
      </c>
      <c r="H117" s="183">
        <f>VLOOKUP(J117, 'Exh CTM-7 (Unitized Costs)'!$C$27:$D$34, 2, FALSE)</f>
        <v>1456.9933333333331</v>
      </c>
      <c r="I117" s="201">
        <f>IFERROR(IF(F117="Company",H117*G117/12, 0), 0)</f>
        <v>0</v>
      </c>
      <c r="J117" s="184">
        <v>150</v>
      </c>
      <c r="K117" s="201">
        <v>39.674794170929992</v>
      </c>
      <c r="L117" s="14">
        <f>K117*G117</f>
        <v>380838.34924675699</v>
      </c>
      <c r="M117" s="118">
        <f>IF(F117="Company", 'Exh CTM-7 (Unitized Costs)'!$D$18*H117/K117, 0)</f>
        <v>0</v>
      </c>
      <c r="N117" s="118">
        <f>$N$9</f>
        <v>0.2294659292840994</v>
      </c>
      <c r="O117" s="202">
        <f>SUM(M117:N117)</f>
        <v>0.2294659292840994</v>
      </c>
      <c r="P117" s="84">
        <f>K117*M117</f>
        <v>0</v>
      </c>
      <c r="Q117" s="84">
        <f>K117*N117</f>
        <v>9.1040135135878213</v>
      </c>
      <c r="R117" s="199">
        <f>SUM(P117:Q117)</f>
        <v>9.1040135135878213</v>
      </c>
      <c r="S117" s="13">
        <v>0.24737155530318816</v>
      </c>
      <c r="T117" s="199">
        <f>S117*K117</f>
        <v>9.8144155403968156</v>
      </c>
      <c r="U117" s="82">
        <f>($U$192*(V117/$V$192))</f>
        <v>62491.250658465178</v>
      </c>
      <c r="V117" s="82">
        <f>IF(E117="per lamp", R117*G117, O117*L117)</f>
        <v>87389.425716929502</v>
      </c>
      <c r="W117" s="82">
        <f>IF(E117="per lamp", T117*G117, S117*L117)</f>
        <v>94208.574772269028</v>
      </c>
      <c r="Z117" s="184"/>
    </row>
    <row r="118" spans="1:26" x14ac:dyDescent="0.2">
      <c r="A118" s="66">
        <f>A117+1</f>
        <v>111</v>
      </c>
      <c r="B118" s="48">
        <v>54</v>
      </c>
      <c r="C118" s="107" t="s">
        <v>241</v>
      </c>
      <c r="D118" s="49">
        <v>150</v>
      </c>
      <c r="E118" s="66" t="str">
        <f>'Exh CTM-7 (Tariff Rates Y1)'!G136</f>
        <v>per lamp</v>
      </c>
      <c r="F118" s="107" t="s">
        <v>56</v>
      </c>
      <c r="G118" s="200">
        <v>3365</v>
      </c>
      <c r="H118" s="183">
        <f>VLOOKUP(J118, 'Exh CTM-7 (Unitized Costs)'!$C$27:$D$34, 2, FALSE)</f>
        <v>1456.9933333333331</v>
      </c>
      <c r="I118" s="201">
        <f>IFERROR(IF(F118="Company",H118*G118/12, 0), 0)</f>
        <v>0</v>
      </c>
      <c r="J118" s="184">
        <v>150</v>
      </c>
      <c r="K118" s="201">
        <v>39.674794170929992</v>
      </c>
      <c r="L118" s="14">
        <f>K118*G118</f>
        <v>133505.68238517942</v>
      </c>
      <c r="M118" s="118">
        <f>IF(F118="Company", 'Exh CTM-7 (Unitized Costs)'!$D$18*H118/K118, 0)</f>
        <v>0</v>
      </c>
      <c r="N118" s="118">
        <f>$N$9</f>
        <v>0.2294659292840994</v>
      </c>
      <c r="O118" s="202">
        <f>SUM(M118:N118)</f>
        <v>0.2294659292840994</v>
      </c>
      <c r="P118" s="84">
        <f>K118*M118</f>
        <v>0</v>
      </c>
      <c r="Q118" s="84">
        <f>K118*N118</f>
        <v>9.1040135135878213</v>
      </c>
      <c r="R118" s="199">
        <f>SUM(P118:Q118)</f>
        <v>9.1040135135878213</v>
      </c>
      <c r="S118" s="13">
        <v>0.24737155530318816</v>
      </c>
      <c r="T118" s="199">
        <f>S118*K118</f>
        <v>9.8144155403968156</v>
      </c>
      <c r="U118" s="82">
        <f>($U$192*(V118/$V$192))</f>
        <v>21906.76721176532</v>
      </c>
      <c r="V118" s="82">
        <f>IF(E118="per lamp", R118*G118, O118*L118)</f>
        <v>30635.00547322302</v>
      </c>
      <c r="W118" s="82">
        <f>IF(E118="per lamp", T118*G118, S118*L118)</f>
        <v>33025.508293435283</v>
      </c>
      <c r="Z118" s="184"/>
    </row>
    <row r="119" spans="1:26" x14ac:dyDescent="0.2">
      <c r="A119" s="66">
        <f>A118+1</f>
        <v>112</v>
      </c>
      <c r="B119" s="48">
        <v>54</v>
      </c>
      <c r="C119" s="107" t="s">
        <v>242</v>
      </c>
      <c r="D119" s="49">
        <v>200</v>
      </c>
      <c r="E119" s="66" t="str">
        <f>'Exh CTM-7 (Tariff Rates Y1)'!G137</f>
        <v>per lamp</v>
      </c>
      <c r="F119" s="107" t="s">
        <v>56</v>
      </c>
      <c r="G119" s="200">
        <v>3340</v>
      </c>
      <c r="H119" s="183">
        <f>VLOOKUP(J119, 'Exh CTM-7 (Unitized Costs)'!$C$27:$D$34, 2, FALSE)</f>
        <v>1576.8033333333335</v>
      </c>
      <c r="I119" s="201">
        <f>IFERROR(IF(F119="Company",H119*G119/12, 0), 0)</f>
        <v>0</v>
      </c>
      <c r="J119" s="184">
        <v>240</v>
      </c>
      <c r="K119" s="201">
        <v>69.495762573691295</v>
      </c>
      <c r="L119" s="14">
        <f>K119*G119</f>
        <v>232115.84699612894</v>
      </c>
      <c r="M119" s="118">
        <f>IF(F119="Company", 'Exh CTM-7 (Unitized Costs)'!$D$18*H119/K119, 0)</f>
        <v>0</v>
      </c>
      <c r="N119" s="118">
        <f>$N$9</f>
        <v>0.2294659292840994</v>
      </c>
      <c r="O119" s="202">
        <f>SUM(M119:N119)</f>
        <v>0.2294659292840994</v>
      </c>
      <c r="P119" s="84">
        <f>K119*M119</f>
        <v>0</v>
      </c>
      <c r="Q119" s="84">
        <f>K119*N119</f>
        <v>15.946909740279208</v>
      </c>
      <c r="R119" s="199">
        <f>SUM(P119:Q119)</f>
        <v>15.946909740279208</v>
      </c>
      <c r="S119" s="13">
        <v>0.24737155530318816</v>
      </c>
      <c r="T119" s="199">
        <f>S119*K119</f>
        <v>17.191274874835109</v>
      </c>
      <c r="U119" s="82">
        <f>($U$192*(V119/$V$192))</f>
        <v>38087.576015194485</v>
      </c>
      <c r="V119" s="82">
        <f>IF(E119="per lamp", R119*G119, O119*L119)</f>
        <v>53262.678532532555</v>
      </c>
      <c r="W119" s="82">
        <f>IF(E119="per lamp", T119*G119, S119*L119)</f>
        <v>57418.858081949264</v>
      </c>
      <c r="Z119" s="184"/>
    </row>
    <row r="120" spans="1:26" x14ac:dyDescent="0.2">
      <c r="A120" s="66">
        <f>A119+1</f>
        <v>113</v>
      </c>
      <c r="B120" s="48">
        <v>54</v>
      </c>
      <c r="C120" s="107" t="s">
        <v>243</v>
      </c>
      <c r="D120" s="49">
        <v>250</v>
      </c>
      <c r="E120" s="66" t="str">
        <f>'Exh CTM-7 (Tariff Rates Y1)'!G138</f>
        <v>per lamp</v>
      </c>
      <c r="F120" s="107" t="s">
        <v>56</v>
      </c>
      <c r="G120" s="200">
        <v>3601</v>
      </c>
      <c r="H120" s="183">
        <f>VLOOKUP(J120, 'Exh CTM-7 (Unitized Costs)'!$C$27:$D$34, 2, FALSE)</f>
        <v>1602.95</v>
      </c>
      <c r="I120" s="201">
        <f>IFERROR(IF(F120="Company",H120*G120/12, 0), 0)</f>
        <v>0</v>
      </c>
      <c r="J120" s="184">
        <v>340</v>
      </c>
      <c r="K120" s="201">
        <v>92.063107873663981</v>
      </c>
      <c r="L120" s="14">
        <f>K120*G120</f>
        <v>331519.25145306397</v>
      </c>
      <c r="M120" s="118">
        <f>IF(F120="Company", 'Exh CTM-7 (Unitized Costs)'!$D$18*H120/K120, 0)</f>
        <v>0</v>
      </c>
      <c r="N120" s="118">
        <f>$N$9</f>
        <v>0.2294659292840994</v>
      </c>
      <c r="O120" s="202">
        <f>SUM(M120:N120)</f>
        <v>0.2294659292840994</v>
      </c>
      <c r="P120" s="84">
        <f>K120*M120</f>
        <v>0</v>
      </c>
      <c r="Q120" s="84">
        <f>K120*N120</f>
        <v>21.125346601012595</v>
      </c>
      <c r="R120" s="199">
        <f>SUM(P120:Q120)</f>
        <v>21.125346601012595</v>
      </c>
      <c r="S120" s="13">
        <v>0.24737155530318816</v>
      </c>
      <c r="T120" s="199">
        <f>S120*K120</f>
        <v>22.773794180753448</v>
      </c>
      <c r="U120" s="82">
        <f>($U$192*(V120/$V$192))</f>
        <v>54398.546474207469</v>
      </c>
      <c r="V120" s="82">
        <f>IF(E120="per lamp", R120*G120, O120*L120)</f>
        <v>76072.37311024635</v>
      </c>
      <c r="W120" s="82">
        <f>IF(E120="per lamp", T120*G120, S120*L120)</f>
        <v>82008.432844893163</v>
      </c>
      <c r="Z120" s="184"/>
    </row>
    <row r="121" spans="1:26" x14ac:dyDescent="0.2">
      <c r="A121" s="66">
        <f>A120+1</f>
        <v>114</v>
      </c>
      <c r="B121" s="48">
        <v>54</v>
      </c>
      <c r="C121" s="107" t="s">
        <v>244</v>
      </c>
      <c r="D121" s="49">
        <v>310</v>
      </c>
      <c r="E121" s="66" t="str">
        <f>'Exh CTM-7 (Tariff Rates Y1)'!G139</f>
        <v>per lamp</v>
      </c>
      <c r="F121" s="107" t="s">
        <v>56</v>
      </c>
      <c r="G121" s="200">
        <v>669</v>
      </c>
      <c r="H121" s="183">
        <f>VLOOKUP(J121, 'Exh CTM-7 (Unitized Costs)'!$C$27:$D$34, 2, FALSE)</f>
        <v>1602.95</v>
      </c>
      <c r="I121" s="201">
        <f>IFERROR(IF(F121="Company",H121*G121/12, 0), 0)</f>
        <v>0</v>
      </c>
      <c r="J121" s="184">
        <v>340</v>
      </c>
      <c r="K121" s="201">
        <v>92.063107873663981</v>
      </c>
      <c r="L121" s="14">
        <f>K121*G121</f>
        <v>61590.219167481206</v>
      </c>
      <c r="M121" s="118">
        <f>IF(F121="Company", 'Exh CTM-7 (Unitized Costs)'!$D$18*H121/K121, 0)</f>
        <v>0</v>
      </c>
      <c r="N121" s="118">
        <f>$N$9</f>
        <v>0.2294659292840994</v>
      </c>
      <c r="O121" s="202">
        <f>SUM(M121:N121)</f>
        <v>0.2294659292840994</v>
      </c>
      <c r="P121" s="84">
        <f>K121*M121</f>
        <v>0</v>
      </c>
      <c r="Q121" s="84">
        <f>K121*N121</f>
        <v>21.125346601012595</v>
      </c>
      <c r="R121" s="199">
        <f>SUM(P121:Q121)</f>
        <v>21.125346601012595</v>
      </c>
      <c r="S121" s="13">
        <v>0.24737155530318816</v>
      </c>
      <c r="T121" s="199">
        <f>S121*K121</f>
        <v>22.773794180753448</v>
      </c>
      <c r="U121" s="82">
        <f>($U$192*(V121/$V$192))</f>
        <v>10106.255926477312</v>
      </c>
      <c r="V121" s="82">
        <f>IF(E121="per lamp", R121*G121, O121*L121)</f>
        <v>14132.856876077425</v>
      </c>
      <c r="W121" s="82">
        <f>IF(E121="per lamp", T121*G121, S121*L121)</f>
        <v>15235.668306924057</v>
      </c>
      <c r="Z121" s="184"/>
    </row>
    <row r="122" spans="1:26" x14ac:dyDescent="0.2">
      <c r="A122" s="66">
        <f>A121+1</f>
        <v>115</v>
      </c>
      <c r="B122" s="48">
        <v>54</v>
      </c>
      <c r="C122" s="107" t="s">
        <v>245</v>
      </c>
      <c r="D122" s="49">
        <v>400</v>
      </c>
      <c r="E122" s="66" t="str">
        <f>'Exh CTM-7 (Tariff Rates Y1)'!G140</f>
        <v>per lamp</v>
      </c>
      <c r="F122" s="107" t="s">
        <v>56</v>
      </c>
      <c r="G122" s="200">
        <v>6792</v>
      </c>
      <c r="H122" s="183">
        <f>VLOOKUP(J122, 'Exh CTM-7 (Unitized Costs)'!$C$27:$D$34, 2, FALSE)</f>
        <v>1388.9766666666667</v>
      </c>
      <c r="I122" s="201">
        <f>IFERROR(IF(F122="Company",H122*G122/12, 0), 0)</f>
        <v>0</v>
      </c>
      <c r="J122" s="184">
        <v>600</v>
      </c>
      <c r="K122" s="201">
        <v>144.31146442180207</v>
      </c>
      <c r="L122" s="14">
        <f>K122*G122</f>
        <v>980163.46635287965</v>
      </c>
      <c r="M122" s="118">
        <f>IF(F122="Company", 'Exh CTM-7 (Unitized Costs)'!$D$18*H122/K122, 0)</f>
        <v>0</v>
      </c>
      <c r="N122" s="118">
        <f>$N$9</f>
        <v>0.2294659292840994</v>
      </c>
      <c r="O122" s="202">
        <f>SUM(M122:N122)</f>
        <v>0.2294659292840994</v>
      </c>
      <c r="P122" s="84">
        <f>K122*M122</f>
        <v>0</v>
      </c>
      <c r="Q122" s="84">
        <f>K122*N122</f>
        <v>33.114564289898063</v>
      </c>
      <c r="R122" s="199">
        <f>SUM(P122:Q122)</f>
        <v>33.114564289898063</v>
      </c>
      <c r="S122" s="13">
        <v>0.24737155530318816</v>
      </c>
      <c r="T122" s="199">
        <f>S122*K122</f>
        <v>35.698551402101884</v>
      </c>
      <c r="U122" s="82">
        <f>($U$192*(V122/$V$192))</f>
        <v>160833.70013359937</v>
      </c>
      <c r="V122" s="82">
        <f>IF(E122="per lamp", R122*G122, O122*L122)</f>
        <v>224914.12065698765</v>
      </c>
      <c r="W122" s="82">
        <f>IF(E122="per lamp", T122*G122, S122*L122)</f>
        <v>242464.56112307601</v>
      </c>
      <c r="Z122" s="184"/>
    </row>
    <row r="123" spans="1:26" x14ac:dyDescent="0.2">
      <c r="A123" s="66">
        <f>A122+1</f>
        <v>116</v>
      </c>
      <c r="B123" s="48">
        <v>54</v>
      </c>
      <c r="C123" s="107" t="s">
        <v>254</v>
      </c>
      <c r="D123" s="49">
        <v>1000</v>
      </c>
      <c r="E123" s="66" t="str">
        <f>'Exh CTM-7 (Tariff Rates Y1)'!G141</f>
        <v>per lamp</v>
      </c>
      <c r="F123" s="107" t="s">
        <v>56</v>
      </c>
      <c r="G123" s="200">
        <v>0</v>
      </c>
      <c r="H123" s="183">
        <f>VLOOKUP(J123, 'Exh CTM-7 (Unitized Costs)'!$C$27:$D$34, 2, FALSE)</f>
        <v>1783.47</v>
      </c>
      <c r="I123" s="201">
        <f>IFERROR(IF(F123="Company",H123*G123/12, 0), 0)</f>
        <v>0</v>
      </c>
      <c r="J123" s="184">
        <v>1000</v>
      </c>
      <c r="K123" s="201">
        <v>360.77866105450516</v>
      </c>
      <c r="L123" s="14">
        <f>K123*G123</f>
        <v>0</v>
      </c>
      <c r="M123" s="118">
        <f>IF(F123="Company", 'Exh CTM-7 (Unitized Costs)'!$D$18*H123/K123, 0)</f>
        <v>0</v>
      </c>
      <c r="N123" s="118">
        <f>$N$9</f>
        <v>0.2294659292840994</v>
      </c>
      <c r="O123" s="202">
        <f>SUM(M123:N123)</f>
        <v>0.2294659292840994</v>
      </c>
      <c r="P123" s="84">
        <f>K123*M123</f>
        <v>0</v>
      </c>
      <c r="Q123" s="84">
        <f>K123*N123</f>
        <v>82.786410724745153</v>
      </c>
      <c r="R123" s="199">
        <f>SUM(P123:Q123)</f>
        <v>82.786410724745153</v>
      </c>
      <c r="S123" s="13">
        <v>0.24737155530318816</v>
      </c>
      <c r="T123" s="199">
        <f>S123*K123</f>
        <v>89.246378505254697</v>
      </c>
      <c r="U123" s="82">
        <f>($U$192*(V123/$V$192))</f>
        <v>0</v>
      </c>
      <c r="V123" s="82">
        <f>IF(E123="per lamp", R123*G123, O123*L123)</f>
        <v>0</v>
      </c>
      <c r="W123" s="82">
        <f>IF(E123="per lamp", T123*G123, S123*L123)</f>
        <v>0</v>
      </c>
      <c r="Z123" s="184"/>
    </row>
    <row r="124" spans="1:26" x14ac:dyDescent="0.2">
      <c r="A124" s="66">
        <f>A123+1</f>
        <v>117</v>
      </c>
      <c r="B124" s="48">
        <v>54</v>
      </c>
      <c r="C124" s="107" t="s">
        <v>228</v>
      </c>
      <c r="D124" s="49">
        <v>15</v>
      </c>
      <c r="E124" s="66" t="str">
        <f>'Exh CTM-7 (Tariff Rates Y1)'!G143</f>
        <v>per lamp</v>
      </c>
      <c r="F124" s="107" t="s">
        <v>56</v>
      </c>
      <c r="G124" s="200">
        <v>0</v>
      </c>
      <c r="H124" s="183">
        <f>VLOOKUP(J124, 'Exh CTM-7 (Unitized Costs)'!$C$27:$D$34, 2, FALSE)</f>
        <v>1426.7</v>
      </c>
      <c r="I124" s="201">
        <f>IFERROR(IF(F124="Company",H124*G124/12, 0), 0)</f>
        <v>0</v>
      </c>
      <c r="J124" s="184">
        <v>30</v>
      </c>
      <c r="K124" s="201">
        <v>7.4297601011292338</v>
      </c>
      <c r="L124" s="14">
        <f>K124*G124</f>
        <v>0</v>
      </c>
      <c r="M124" s="118">
        <f>IF(F124="Company", 'Exh CTM-7 (Unitized Costs)'!$D$18*H124/K124, 0)</f>
        <v>0</v>
      </c>
      <c r="N124" s="118">
        <f>$N$9</f>
        <v>0.2294659292840994</v>
      </c>
      <c r="O124" s="202">
        <f>SUM(M124:N124)</f>
        <v>0.2294659292840994</v>
      </c>
      <c r="P124" s="84">
        <f>K124*M124</f>
        <v>0</v>
      </c>
      <c r="Q124" s="84">
        <f>K124*N124</f>
        <v>1.704876805963544</v>
      </c>
      <c r="R124" s="199">
        <f>SUM(P124:Q124)</f>
        <v>1.704876805963544</v>
      </c>
      <c r="S124" s="13">
        <v>0.24737155530318816</v>
      </c>
      <c r="T124" s="199">
        <f>S124*K124</f>
        <v>1.8379113117459112</v>
      </c>
      <c r="U124" s="82">
        <f>($U$192*(V124/$V$192))</f>
        <v>0</v>
      </c>
      <c r="V124" s="82">
        <f>IF(E124="per lamp", R124*G124, O124*L124)</f>
        <v>0</v>
      </c>
      <c r="W124" s="82">
        <f>IF(E124="per lamp", T124*G124, S124*L124)</f>
        <v>0</v>
      </c>
      <c r="Z124" s="184"/>
    </row>
    <row r="125" spans="1:26" x14ac:dyDescent="0.2">
      <c r="A125" s="66">
        <f>A124+1</f>
        <v>118</v>
      </c>
      <c r="B125" s="48">
        <v>54</v>
      </c>
      <c r="C125" s="107" t="s">
        <v>229</v>
      </c>
      <c r="D125" s="49">
        <v>45</v>
      </c>
      <c r="E125" s="66" t="str">
        <f>'Exh CTM-7 (Tariff Rates Y1)'!G144</f>
        <v>per lamp</v>
      </c>
      <c r="F125" s="107" t="s">
        <v>56</v>
      </c>
      <c r="G125" s="200">
        <v>34694</v>
      </c>
      <c r="H125" s="183">
        <f>VLOOKUP(J125, 'Exh CTM-7 (Unitized Costs)'!$C$27:$D$34, 2, FALSE)</f>
        <v>1401.77</v>
      </c>
      <c r="I125" s="201">
        <f>IFERROR(IF(F125="Company",H125*G125/12, 0), 0)</f>
        <v>0</v>
      </c>
      <c r="J125" s="184">
        <v>60</v>
      </c>
      <c r="K125" s="201">
        <v>16.236746289282937</v>
      </c>
      <c r="L125" s="14">
        <f>K125*G125</f>
        <v>563317.6757603822</v>
      </c>
      <c r="M125" s="118">
        <f>IF(F125="Company", 'Exh CTM-7 (Unitized Costs)'!$D$18*H125/K125, 0)</f>
        <v>0</v>
      </c>
      <c r="N125" s="118">
        <f>$N$9</f>
        <v>0.2294659292840994</v>
      </c>
      <c r="O125" s="202">
        <f>SUM(M125:N125)</f>
        <v>0.2294659292840994</v>
      </c>
      <c r="P125" s="84">
        <f>K125*M125</f>
        <v>0</v>
      </c>
      <c r="Q125" s="84">
        <f>K125*N125</f>
        <v>3.7257800758204618</v>
      </c>
      <c r="R125" s="199">
        <f>SUM(P125:Q125)</f>
        <v>3.7257800758204618</v>
      </c>
      <c r="S125" s="13">
        <v>0.24737155530318816</v>
      </c>
      <c r="T125" s="199">
        <f>S125*K125</f>
        <v>4.0165091826431896</v>
      </c>
      <c r="U125" s="82">
        <f>($U$192*(V125/$V$192))</f>
        <v>92434.037028863677</v>
      </c>
      <c r="V125" s="82">
        <f>IF(E125="per lamp", R125*G125, O125*L125)</f>
        <v>129262.2139505151</v>
      </c>
      <c r="W125" s="82">
        <f>IF(E125="per lamp", T125*G125, S125*L125)</f>
        <v>139348.76958262283</v>
      </c>
      <c r="Z125" s="184"/>
    </row>
    <row r="126" spans="1:26" x14ac:dyDescent="0.2">
      <c r="A126" s="66">
        <f>A125+1</f>
        <v>119</v>
      </c>
      <c r="B126" s="48">
        <v>54</v>
      </c>
      <c r="C126" s="107" t="s">
        <v>230</v>
      </c>
      <c r="D126" s="49">
        <v>75</v>
      </c>
      <c r="E126" s="66" t="str">
        <f>'Exh CTM-7 (Tariff Rates Y1)'!G145</f>
        <v>per lamp</v>
      </c>
      <c r="F126" s="107" t="s">
        <v>56</v>
      </c>
      <c r="G126" s="200">
        <v>2923</v>
      </c>
      <c r="H126" s="183">
        <f>VLOOKUP(J126, 'Exh CTM-7 (Unitized Costs)'!$C$27:$D$34, 2, FALSE)</f>
        <v>1562.875</v>
      </c>
      <c r="I126" s="201">
        <f>IFERROR(IF(F126="Company",H126*G126/12, 0), 0)</f>
        <v>0</v>
      </c>
      <c r="J126" s="184">
        <v>90</v>
      </c>
      <c r="K126" s="201">
        <v>26.186795286420214</v>
      </c>
      <c r="L126" s="14">
        <f>K126*G126</f>
        <v>76544.002622206288</v>
      </c>
      <c r="M126" s="118">
        <f>IF(F126="Company", 'Exh CTM-7 (Unitized Costs)'!$D$18*H126/K126, 0)</f>
        <v>0</v>
      </c>
      <c r="N126" s="118">
        <f>$N$9</f>
        <v>0.2294659292840994</v>
      </c>
      <c r="O126" s="202">
        <f>SUM(M126:N126)</f>
        <v>0.2294659292840994</v>
      </c>
      <c r="P126" s="84">
        <f>K126*M126</f>
        <v>0</v>
      </c>
      <c r="Q126" s="84">
        <f>K126*N126</f>
        <v>6.0089773153708883</v>
      </c>
      <c r="R126" s="199">
        <f>SUM(P126:Q126)</f>
        <v>6.0089773153708883</v>
      </c>
      <c r="S126" s="13">
        <v>0.24737155530318816</v>
      </c>
      <c r="T126" s="199">
        <f>S126*K126</f>
        <v>6.4778682784079651</v>
      </c>
      <c r="U126" s="82">
        <f>($U$192*(V126/$V$192))</f>
        <v>12560.002068403148</v>
      </c>
      <c r="V126" s="82">
        <f>IF(E126="per lamp", R126*G126, O126*L126)</f>
        <v>17564.240692829106</v>
      </c>
      <c r="W126" s="82">
        <f>IF(E126="per lamp", T126*G126, S126*L126)</f>
        <v>18934.808977786481</v>
      </c>
      <c r="Z126" s="184"/>
    </row>
    <row r="127" spans="1:26" x14ac:dyDescent="0.2">
      <c r="A127" s="66">
        <f>A126+1</f>
        <v>120</v>
      </c>
      <c r="B127" s="48">
        <v>54</v>
      </c>
      <c r="C127" s="107" t="s">
        <v>231</v>
      </c>
      <c r="D127" s="49">
        <v>105</v>
      </c>
      <c r="E127" s="66" t="str">
        <f>'Exh CTM-7 (Tariff Rates Y1)'!G146</f>
        <v>per lamp</v>
      </c>
      <c r="F127" s="107" t="s">
        <v>56</v>
      </c>
      <c r="G127" s="200">
        <v>35164</v>
      </c>
      <c r="H127" s="183">
        <f>VLOOKUP(J127, 'Exh CTM-7 (Unitized Costs)'!$C$27:$D$34, 2, FALSE)</f>
        <v>1456.9933333333331</v>
      </c>
      <c r="I127" s="201">
        <f>IFERROR(IF(F127="Company",H127*G127/12, 0), 0)</f>
        <v>0</v>
      </c>
      <c r="J127" s="184">
        <v>150</v>
      </c>
      <c r="K127" s="201">
        <v>39.674794170929992</v>
      </c>
      <c r="L127" s="14">
        <f>K127*G127</f>
        <v>1395124.4622265822</v>
      </c>
      <c r="M127" s="118">
        <f>IF(F127="Company", 'Exh CTM-7 (Unitized Costs)'!$D$18*H127/K127, 0)</f>
        <v>0</v>
      </c>
      <c r="N127" s="118">
        <f>$N$9</f>
        <v>0.2294659292840994</v>
      </c>
      <c r="O127" s="202">
        <f>SUM(M127:N127)</f>
        <v>0.2294659292840994</v>
      </c>
      <c r="P127" s="84">
        <f>K127*M127</f>
        <v>0</v>
      </c>
      <c r="Q127" s="84">
        <f>K127*N127</f>
        <v>9.1040135135878213</v>
      </c>
      <c r="R127" s="199">
        <f>SUM(P127:Q127)</f>
        <v>9.1040135135878213</v>
      </c>
      <c r="S127" s="13">
        <v>0.24737155530318816</v>
      </c>
      <c r="T127" s="199">
        <f>S127*K127</f>
        <v>9.8144155403968156</v>
      </c>
      <c r="U127" s="82">
        <f>($U$192*(V127/$V$192))</f>
        <v>228924.08981709235</v>
      </c>
      <c r="V127" s="82">
        <f>IF(E127="per lamp", R127*G127, O127*L127)</f>
        <v>320133.53119180218</v>
      </c>
      <c r="W127" s="82">
        <f>IF(E127="per lamp", T127*G127, S127*L127)</f>
        <v>345114.10806251364</v>
      </c>
      <c r="Z127" s="184"/>
    </row>
    <row r="128" spans="1:26" x14ac:dyDescent="0.2">
      <c r="A128" s="66">
        <f>A127+1</f>
        <v>121</v>
      </c>
      <c r="B128" s="48">
        <v>54</v>
      </c>
      <c r="C128" s="107" t="s">
        <v>232</v>
      </c>
      <c r="D128" s="49">
        <v>135</v>
      </c>
      <c r="E128" s="66" t="str">
        <f>'Exh CTM-7 (Tariff Rates Y1)'!G147</f>
        <v>per lamp</v>
      </c>
      <c r="F128" s="107" t="s">
        <v>56</v>
      </c>
      <c r="G128" s="200">
        <v>12553</v>
      </c>
      <c r="H128" s="183">
        <f>VLOOKUP(J128, 'Exh CTM-7 (Unitized Costs)'!$C$27:$D$34, 2, FALSE)</f>
        <v>1456.9933333333331</v>
      </c>
      <c r="I128" s="201">
        <f>IFERROR(IF(F128="Company",H128*G128/12, 0), 0)</f>
        <v>0</v>
      </c>
      <c r="J128" s="184">
        <v>150</v>
      </c>
      <c r="K128" s="201">
        <v>39.674794170929992</v>
      </c>
      <c r="L128" s="14">
        <f>K128*G128</f>
        <v>498037.6912276842</v>
      </c>
      <c r="M128" s="118">
        <f>IF(F128="Company", 'Exh CTM-7 (Unitized Costs)'!$D$18*H128/K128, 0)</f>
        <v>0</v>
      </c>
      <c r="N128" s="118">
        <f>$N$9</f>
        <v>0.2294659292840994</v>
      </c>
      <c r="O128" s="202">
        <f>SUM(M128:N128)</f>
        <v>0.2294659292840994</v>
      </c>
      <c r="P128" s="84">
        <f>K128*M128</f>
        <v>0</v>
      </c>
      <c r="Q128" s="84">
        <f>K128*N128</f>
        <v>9.1040135135878213</v>
      </c>
      <c r="R128" s="199">
        <f>SUM(P128:Q128)</f>
        <v>9.1040135135878213</v>
      </c>
      <c r="S128" s="13">
        <v>0.24737155530318816</v>
      </c>
      <c r="T128" s="199">
        <f>S128*K128</f>
        <v>9.8144155403968156</v>
      </c>
      <c r="U128" s="82">
        <f>($U$192*(V128/$V$192))</f>
        <v>81722.332484187238</v>
      </c>
      <c r="V128" s="82">
        <f>IF(E128="per lamp", R128*G128, O128*L128)</f>
        <v>114282.68163606792</v>
      </c>
      <c r="W128" s="82">
        <f>IF(E128="per lamp", T128*G128, S128*L128)</f>
        <v>123200.35827860123</v>
      </c>
      <c r="Z128" s="184"/>
    </row>
    <row r="129" spans="1:26" x14ac:dyDescent="0.2">
      <c r="A129" s="66">
        <f>A128+1</f>
        <v>122</v>
      </c>
      <c r="B129" s="48">
        <v>54</v>
      </c>
      <c r="C129" s="107" t="s">
        <v>233</v>
      </c>
      <c r="D129" s="49">
        <v>165</v>
      </c>
      <c r="E129" s="66" t="str">
        <f>'Exh CTM-7 (Tariff Rates Y1)'!G148</f>
        <v>per lamp</v>
      </c>
      <c r="F129" s="107" t="s">
        <v>56</v>
      </c>
      <c r="G129" s="200">
        <v>5036</v>
      </c>
      <c r="H129" s="183">
        <f>VLOOKUP(J129, 'Exh CTM-7 (Unitized Costs)'!$C$27:$D$34, 2, FALSE)</f>
        <v>1576.8033333333335</v>
      </c>
      <c r="I129" s="201">
        <f>IFERROR(IF(F129="Company",H129*G129/12, 0), 0)</f>
        <v>0</v>
      </c>
      <c r="J129" s="184">
        <v>240</v>
      </c>
      <c r="K129" s="201">
        <v>69.495762573691295</v>
      </c>
      <c r="L129" s="14">
        <f>K129*G129</f>
        <v>349980.66032110935</v>
      </c>
      <c r="M129" s="118">
        <f>IF(F129="Company", 'Exh CTM-7 (Unitized Costs)'!$D$18*H129/K129, 0)</f>
        <v>0</v>
      </c>
      <c r="N129" s="118">
        <f>$N$9</f>
        <v>0.2294659292840994</v>
      </c>
      <c r="O129" s="202">
        <f>SUM(M129:N129)</f>
        <v>0.2294659292840994</v>
      </c>
      <c r="P129" s="84">
        <f>K129*M129</f>
        <v>0</v>
      </c>
      <c r="Q129" s="84">
        <f>K129*N129</f>
        <v>15.946909740279208</v>
      </c>
      <c r="R129" s="199">
        <f>SUM(P129:Q129)</f>
        <v>15.946909740279208</v>
      </c>
      <c r="S129" s="13">
        <v>0.24737155530318816</v>
      </c>
      <c r="T129" s="199">
        <f>S129*K129</f>
        <v>17.191274874835109</v>
      </c>
      <c r="U129" s="82">
        <f>($U$192*(V129/$V$192))</f>
        <v>57427.854135484864</v>
      </c>
      <c r="V129" s="82">
        <f>IF(E129="per lamp", R129*G129, O129*L129)</f>
        <v>80308.637452046096</v>
      </c>
      <c r="W129" s="82">
        <f>IF(E129="per lamp", T129*G129, S129*L129)</f>
        <v>86575.260269669612</v>
      </c>
      <c r="Z129" s="184"/>
    </row>
    <row r="130" spans="1:26" x14ac:dyDescent="0.2">
      <c r="A130" s="66">
        <f>A129+1</f>
        <v>123</v>
      </c>
      <c r="B130" s="48">
        <v>54</v>
      </c>
      <c r="C130" s="107" t="s">
        <v>234</v>
      </c>
      <c r="D130" s="49">
        <v>195</v>
      </c>
      <c r="E130" s="66" t="str">
        <f>'Exh CTM-7 (Tariff Rates Y1)'!G149</f>
        <v>per lamp</v>
      </c>
      <c r="F130" s="107" t="s">
        <v>56</v>
      </c>
      <c r="G130" s="200">
        <v>2165</v>
      </c>
      <c r="H130" s="183">
        <f>VLOOKUP(J130, 'Exh CTM-7 (Unitized Costs)'!$C$27:$D$34, 2, FALSE)</f>
        <v>1576.8033333333335</v>
      </c>
      <c r="I130" s="201">
        <f>IFERROR(IF(F130="Company",H130*G130/12, 0), 0)</f>
        <v>0</v>
      </c>
      <c r="J130" s="184">
        <v>240</v>
      </c>
      <c r="K130" s="201">
        <v>69.495762573691295</v>
      </c>
      <c r="L130" s="14">
        <f>K130*G130</f>
        <v>150458.32597204164</v>
      </c>
      <c r="M130" s="118">
        <f>IF(F130="Company", 'Exh CTM-7 (Unitized Costs)'!$D$18*H130/K130, 0)</f>
        <v>0</v>
      </c>
      <c r="N130" s="118">
        <f>$N$9</f>
        <v>0.2294659292840994</v>
      </c>
      <c r="O130" s="202">
        <f>SUM(M130:N130)</f>
        <v>0.2294659292840994</v>
      </c>
      <c r="P130" s="84">
        <f>K130*M130</f>
        <v>0</v>
      </c>
      <c r="Q130" s="84">
        <f>K130*N130</f>
        <v>15.946909740279208</v>
      </c>
      <c r="R130" s="199">
        <f>SUM(P130:Q130)</f>
        <v>15.946909740279208</v>
      </c>
      <c r="S130" s="13">
        <v>0.24737155530318816</v>
      </c>
      <c r="T130" s="199">
        <f>S130*K130</f>
        <v>17.191274874835109</v>
      </c>
      <c r="U130" s="82">
        <f>($U$192*(V130/$V$192))</f>
        <v>24688.503614639536</v>
      </c>
      <c r="V130" s="82">
        <f>IF(E130="per lamp", R130*G130, O130*L130)</f>
        <v>34525.059587704483</v>
      </c>
      <c r="W130" s="82">
        <f>IF(E130="per lamp", T130*G130, S130*L130)</f>
        <v>37219.110104018015</v>
      </c>
      <c r="Z130" s="184"/>
    </row>
    <row r="131" spans="1:26" x14ac:dyDescent="0.2">
      <c r="A131" s="66">
        <f>A130+1</f>
        <v>124</v>
      </c>
      <c r="B131" s="48">
        <v>54</v>
      </c>
      <c r="C131" s="107" t="s">
        <v>235</v>
      </c>
      <c r="D131" s="49">
        <v>225</v>
      </c>
      <c r="E131" s="66" t="str">
        <f>'Exh CTM-7 (Tariff Rates Y1)'!G150</f>
        <v>per lamp</v>
      </c>
      <c r="F131" s="107" t="s">
        <v>56</v>
      </c>
      <c r="G131" s="200">
        <v>468</v>
      </c>
      <c r="H131" s="183">
        <f>VLOOKUP(J131, 'Exh CTM-7 (Unitized Costs)'!$C$27:$D$34, 2, FALSE)</f>
        <v>1576.8033333333335</v>
      </c>
      <c r="I131" s="201">
        <f>IFERROR(IF(F131="Company",H131*G131/12, 0), 0)</f>
        <v>0</v>
      </c>
      <c r="J131" s="184">
        <v>240</v>
      </c>
      <c r="K131" s="201">
        <v>69.495762573691295</v>
      </c>
      <c r="L131" s="14">
        <f>K131*G131</f>
        <v>32524.016884487526</v>
      </c>
      <c r="M131" s="118">
        <f>IF(F131="Company", 'Exh CTM-7 (Unitized Costs)'!$D$18*H131/K131, 0)</f>
        <v>0</v>
      </c>
      <c r="N131" s="118">
        <f>$N$9</f>
        <v>0.2294659292840994</v>
      </c>
      <c r="O131" s="202">
        <f>SUM(M131:N131)</f>
        <v>0.2294659292840994</v>
      </c>
      <c r="P131" s="84">
        <f>K131*M131</f>
        <v>0</v>
      </c>
      <c r="Q131" s="84">
        <f>K131*N131</f>
        <v>15.946909740279208</v>
      </c>
      <c r="R131" s="199">
        <f>SUM(P131:Q131)</f>
        <v>15.946909740279208</v>
      </c>
      <c r="S131" s="13">
        <v>0.24737155530318816</v>
      </c>
      <c r="T131" s="199">
        <f>S131*K131</f>
        <v>17.191274874835109</v>
      </c>
      <c r="U131" s="82">
        <f>($U$192*(V131/$V$192))</f>
        <v>5336.8220284763529</v>
      </c>
      <c r="V131" s="82">
        <f>IF(E131="per lamp", R131*G131, O131*L131)</f>
        <v>7463.1537584506696</v>
      </c>
      <c r="W131" s="82">
        <f>IF(E131="per lamp", T131*G131, S131*L131)</f>
        <v>8045.5166414228315</v>
      </c>
      <c r="Z131" s="184"/>
    </row>
    <row r="132" spans="1:26" x14ac:dyDescent="0.2">
      <c r="A132" s="66">
        <f>A131+1</f>
        <v>125</v>
      </c>
      <c r="B132" s="48">
        <v>54</v>
      </c>
      <c r="C132" s="107" t="s">
        <v>236</v>
      </c>
      <c r="D132" s="49">
        <v>255</v>
      </c>
      <c r="E132" s="66" t="str">
        <f>'Exh CTM-7 (Tariff Rates Y1)'!G151</f>
        <v>per lamp</v>
      </c>
      <c r="F132" s="107" t="s">
        <v>56</v>
      </c>
      <c r="G132" s="200">
        <v>48</v>
      </c>
      <c r="H132" s="183">
        <f>VLOOKUP(J132, 'Exh CTM-7 (Unitized Costs)'!$C$27:$D$34, 2, FALSE)</f>
        <v>1602.95</v>
      </c>
      <c r="I132" s="201">
        <f>IFERROR(IF(F132="Company",H132*G132/12, 0), 0)</f>
        <v>0</v>
      </c>
      <c r="J132" s="184">
        <v>340</v>
      </c>
      <c r="K132" s="201">
        <v>92.063107873663981</v>
      </c>
      <c r="L132" s="14">
        <f>K132*G132</f>
        <v>4419.0291779358713</v>
      </c>
      <c r="M132" s="118">
        <f>IF(F132="Company", 'Exh CTM-7 (Unitized Costs)'!$D$18*H132/K132, 0)</f>
        <v>0</v>
      </c>
      <c r="N132" s="118">
        <f>$N$9</f>
        <v>0.2294659292840994</v>
      </c>
      <c r="O132" s="202">
        <f>SUM(M132:N132)</f>
        <v>0.2294659292840994</v>
      </c>
      <c r="P132" s="84">
        <f>K132*M132</f>
        <v>0</v>
      </c>
      <c r="Q132" s="84">
        <f>K132*N132</f>
        <v>21.125346601012595</v>
      </c>
      <c r="R132" s="199">
        <f>SUM(P132:Q132)</f>
        <v>21.125346601012595</v>
      </c>
      <c r="S132" s="13">
        <v>0.24737155530318816</v>
      </c>
      <c r="T132" s="199">
        <f>S132*K132</f>
        <v>22.773794180753448</v>
      </c>
      <c r="U132" s="82">
        <f>($U$192*(V132/$V$192))</f>
        <v>725.1125328414214</v>
      </c>
      <c r="V132" s="82">
        <f>IF(E132="per lamp", R132*G132, O132*L132)</f>
        <v>1014.0166368486045</v>
      </c>
      <c r="W132" s="82">
        <f>IF(E132="per lamp", T132*G132, S132*L132)</f>
        <v>1093.1421206761656</v>
      </c>
      <c r="Z132" s="184"/>
    </row>
    <row r="133" spans="1:26" x14ac:dyDescent="0.2">
      <c r="A133" s="66">
        <f>A132+1</f>
        <v>126</v>
      </c>
      <c r="B133" s="48">
        <v>54</v>
      </c>
      <c r="C133" s="107" t="s">
        <v>237</v>
      </c>
      <c r="D133" s="49">
        <v>285</v>
      </c>
      <c r="E133" s="66" t="str">
        <f>'Exh CTM-7 (Tariff Rates Y1)'!G152</f>
        <v>per lamp</v>
      </c>
      <c r="F133" s="107" t="s">
        <v>56</v>
      </c>
      <c r="G133" s="200">
        <v>0</v>
      </c>
      <c r="H133" s="183">
        <f>VLOOKUP(J133, 'Exh CTM-7 (Unitized Costs)'!$C$27:$D$34, 2, FALSE)</f>
        <v>1602.95</v>
      </c>
      <c r="I133" s="201">
        <f>IFERROR(IF(F133="Company",H133*G133/12, 0), 0)</f>
        <v>0</v>
      </c>
      <c r="J133" s="184">
        <v>340</v>
      </c>
      <c r="K133" s="201">
        <v>92.063107873663981</v>
      </c>
      <c r="L133" s="14">
        <f>K133*G133</f>
        <v>0</v>
      </c>
      <c r="M133" s="118">
        <f>IF(F133="Company", 'Exh CTM-7 (Unitized Costs)'!$D$18*H133/K133, 0)</f>
        <v>0</v>
      </c>
      <c r="N133" s="118">
        <f>$N$9</f>
        <v>0.2294659292840994</v>
      </c>
      <c r="O133" s="202">
        <f>SUM(M133:N133)</f>
        <v>0.2294659292840994</v>
      </c>
      <c r="P133" s="84">
        <f>K133*M133</f>
        <v>0</v>
      </c>
      <c r="Q133" s="84">
        <f>K133*N133</f>
        <v>21.125346601012595</v>
      </c>
      <c r="R133" s="199">
        <f>SUM(P133:Q133)</f>
        <v>21.125346601012595</v>
      </c>
      <c r="S133" s="13">
        <v>0.24737155530318816</v>
      </c>
      <c r="T133" s="199">
        <f>S133*K133</f>
        <v>22.773794180753448</v>
      </c>
      <c r="U133" s="82">
        <f>($U$192*(V133/$V$192))</f>
        <v>0</v>
      </c>
      <c r="V133" s="82">
        <f>IF(E133="per lamp", R133*G133, O133*L133)</f>
        <v>0</v>
      </c>
      <c r="W133" s="82">
        <f>IF(E133="per lamp", T133*G133, S133*L133)</f>
        <v>0</v>
      </c>
      <c r="Z133" s="184"/>
    </row>
    <row r="134" spans="1:26" x14ac:dyDescent="0.2">
      <c r="A134" s="66">
        <f>A133+1</f>
        <v>127</v>
      </c>
      <c r="B134" s="52"/>
      <c r="C134" s="205"/>
      <c r="D134" s="53"/>
      <c r="E134" s="205"/>
      <c r="F134" s="205"/>
      <c r="G134" s="205"/>
      <c r="H134" s="205"/>
      <c r="I134" s="205"/>
      <c r="J134" s="205"/>
      <c r="K134" s="205"/>
      <c r="L134" s="16"/>
      <c r="M134" s="205"/>
      <c r="N134" s="205"/>
      <c r="O134" s="206"/>
      <c r="P134" s="205"/>
      <c r="Q134" s="205"/>
      <c r="R134" s="206"/>
      <c r="S134" s="15"/>
      <c r="T134" s="206"/>
      <c r="U134" s="207"/>
      <c r="V134" s="207"/>
      <c r="W134" s="207"/>
      <c r="Z134" s="184"/>
    </row>
    <row r="135" spans="1:26" x14ac:dyDescent="0.2">
      <c r="A135" s="66">
        <f>A134+1</f>
        <v>128</v>
      </c>
      <c r="B135" s="48" t="s">
        <v>284</v>
      </c>
      <c r="C135" s="107" t="s">
        <v>239</v>
      </c>
      <c r="D135" s="49">
        <v>70</v>
      </c>
      <c r="E135" s="66" t="str">
        <f>'Exh CTM-7 (Tariff Rates Y1)'!G154</f>
        <v>per lamp</v>
      </c>
      <c r="F135" s="107" t="s">
        <v>57</v>
      </c>
      <c r="G135" s="200">
        <v>170</v>
      </c>
      <c r="H135" s="183">
        <f>VLOOKUP(J135, 'Exh CTM-7 (Unitized Costs)'!$C$27:$D$34, 2, FALSE)</f>
        <v>1562.875</v>
      </c>
      <c r="I135" s="201">
        <f>IFERROR(IF(F135="Company",H135*G135/12, 0), 0)</f>
        <v>22140.729166666668</v>
      </c>
      <c r="J135" s="184">
        <v>90</v>
      </c>
      <c r="K135" s="201">
        <v>26.186795286420214</v>
      </c>
      <c r="L135" s="14">
        <f>K135*G135</f>
        <v>4451.7551986914359</v>
      </c>
      <c r="M135" s="118">
        <f>IF(F135="Company", 'Exh CTM-7 (Unitized Costs)'!$D$18*H135/K135, 0)</f>
        <v>0.27309873847041366</v>
      </c>
      <c r="N135" s="118">
        <f>$N$9</f>
        <v>0.2294659292840994</v>
      </c>
      <c r="O135" s="202">
        <f>SUM(M135:N135)</f>
        <v>0.50256466775451303</v>
      </c>
      <c r="P135" s="84">
        <f>K135*M135</f>
        <v>7.1515807573043348</v>
      </c>
      <c r="Q135" s="84">
        <f>K135*N135</f>
        <v>6.0089773153708883</v>
      </c>
      <c r="R135" s="199">
        <f>SUM(P135:Q135)</f>
        <v>13.160558072675222</v>
      </c>
      <c r="S135" s="13">
        <v>0.55395894337381346</v>
      </c>
      <c r="T135" s="199">
        <f>S135*K135</f>
        <v>14.5064094472117</v>
      </c>
      <c r="U135" s="82">
        <f>($U$192*(V135/$V$192))</f>
        <v>1599.865813492089</v>
      </c>
      <c r="V135" s="82">
        <f>IF(E135="per lamp", R135*G135, O135*L135)</f>
        <v>2237.2948723547879</v>
      </c>
      <c r="W135" s="82">
        <f>IF(E135="per lamp", T135*G135, S135*L135)</f>
        <v>2466.0896060259888</v>
      </c>
      <c r="Z135" s="184"/>
    </row>
    <row r="136" spans="1:26" x14ac:dyDescent="0.2">
      <c r="A136" s="66">
        <f>A135+1</f>
        <v>129</v>
      </c>
      <c r="B136" s="48" t="s">
        <v>284</v>
      </c>
      <c r="C136" s="107" t="s">
        <v>240</v>
      </c>
      <c r="D136" s="49">
        <v>100</v>
      </c>
      <c r="E136" s="66" t="str">
        <f>'Exh CTM-7 (Tariff Rates Y1)'!G155</f>
        <v>per lamp</v>
      </c>
      <c r="F136" s="107" t="s">
        <v>57</v>
      </c>
      <c r="G136" s="200">
        <v>42182</v>
      </c>
      <c r="H136" s="183">
        <f>VLOOKUP(J136, 'Exh CTM-7 (Unitized Costs)'!$C$27:$D$34, 2, FALSE)</f>
        <v>1456.9933333333331</v>
      </c>
      <c r="I136" s="201">
        <f>IFERROR(IF(F136="Company",H136*G136/12, 0), 0)</f>
        <v>5121574.3988888878</v>
      </c>
      <c r="J136" s="184">
        <v>150</v>
      </c>
      <c r="K136" s="201">
        <v>39.674794170929992</v>
      </c>
      <c r="L136" s="14">
        <f>K136*G136</f>
        <v>1673562.167718169</v>
      </c>
      <c r="M136" s="118">
        <f>IF(F136="Company", 'Exh CTM-7 (Unitized Costs)'!$D$18*H136/K136, 0)</f>
        <v>0.16804310021968036</v>
      </c>
      <c r="N136" s="118">
        <f>$N$9</f>
        <v>0.2294659292840994</v>
      </c>
      <c r="O136" s="202">
        <f>SUM(M136:N136)</f>
        <v>0.39750902950377975</v>
      </c>
      <c r="P136" s="84">
        <f>K136*M136</f>
        <v>6.667075413060779</v>
      </c>
      <c r="Q136" s="84">
        <f>K136*N136</f>
        <v>9.1040135135878213</v>
      </c>
      <c r="R136" s="199">
        <f>SUM(P136:Q136)</f>
        <v>15.7710889266486</v>
      </c>
      <c r="S136" s="13">
        <v>0.43602088948978157</v>
      </c>
      <c r="T136" s="199">
        <f>S136*K136</f>
        <v>17.299039044732897</v>
      </c>
      <c r="U136" s="82">
        <f>($U$192*(V136/$V$192))</f>
        <v>475717.55593248893</v>
      </c>
      <c r="V136" s="82">
        <f>IF(E136="per lamp", R136*G136, O136*L136)</f>
        <v>665256.07310389122</v>
      </c>
      <c r="W136" s="82">
        <f>IF(E136="per lamp", T136*G136, S136*L136)</f>
        <v>729708.06498492311</v>
      </c>
      <c r="Z136" s="184"/>
    </row>
    <row r="137" spans="1:26" x14ac:dyDescent="0.2">
      <c r="A137" s="66">
        <f>A136+1</f>
        <v>130</v>
      </c>
      <c r="B137" s="48" t="s">
        <v>284</v>
      </c>
      <c r="C137" s="107" t="s">
        <v>241</v>
      </c>
      <c r="D137" s="49">
        <v>150</v>
      </c>
      <c r="E137" s="66" t="str">
        <f>'Exh CTM-7 (Tariff Rates Y1)'!G156</f>
        <v>per lamp</v>
      </c>
      <c r="F137" s="107" t="s">
        <v>57</v>
      </c>
      <c r="G137" s="200">
        <v>5620</v>
      </c>
      <c r="H137" s="183">
        <f>VLOOKUP(J137, 'Exh CTM-7 (Unitized Costs)'!$C$27:$D$34, 2, FALSE)</f>
        <v>1456.9933333333331</v>
      </c>
      <c r="I137" s="201">
        <f>IFERROR(IF(F137="Company",H137*G137/12, 0), 0)</f>
        <v>682358.54444444436</v>
      </c>
      <c r="J137" s="184">
        <v>150</v>
      </c>
      <c r="K137" s="201">
        <v>39.674794170929992</v>
      </c>
      <c r="L137" s="14">
        <f>K137*G137</f>
        <v>222972.34324062656</v>
      </c>
      <c r="M137" s="118">
        <f>IF(F137="Company", 'Exh CTM-7 (Unitized Costs)'!$D$18*H137/K137, 0)</f>
        <v>0.16804310021968036</v>
      </c>
      <c r="N137" s="118">
        <f>$N$9</f>
        <v>0.2294659292840994</v>
      </c>
      <c r="O137" s="202">
        <f>SUM(M137:N137)</f>
        <v>0.39750902950377975</v>
      </c>
      <c r="P137" s="84">
        <f>K137*M137</f>
        <v>6.667075413060779</v>
      </c>
      <c r="Q137" s="84">
        <f>K137*N137</f>
        <v>9.1040135135878213</v>
      </c>
      <c r="R137" s="199">
        <f>SUM(P137:Q137)</f>
        <v>15.7710889266486</v>
      </c>
      <c r="S137" s="13">
        <v>0.43602088948978157</v>
      </c>
      <c r="T137" s="199">
        <f>S137*K137</f>
        <v>17.299039044732897</v>
      </c>
      <c r="U137" s="82">
        <f>($U$192*(V137/$V$192))</f>
        <v>63380.8891076902</v>
      </c>
      <c r="V137" s="82">
        <f>IF(E137="per lamp", R137*G137, O137*L137)</f>
        <v>88633.51976776513</v>
      </c>
      <c r="W137" s="82">
        <f>IF(E137="per lamp", T137*G137, S137*L137)</f>
        <v>97220.599431398878</v>
      </c>
      <c r="Z137" s="184"/>
    </row>
    <row r="138" spans="1:26" x14ac:dyDescent="0.2">
      <c r="A138" s="66">
        <f>A137+1</f>
        <v>131</v>
      </c>
      <c r="B138" s="48" t="s">
        <v>284</v>
      </c>
      <c r="C138" s="107" t="s">
        <v>242</v>
      </c>
      <c r="D138" s="49">
        <v>200</v>
      </c>
      <c r="E138" s="66" t="str">
        <f>'Exh CTM-7 (Tariff Rates Y1)'!G157</f>
        <v>per lamp</v>
      </c>
      <c r="F138" s="107" t="s">
        <v>57</v>
      </c>
      <c r="G138" s="200">
        <v>11814</v>
      </c>
      <c r="H138" s="183">
        <f>VLOOKUP(J138, 'Exh CTM-7 (Unitized Costs)'!$C$27:$D$34, 2, FALSE)</f>
        <v>1576.8033333333335</v>
      </c>
      <c r="I138" s="201">
        <f>IFERROR(IF(F138="Company",H138*G138/12, 0), 0)</f>
        <v>1552362.8816666668</v>
      </c>
      <c r="J138" s="184">
        <v>240</v>
      </c>
      <c r="K138" s="201">
        <v>69.495762573691295</v>
      </c>
      <c r="L138" s="14">
        <f>K138*G138</f>
        <v>821022.93904558895</v>
      </c>
      <c r="M138" s="118">
        <f>IF(F138="Company", 'Exh CTM-7 (Unitized Costs)'!$D$18*H138/K138, 0)</f>
        <v>0.10382382087979253</v>
      </c>
      <c r="N138" s="118">
        <f>$N$9</f>
        <v>0.2294659292840994</v>
      </c>
      <c r="O138" s="202">
        <f>SUM(M138:N138)</f>
        <v>0.33328975016389195</v>
      </c>
      <c r="P138" s="84">
        <f>K138*M138</f>
        <v>7.2153156053555145</v>
      </c>
      <c r="Q138" s="84">
        <f>K138*N138</f>
        <v>15.946909740279208</v>
      </c>
      <c r="R138" s="199">
        <f>SUM(P138:Q138)</f>
        <v>23.162225345634724</v>
      </c>
      <c r="S138" s="13">
        <v>0.3639267405864644</v>
      </c>
      <c r="T138" s="199">
        <f>S138*K138</f>
        <v>25.291366358014272</v>
      </c>
      <c r="U138" s="82">
        <f>($U$192*(V138/$V$192))</f>
        <v>195676.00819365776</v>
      </c>
      <c r="V138" s="82">
        <f>IF(E138="per lamp", R138*G138, O138*L138)</f>
        <v>273638.53023332864</v>
      </c>
      <c r="W138" s="82">
        <f>IF(E138="per lamp", T138*G138, S138*L138)</f>
        <v>298792.20215358061</v>
      </c>
      <c r="Z138" s="184"/>
    </row>
    <row r="139" spans="1:26" x14ac:dyDescent="0.2">
      <c r="A139" s="66">
        <f>A138+1</f>
        <v>132</v>
      </c>
      <c r="B139" s="48" t="s">
        <v>284</v>
      </c>
      <c r="C139" s="107" t="s">
        <v>243</v>
      </c>
      <c r="D139" s="49">
        <v>250</v>
      </c>
      <c r="E139" s="66" t="str">
        <f>'Exh CTM-7 (Tariff Rates Y1)'!G158</f>
        <v>per lamp</v>
      </c>
      <c r="F139" s="107" t="s">
        <v>57</v>
      </c>
      <c r="G139" s="200">
        <v>1249</v>
      </c>
      <c r="H139" s="183">
        <f>VLOOKUP(J139, 'Exh CTM-7 (Unitized Costs)'!$C$27:$D$34, 2, FALSE)</f>
        <v>1602.95</v>
      </c>
      <c r="I139" s="201">
        <f>IFERROR(IF(F139="Company",H139*G139/12, 0), 0)</f>
        <v>166840.37916666668</v>
      </c>
      <c r="J139" s="184">
        <v>340</v>
      </c>
      <c r="K139" s="201">
        <v>92.063107873663981</v>
      </c>
      <c r="L139" s="14">
        <f>K139*G139</f>
        <v>114986.82173420631</v>
      </c>
      <c r="M139" s="118">
        <f>IF(F139="Company", 'Exh CTM-7 (Unitized Costs)'!$D$18*H139/K139, 0)</f>
        <v>7.9673179179411996E-2</v>
      </c>
      <c r="N139" s="118">
        <f>$N$9</f>
        <v>0.2294659292840994</v>
      </c>
      <c r="O139" s="202">
        <f>SUM(M139:N139)</f>
        <v>0.30913910846351139</v>
      </c>
      <c r="P139" s="84">
        <f>K139*M139</f>
        <v>7.3349604894319658</v>
      </c>
      <c r="Q139" s="84">
        <f>K139*N139</f>
        <v>21.125346601012595</v>
      </c>
      <c r="R139" s="199">
        <f>SUM(P139:Q139)</f>
        <v>28.460307090444559</v>
      </c>
      <c r="S139" s="13">
        <v>0.33681463380552679</v>
      </c>
      <c r="T139" s="199">
        <f>S139*K139</f>
        <v>31.008201965466842</v>
      </c>
      <c r="U139" s="82">
        <f>($U$192*(V139/$V$192))</f>
        <v>25419.227690871416</v>
      </c>
      <c r="V139" s="82">
        <f>IF(E139="per lamp", R139*G139, O139*L139)</f>
        <v>35546.923555965252</v>
      </c>
      <c r="W139" s="82">
        <f>IF(E139="per lamp", T139*G139, S139*L139)</f>
        <v>38729.244254868085</v>
      </c>
      <c r="Z139" s="184"/>
    </row>
    <row r="140" spans="1:26" x14ac:dyDescent="0.2">
      <c r="A140" s="66">
        <f>A139+1</f>
        <v>133</v>
      </c>
      <c r="B140" s="48" t="s">
        <v>284</v>
      </c>
      <c r="C140" s="107" t="s">
        <v>245</v>
      </c>
      <c r="D140" s="49">
        <v>400</v>
      </c>
      <c r="E140" s="66" t="str">
        <f>'Exh CTM-7 (Tariff Rates Y1)'!G159</f>
        <v>per lamp</v>
      </c>
      <c r="F140" s="107" t="s">
        <v>57</v>
      </c>
      <c r="G140" s="200">
        <v>468</v>
      </c>
      <c r="H140" s="183">
        <f>VLOOKUP(J140, 'Exh CTM-7 (Unitized Costs)'!$C$27:$D$34, 2, FALSE)</f>
        <v>1388.9766666666667</v>
      </c>
      <c r="I140" s="201">
        <f>IFERROR(IF(F140="Company",H140*G140/12, 0), 0)</f>
        <v>54170.09</v>
      </c>
      <c r="J140" s="184">
        <v>600</v>
      </c>
      <c r="K140" s="201">
        <v>144.31146442180207</v>
      </c>
      <c r="L140" s="14">
        <f>K140*G140</f>
        <v>67537.765349403373</v>
      </c>
      <c r="M140" s="118">
        <f>IF(F140="Company", 'Exh CTM-7 (Unitized Costs)'!$D$18*H140/K140, 0)</f>
        <v>4.404249556784353E-2</v>
      </c>
      <c r="N140" s="118">
        <f>$N$9</f>
        <v>0.2294659292840994</v>
      </c>
      <c r="O140" s="202">
        <f>SUM(M140:N140)</f>
        <v>0.27350842485194293</v>
      </c>
      <c r="P140" s="84">
        <f>K140*M140</f>
        <v>6.3558370321862272</v>
      </c>
      <c r="Q140" s="84">
        <f>K140*N140</f>
        <v>33.114564289898063</v>
      </c>
      <c r="R140" s="199">
        <f>SUM(P140:Q140)</f>
        <v>39.470401322084292</v>
      </c>
      <c r="S140" s="13">
        <v>0.2968147484716549</v>
      </c>
      <c r="T140" s="199">
        <f>S140*K140</f>
        <v>42.833771013933358</v>
      </c>
      <c r="U140" s="82">
        <f>($U$192*(V140/$V$192))</f>
        <v>13209.236816362234</v>
      </c>
      <c r="V140" s="82">
        <f>IF(E140="per lamp", R140*G140, O140*L140)</f>
        <v>18472.147818735448</v>
      </c>
      <c r="W140" s="82">
        <f>IF(E140="per lamp", T140*G140, S140*L140)</f>
        <v>20046.204834520813</v>
      </c>
      <c r="Z140" s="184"/>
    </row>
    <row r="141" spans="1:26" x14ac:dyDescent="0.2">
      <c r="A141" s="66">
        <f>A140+1</f>
        <v>134</v>
      </c>
      <c r="B141" s="48" t="s">
        <v>284</v>
      </c>
      <c r="C141" s="107" t="s">
        <v>250</v>
      </c>
      <c r="D141" s="49">
        <v>250</v>
      </c>
      <c r="E141" s="66" t="str">
        <f>'Exh CTM-7 (Tariff Rates Y1)'!G161</f>
        <v>per lamp</v>
      </c>
      <c r="F141" s="107" t="s">
        <v>57</v>
      </c>
      <c r="G141" s="200">
        <v>80</v>
      </c>
      <c r="H141" s="183">
        <f>VLOOKUP(J141, 'Exh CTM-7 (Unitized Costs)'!$C$27:$D$34, 2, FALSE)</f>
        <v>1602.95</v>
      </c>
      <c r="I141" s="201">
        <f>IFERROR(IF(F141="Company",H141*G141/12, 0), 0)</f>
        <v>10686.333333333334</v>
      </c>
      <c r="J141" s="184">
        <v>340</v>
      </c>
      <c r="K141" s="201">
        <v>92.063107873663981</v>
      </c>
      <c r="L141" s="14">
        <f>K141*G141</f>
        <v>7365.0486298931182</v>
      </c>
      <c r="M141" s="118">
        <f>IF(F141="Company", 'Exh CTM-7 (Unitized Costs)'!$D$18*H141/K141, 0)</f>
        <v>7.9673179179411996E-2</v>
      </c>
      <c r="N141" s="118">
        <f>$N$9</f>
        <v>0.2294659292840994</v>
      </c>
      <c r="O141" s="202">
        <f>SUM(M141:N141)</f>
        <v>0.30913910846351139</v>
      </c>
      <c r="P141" s="84">
        <f>K141*M141</f>
        <v>7.3349604894319658</v>
      </c>
      <c r="Q141" s="84">
        <f>K141*N141</f>
        <v>21.125346601012595</v>
      </c>
      <c r="R141" s="199">
        <f>SUM(P141:Q141)</f>
        <v>28.460307090444559</v>
      </c>
      <c r="S141" s="13">
        <v>0.33681463380552679</v>
      </c>
      <c r="T141" s="199">
        <f>S141*K141</f>
        <v>31.008201965466842</v>
      </c>
      <c r="U141" s="82">
        <f>($U$192*(V141/$V$192))</f>
        <v>1628.1330786787137</v>
      </c>
      <c r="V141" s="82">
        <f>IF(E141="per lamp", R141*G141, O141*L141)</f>
        <v>2276.8245672355647</v>
      </c>
      <c r="W141" s="82">
        <f>IF(E141="per lamp", T141*G141, S141*L141)</f>
        <v>2480.6561572373475</v>
      </c>
      <c r="Z141" s="184"/>
    </row>
    <row r="142" spans="1:26" x14ac:dyDescent="0.2">
      <c r="A142" s="66">
        <f>A141+1</f>
        <v>135</v>
      </c>
      <c r="B142" s="48" t="s">
        <v>284</v>
      </c>
      <c r="C142" s="107" t="s">
        <v>228</v>
      </c>
      <c r="D142" s="49">
        <v>15</v>
      </c>
      <c r="E142" s="66" t="str">
        <f>'Exh CTM-7 (Tariff Rates Y1)'!G163</f>
        <v>per lamp</v>
      </c>
      <c r="F142" s="107" t="s">
        <v>57</v>
      </c>
      <c r="G142" s="200">
        <v>0</v>
      </c>
      <c r="H142" s="183">
        <f>VLOOKUP(J142, 'Exh CTM-7 (Unitized Costs)'!$C$27:$D$34, 2, FALSE)</f>
        <v>1426.7</v>
      </c>
      <c r="I142" s="201">
        <f>IFERROR(IF(F142="Company",H142*G142/12, 0), 0)</f>
        <v>0</v>
      </c>
      <c r="J142" s="184">
        <v>30</v>
      </c>
      <c r="K142" s="201">
        <v>7.4297601011292338</v>
      </c>
      <c r="L142" s="14">
        <f>K142*G142</f>
        <v>0</v>
      </c>
      <c r="M142" s="118">
        <f>IF(F142="Company", 'Exh CTM-7 (Unitized Costs)'!$D$18*H142/K142, 0)</f>
        <v>0.87868997818050398</v>
      </c>
      <c r="N142" s="118">
        <f>$N$9</f>
        <v>0.2294659292840994</v>
      </c>
      <c r="O142" s="202">
        <f>SUM(M142:N142)</f>
        <v>1.1081559074646035</v>
      </c>
      <c r="P142" s="84">
        <f>K142*M142</f>
        <v>6.5284557411476252</v>
      </c>
      <c r="Q142" s="84">
        <f>K142*N142</f>
        <v>1.704876805963544</v>
      </c>
      <c r="R142" s="199">
        <f>SUM(P142:Q142)</f>
        <v>8.2333325471111696</v>
      </c>
      <c r="S142" s="13">
        <v>1.2338106243484692</v>
      </c>
      <c r="T142" s="199">
        <f>S142*K142</f>
        <v>9.166916949133606</v>
      </c>
      <c r="U142" s="82">
        <f>($U$192*(V142/$V$192))</f>
        <v>0</v>
      </c>
      <c r="V142" s="82">
        <f>IF(E142="per lamp", R142*G142, O142*L142)</f>
        <v>0</v>
      </c>
      <c r="W142" s="82">
        <f>IF(E142="per lamp", T142*G142, S142*L142)</f>
        <v>0</v>
      </c>
      <c r="Z142" s="184"/>
    </row>
    <row r="143" spans="1:26" x14ac:dyDescent="0.2">
      <c r="A143" s="66">
        <f>A142+1</f>
        <v>136</v>
      </c>
      <c r="B143" s="48" t="s">
        <v>284</v>
      </c>
      <c r="C143" s="107" t="s">
        <v>229</v>
      </c>
      <c r="D143" s="49">
        <v>45</v>
      </c>
      <c r="E143" s="66" t="str">
        <f>'Exh CTM-7 (Tariff Rates Y1)'!G164</f>
        <v>per lamp</v>
      </c>
      <c r="F143" s="107" t="s">
        <v>57</v>
      </c>
      <c r="G143" s="200">
        <v>9435</v>
      </c>
      <c r="H143" s="183">
        <f>VLOOKUP(J143, 'Exh CTM-7 (Unitized Costs)'!$C$27:$D$34, 2, FALSE)</f>
        <v>1401.77</v>
      </c>
      <c r="I143" s="201">
        <f>IFERROR(IF(F143="Company",H143*G143/12, 0), 0)</f>
        <v>1102141.6624999999</v>
      </c>
      <c r="J143" s="184">
        <v>60</v>
      </c>
      <c r="K143" s="201">
        <v>16.236746289282937</v>
      </c>
      <c r="L143" s="14">
        <f>K143*G143</f>
        <v>153193.70123938451</v>
      </c>
      <c r="M143" s="118">
        <f>IF(F143="Company", 'Exh CTM-7 (Unitized Costs)'!$D$18*H143/K143, 0)</f>
        <v>0.3950531777840206</v>
      </c>
      <c r="N143" s="118">
        <f>$N$9</f>
        <v>0.2294659292840994</v>
      </c>
      <c r="O143" s="202">
        <f>SUM(M143:N143)</f>
        <v>0.62451910706811997</v>
      </c>
      <c r="P143" s="84">
        <f>K143*M143</f>
        <v>6.4143782184541287</v>
      </c>
      <c r="Q143" s="84">
        <f>K143*N143</f>
        <v>3.7257800758204618</v>
      </c>
      <c r="R143" s="199">
        <f>SUM(P143:Q143)</f>
        <v>10.14015829427459</v>
      </c>
      <c r="S143" s="13">
        <v>0.69086800865251297</v>
      </c>
      <c r="T143" s="199">
        <f>S143*K143</f>
        <v>11.217448575872982</v>
      </c>
      <c r="U143" s="82">
        <f>($U$192*(V143/$V$192))</f>
        <v>68414.312997946443</v>
      </c>
      <c r="V143" s="82">
        <f>IF(E143="per lamp", R143*G143, O143*L143)</f>
        <v>95672.393506480759</v>
      </c>
      <c r="W143" s="82">
        <f>IF(E143="per lamp", T143*G143, S143*L143)</f>
        <v>105836.62731336159</v>
      </c>
      <c r="Z143" s="184"/>
    </row>
    <row r="144" spans="1:26" x14ac:dyDescent="0.2">
      <c r="A144" s="66">
        <f>A143+1</f>
        <v>137</v>
      </c>
      <c r="B144" s="48" t="s">
        <v>284</v>
      </c>
      <c r="C144" s="107" t="s">
        <v>230</v>
      </c>
      <c r="D144" s="49">
        <v>75</v>
      </c>
      <c r="E144" s="66" t="str">
        <f>'Exh CTM-7 (Tariff Rates Y1)'!G165</f>
        <v>per lamp</v>
      </c>
      <c r="F144" s="107" t="s">
        <v>57</v>
      </c>
      <c r="G144" s="200">
        <v>330</v>
      </c>
      <c r="H144" s="183">
        <f>VLOOKUP(J144, 'Exh CTM-7 (Unitized Costs)'!$C$27:$D$34, 2, FALSE)</f>
        <v>1562.875</v>
      </c>
      <c r="I144" s="201">
        <f>IFERROR(IF(F144="Company",H144*G144/12, 0), 0)</f>
        <v>42979.0625</v>
      </c>
      <c r="J144" s="184">
        <v>90</v>
      </c>
      <c r="K144" s="201">
        <v>26.186795286420214</v>
      </c>
      <c r="L144" s="14">
        <f>K144*G144</f>
        <v>8641.6424445186713</v>
      </c>
      <c r="M144" s="118">
        <f>IF(F144="Company", 'Exh CTM-7 (Unitized Costs)'!$D$18*H144/K144, 0)</f>
        <v>0.27309873847041366</v>
      </c>
      <c r="N144" s="118">
        <f>$N$9</f>
        <v>0.2294659292840994</v>
      </c>
      <c r="O144" s="202">
        <f>SUM(M144:N144)</f>
        <v>0.50256466775451303</v>
      </c>
      <c r="P144" s="84">
        <f>K144*M144</f>
        <v>7.1515807573043348</v>
      </c>
      <c r="Q144" s="84">
        <f>K144*N144</f>
        <v>6.0089773153708883</v>
      </c>
      <c r="R144" s="199">
        <f>SUM(P144:Q144)</f>
        <v>13.160558072675222</v>
      </c>
      <c r="S144" s="13">
        <v>0.55395894337381346</v>
      </c>
      <c r="T144" s="199">
        <f>S144*K144</f>
        <v>14.5064094472117</v>
      </c>
      <c r="U144" s="82">
        <f>($U$192*(V144/$V$192))</f>
        <v>3105.6218732493494</v>
      </c>
      <c r="V144" s="82">
        <f>IF(E144="per lamp", R144*G144, O144*L144)</f>
        <v>4342.9841639828237</v>
      </c>
      <c r="W144" s="82">
        <f>IF(E144="per lamp", T144*G144, S144*L144)</f>
        <v>4787.1151175798614</v>
      </c>
      <c r="Z144" s="184"/>
    </row>
    <row r="145" spans="1:26" x14ac:dyDescent="0.2">
      <c r="A145" s="66">
        <f>A144+1</f>
        <v>138</v>
      </c>
      <c r="B145" s="48" t="s">
        <v>284</v>
      </c>
      <c r="C145" s="107" t="s">
        <v>231</v>
      </c>
      <c r="D145" s="49">
        <v>105</v>
      </c>
      <c r="E145" s="66" t="str">
        <f>'Exh CTM-7 (Tariff Rates Y1)'!G166</f>
        <v>per lamp</v>
      </c>
      <c r="F145" s="107" t="s">
        <v>57</v>
      </c>
      <c r="G145" s="200">
        <v>1968</v>
      </c>
      <c r="H145" s="183">
        <f>VLOOKUP(J145, 'Exh CTM-7 (Unitized Costs)'!$C$27:$D$34, 2, FALSE)</f>
        <v>1456.9933333333331</v>
      </c>
      <c r="I145" s="201">
        <f>IFERROR(IF(F145="Company",H145*G145/12, 0), 0)</f>
        <v>238946.90666666662</v>
      </c>
      <c r="J145" s="184">
        <v>150</v>
      </c>
      <c r="K145" s="201">
        <v>39.674794170929992</v>
      </c>
      <c r="L145" s="14">
        <f>K145*G145</f>
        <v>78079.994928390224</v>
      </c>
      <c r="M145" s="118">
        <f>IF(F145="Company", 'Exh CTM-7 (Unitized Costs)'!$D$18*H145/K145, 0)</f>
        <v>0.16804310021968036</v>
      </c>
      <c r="N145" s="118">
        <f>$N$9</f>
        <v>0.2294659292840994</v>
      </c>
      <c r="O145" s="202">
        <f>SUM(M145:N145)</f>
        <v>0.39750902950377975</v>
      </c>
      <c r="P145" s="84">
        <f>K145*M145</f>
        <v>6.667075413060779</v>
      </c>
      <c r="Q145" s="84">
        <f>K145*N145</f>
        <v>9.1040135135878213</v>
      </c>
      <c r="R145" s="199">
        <f>SUM(P145:Q145)</f>
        <v>15.7710889266486</v>
      </c>
      <c r="S145" s="13">
        <v>0.43602088948978157</v>
      </c>
      <c r="T145" s="199">
        <f>S145*K145</f>
        <v>17.299039044732897</v>
      </c>
      <c r="U145" s="82">
        <f>($U$192*(V145/$V$192))</f>
        <v>22194.58892596696</v>
      </c>
      <c r="V145" s="82">
        <f>IF(E145="per lamp", R145*G145, O145*L145)</f>
        <v>31037.503007644445</v>
      </c>
      <c r="W145" s="82">
        <f>IF(E145="per lamp", T145*G145, S145*L145)</f>
        <v>34044.508840034345</v>
      </c>
      <c r="Z145" s="184"/>
    </row>
    <row r="146" spans="1:26" x14ac:dyDescent="0.2">
      <c r="A146" s="66">
        <f>A145+1</f>
        <v>139</v>
      </c>
      <c r="B146" s="48" t="s">
        <v>284</v>
      </c>
      <c r="C146" s="107" t="s">
        <v>232</v>
      </c>
      <c r="D146" s="49">
        <v>135</v>
      </c>
      <c r="E146" s="66" t="str">
        <f>'Exh CTM-7 (Tariff Rates Y1)'!G167</f>
        <v>per lamp</v>
      </c>
      <c r="F146" s="107" t="s">
        <v>57</v>
      </c>
      <c r="G146" s="200">
        <v>0</v>
      </c>
      <c r="H146" s="183">
        <f>VLOOKUP(J146, 'Exh CTM-7 (Unitized Costs)'!$C$27:$D$34, 2, FALSE)</f>
        <v>1456.9933333333331</v>
      </c>
      <c r="I146" s="201">
        <f>IFERROR(IF(F146="Company",H146*G146/12, 0), 0)</f>
        <v>0</v>
      </c>
      <c r="J146" s="184">
        <v>150</v>
      </c>
      <c r="K146" s="201">
        <v>39.674794170929992</v>
      </c>
      <c r="L146" s="14">
        <f>K146*G146</f>
        <v>0</v>
      </c>
      <c r="M146" s="118">
        <f>IF(F146="Company", 'Exh CTM-7 (Unitized Costs)'!$D$18*H146/K146, 0)</f>
        <v>0.16804310021968036</v>
      </c>
      <c r="N146" s="118">
        <f>$N$9</f>
        <v>0.2294659292840994</v>
      </c>
      <c r="O146" s="202">
        <f>SUM(M146:N146)</f>
        <v>0.39750902950377975</v>
      </c>
      <c r="P146" s="84">
        <f>K146*M146</f>
        <v>6.667075413060779</v>
      </c>
      <c r="Q146" s="84">
        <f>K146*N146</f>
        <v>9.1040135135878213</v>
      </c>
      <c r="R146" s="199">
        <f>SUM(P146:Q146)</f>
        <v>15.7710889266486</v>
      </c>
      <c r="S146" s="13">
        <v>0.43602088948978157</v>
      </c>
      <c r="T146" s="199">
        <f>S146*K146</f>
        <v>17.299039044732897</v>
      </c>
      <c r="U146" s="82">
        <f>($U$192*(V146/$V$192))</f>
        <v>0</v>
      </c>
      <c r="V146" s="82">
        <f>IF(E146="per lamp", R146*G146, O146*L146)</f>
        <v>0</v>
      </c>
      <c r="W146" s="82">
        <f>IF(E146="per lamp", T146*G146, S146*L146)</f>
        <v>0</v>
      </c>
      <c r="Z146" s="184"/>
    </row>
    <row r="147" spans="1:26" x14ac:dyDescent="0.2">
      <c r="A147" s="66">
        <f>A146+1</f>
        <v>140</v>
      </c>
      <c r="B147" s="48" t="s">
        <v>284</v>
      </c>
      <c r="C147" s="107" t="s">
        <v>233</v>
      </c>
      <c r="D147" s="49">
        <v>165</v>
      </c>
      <c r="E147" s="66" t="str">
        <f>'Exh CTM-7 (Tariff Rates Y1)'!G168</f>
        <v>per lamp</v>
      </c>
      <c r="F147" s="107" t="s">
        <v>57</v>
      </c>
      <c r="G147" s="200">
        <v>0</v>
      </c>
      <c r="H147" s="183">
        <f>VLOOKUP(J147, 'Exh CTM-7 (Unitized Costs)'!$C$27:$D$34, 2, FALSE)</f>
        <v>1576.8033333333335</v>
      </c>
      <c r="I147" s="201">
        <f>IFERROR(IF(F147="Company",H147*G147/12, 0), 0)</f>
        <v>0</v>
      </c>
      <c r="J147" s="184">
        <v>240</v>
      </c>
      <c r="K147" s="201">
        <v>69.495762573691295</v>
      </c>
      <c r="L147" s="14">
        <f>K147*G147</f>
        <v>0</v>
      </c>
      <c r="M147" s="118">
        <f>IF(F147="Company", 'Exh CTM-7 (Unitized Costs)'!$D$18*H147/K147, 0)</f>
        <v>0.10382382087979253</v>
      </c>
      <c r="N147" s="118">
        <f>$N$9</f>
        <v>0.2294659292840994</v>
      </c>
      <c r="O147" s="202">
        <f>SUM(M147:N147)</f>
        <v>0.33328975016389195</v>
      </c>
      <c r="P147" s="84">
        <f>K147*M147</f>
        <v>7.2153156053555145</v>
      </c>
      <c r="Q147" s="84">
        <f>K147*N147</f>
        <v>15.946909740279208</v>
      </c>
      <c r="R147" s="199">
        <f>SUM(P147:Q147)</f>
        <v>23.162225345634724</v>
      </c>
      <c r="S147" s="13">
        <v>0.3639267405864644</v>
      </c>
      <c r="T147" s="199">
        <f>S147*K147</f>
        <v>25.291366358014272</v>
      </c>
      <c r="U147" s="82">
        <f>($U$192*(V147/$V$192))</f>
        <v>0</v>
      </c>
      <c r="V147" s="82">
        <f>IF(E147="per lamp", R147*G147, O147*L147)</f>
        <v>0</v>
      </c>
      <c r="W147" s="82">
        <f>IF(E147="per lamp", T147*G147, S147*L147)</f>
        <v>0</v>
      </c>
      <c r="Z147" s="184"/>
    </row>
    <row r="148" spans="1:26" x14ac:dyDescent="0.2">
      <c r="A148" s="66">
        <f>A147+1</f>
        <v>141</v>
      </c>
      <c r="B148" s="48" t="s">
        <v>284</v>
      </c>
      <c r="C148" s="107" t="s">
        <v>234</v>
      </c>
      <c r="D148" s="49">
        <v>195</v>
      </c>
      <c r="E148" s="66" t="str">
        <f>'Exh CTM-7 (Tariff Rates Y1)'!G169</f>
        <v>per lamp</v>
      </c>
      <c r="F148" s="107" t="s">
        <v>57</v>
      </c>
      <c r="G148" s="200">
        <v>0</v>
      </c>
      <c r="H148" s="183">
        <f>VLOOKUP(J148, 'Exh CTM-7 (Unitized Costs)'!$C$27:$D$34, 2, FALSE)</f>
        <v>1576.8033333333335</v>
      </c>
      <c r="I148" s="201">
        <f>IFERROR(IF(F148="Company",H148*G148/12, 0), 0)</f>
        <v>0</v>
      </c>
      <c r="J148" s="184">
        <v>240</v>
      </c>
      <c r="K148" s="201">
        <v>69.495762573691295</v>
      </c>
      <c r="L148" s="14">
        <f>K148*G148</f>
        <v>0</v>
      </c>
      <c r="M148" s="118">
        <f>IF(F148="Company", 'Exh CTM-7 (Unitized Costs)'!$D$18*H148/K148, 0)</f>
        <v>0.10382382087979253</v>
      </c>
      <c r="N148" s="118">
        <f>$N$9</f>
        <v>0.2294659292840994</v>
      </c>
      <c r="O148" s="202">
        <f>SUM(M148:N148)</f>
        <v>0.33328975016389195</v>
      </c>
      <c r="P148" s="84">
        <f>K148*M148</f>
        <v>7.2153156053555145</v>
      </c>
      <c r="Q148" s="84">
        <f>K148*N148</f>
        <v>15.946909740279208</v>
      </c>
      <c r="R148" s="199">
        <f>SUM(P148:Q148)</f>
        <v>23.162225345634724</v>
      </c>
      <c r="S148" s="13">
        <v>0.3639267405864644</v>
      </c>
      <c r="T148" s="199">
        <f>S148*K148</f>
        <v>25.291366358014272</v>
      </c>
      <c r="U148" s="82">
        <f>($U$192*(V148/$V$192))</f>
        <v>0</v>
      </c>
      <c r="V148" s="82">
        <f>IF(E148="per lamp", R148*G148, O148*L148)</f>
        <v>0</v>
      </c>
      <c r="W148" s="82">
        <f>IF(E148="per lamp", T148*G148, S148*L148)</f>
        <v>0</v>
      </c>
      <c r="Z148" s="184"/>
    </row>
    <row r="149" spans="1:26" x14ac:dyDescent="0.2">
      <c r="A149" s="66">
        <f>A148+1</f>
        <v>142</v>
      </c>
      <c r="B149" s="48" t="s">
        <v>284</v>
      </c>
      <c r="C149" s="107" t="s">
        <v>235</v>
      </c>
      <c r="D149" s="49">
        <v>225</v>
      </c>
      <c r="E149" s="66" t="str">
        <f>'Exh CTM-7 (Tariff Rates Y1)'!G170</f>
        <v>per lamp</v>
      </c>
      <c r="F149" s="107" t="s">
        <v>57</v>
      </c>
      <c r="G149" s="200">
        <v>0</v>
      </c>
      <c r="H149" s="183">
        <f>VLOOKUP(J149, 'Exh CTM-7 (Unitized Costs)'!$C$27:$D$34, 2, FALSE)</f>
        <v>1576.8033333333335</v>
      </c>
      <c r="I149" s="201">
        <f>IFERROR(IF(F149="Company",H149*G149/12, 0), 0)</f>
        <v>0</v>
      </c>
      <c r="J149" s="184">
        <v>240</v>
      </c>
      <c r="K149" s="201">
        <v>69.495762573691295</v>
      </c>
      <c r="L149" s="14">
        <f>K149*G149</f>
        <v>0</v>
      </c>
      <c r="M149" s="118">
        <f>IF(F149="Company", 'Exh CTM-7 (Unitized Costs)'!$D$18*H149/K149, 0)</f>
        <v>0.10382382087979253</v>
      </c>
      <c r="N149" s="118">
        <f>$N$9</f>
        <v>0.2294659292840994</v>
      </c>
      <c r="O149" s="202">
        <f>SUM(M149:N149)</f>
        <v>0.33328975016389195</v>
      </c>
      <c r="P149" s="84">
        <f>K149*M149</f>
        <v>7.2153156053555145</v>
      </c>
      <c r="Q149" s="84">
        <f>K149*N149</f>
        <v>15.946909740279208</v>
      </c>
      <c r="R149" s="199">
        <f>SUM(P149:Q149)</f>
        <v>23.162225345634724</v>
      </c>
      <c r="S149" s="13">
        <v>0.3639267405864644</v>
      </c>
      <c r="T149" s="199">
        <f>S149*K149</f>
        <v>25.291366358014272</v>
      </c>
      <c r="U149" s="82">
        <f>($U$192*(V149/$V$192))</f>
        <v>0</v>
      </c>
      <c r="V149" s="82">
        <f>IF(E149="per lamp", R149*G149, O149*L149)</f>
        <v>0</v>
      </c>
      <c r="W149" s="82">
        <f>IF(E149="per lamp", T149*G149, S149*L149)</f>
        <v>0</v>
      </c>
      <c r="Z149" s="184"/>
    </row>
    <row r="150" spans="1:26" x14ac:dyDescent="0.2">
      <c r="A150" s="66">
        <f>A149+1</f>
        <v>143</v>
      </c>
      <c r="B150" s="48" t="s">
        <v>284</v>
      </c>
      <c r="C150" s="107" t="s">
        <v>236</v>
      </c>
      <c r="D150" s="49">
        <v>255</v>
      </c>
      <c r="E150" s="66" t="str">
        <f>'Exh CTM-7 (Tariff Rates Y1)'!G171</f>
        <v>per lamp</v>
      </c>
      <c r="F150" s="107" t="s">
        <v>57</v>
      </c>
      <c r="G150" s="200">
        <v>0</v>
      </c>
      <c r="H150" s="183">
        <f>VLOOKUP(J150, 'Exh CTM-7 (Unitized Costs)'!$C$27:$D$34, 2, FALSE)</f>
        <v>1602.95</v>
      </c>
      <c r="I150" s="201">
        <f>IFERROR(IF(F150="Company",H150*G150/12, 0), 0)</f>
        <v>0</v>
      </c>
      <c r="J150" s="184">
        <v>340</v>
      </c>
      <c r="K150" s="201">
        <v>92.063107873663981</v>
      </c>
      <c r="L150" s="14">
        <f>K150*G150</f>
        <v>0</v>
      </c>
      <c r="M150" s="118">
        <f>IF(F150="Company", 'Exh CTM-7 (Unitized Costs)'!$D$18*H150/K150, 0)</f>
        <v>7.9673179179411996E-2</v>
      </c>
      <c r="N150" s="118">
        <f>$N$9</f>
        <v>0.2294659292840994</v>
      </c>
      <c r="O150" s="202">
        <f>SUM(M150:N150)</f>
        <v>0.30913910846351139</v>
      </c>
      <c r="P150" s="84">
        <f>K150*M150</f>
        <v>7.3349604894319658</v>
      </c>
      <c r="Q150" s="84">
        <f>K150*N150</f>
        <v>21.125346601012595</v>
      </c>
      <c r="R150" s="199">
        <f>SUM(P150:Q150)</f>
        <v>28.460307090444559</v>
      </c>
      <c r="S150" s="13">
        <v>0.33681463380552679</v>
      </c>
      <c r="T150" s="199">
        <f>S150*K150</f>
        <v>31.008201965466842</v>
      </c>
      <c r="U150" s="82">
        <f>($U$192*(V150/$V$192))</f>
        <v>0</v>
      </c>
      <c r="V150" s="82">
        <f>IF(E150="per lamp", R150*G150, O150*L150)</f>
        <v>0</v>
      </c>
      <c r="W150" s="82">
        <f>IF(E150="per lamp", T150*G150, S150*L150)</f>
        <v>0</v>
      </c>
      <c r="Z150" s="184"/>
    </row>
    <row r="151" spans="1:26" x14ac:dyDescent="0.2">
      <c r="A151" s="66">
        <f>A150+1</f>
        <v>144</v>
      </c>
      <c r="B151" s="48" t="s">
        <v>284</v>
      </c>
      <c r="C151" s="107" t="s">
        <v>237</v>
      </c>
      <c r="D151" s="49">
        <v>285</v>
      </c>
      <c r="E151" s="66" t="str">
        <f>'Exh CTM-7 (Tariff Rates Y1)'!G172</f>
        <v>per lamp</v>
      </c>
      <c r="F151" s="107" t="s">
        <v>57</v>
      </c>
      <c r="G151" s="200">
        <v>0</v>
      </c>
      <c r="H151" s="183">
        <f>VLOOKUP(J151, 'Exh CTM-7 (Unitized Costs)'!$C$27:$D$34, 2, FALSE)</f>
        <v>1602.95</v>
      </c>
      <c r="I151" s="201">
        <f>IFERROR(IF(F151="Company",H151*G151/12, 0), 0)</f>
        <v>0</v>
      </c>
      <c r="J151" s="184">
        <v>340</v>
      </c>
      <c r="K151" s="201">
        <v>92.063107873663981</v>
      </c>
      <c r="L151" s="14">
        <f>K151*G151</f>
        <v>0</v>
      </c>
      <c r="M151" s="118">
        <f>IF(F151="Company", 'Exh CTM-7 (Unitized Costs)'!$D$18*H151/K151, 0)</f>
        <v>7.9673179179411996E-2</v>
      </c>
      <c r="N151" s="118">
        <f>$N$9</f>
        <v>0.2294659292840994</v>
      </c>
      <c r="O151" s="202">
        <f>SUM(M151:N151)</f>
        <v>0.30913910846351139</v>
      </c>
      <c r="P151" s="84">
        <f>K151*M151</f>
        <v>7.3349604894319658</v>
      </c>
      <c r="Q151" s="84">
        <f>K151*N151</f>
        <v>21.125346601012595</v>
      </c>
      <c r="R151" s="199">
        <f>SUM(P151:Q151)</f>
        <v>28.460307090444559</v>
      </c>
      <c r="S151" s="13">
        <v>0.33681463380552679</v>
      </c>
      <c r="T151" s="199">
        <f>S151*K151</f>
        <v>31.008201965466842</v>
      </c>
      <c r="U151" s="82">
        <f>($U$192*(V151/$V$192))</f>
        <v>0</v>
      </c>
      <c r="V151" s="82">
        <f>IF(E151="per lamp", R151*G151, O151*L151)</f>
        <v>0</v>
      </c>
      <c r="W151" s="82">
        <f>IF(E151="per lamp", T151*G151, S151*L151)</f>
        <v>0</v>
      </c>
      <c r="Z151" s="184"/>
    </row>
    <row r="152" spans="1:26" x14ac:dyDescent="0.2">
      <c r="A152" s="66">
        <f>A151+1</f>
        <v>145</v>
      </c>
      <c r="B152" s="52"/>
      <c r="C152" s="205"/>
      <c r="D152" s="53"/>
      <c r="E152" s="205"/>
      <c r="F152" s="205"/>
      <c r="G152" s="205"/>
      <c r="H152" s="205"/>
      <c r="I152" s="205"/>
      <c r="J152" s="205"/>
      <c r="K152" s="205"/>
      <c r="L152" s="16"/>
      <c r="M152" s="205"/>
      <c r="N152" s="205"/>
      <c r="O152" s="206"/>
      <c r="P152" s="205"/>
      <c r="Q152" s="205"/>
      <c r="R152" s="206"/>
      <c r="S152" s="15"/>
      <c r="T152" s="206"/>
      <c r="U152" s="207"/>
      <c r="V152" s="207"/>
      <c r="W152" s="207"/>
      <c r="Z152" s="184"/>
    </row>
    <row r="153" spans="1:26" x14ac:dyDescent="0.2">
      <c r="A153" s="66">
        <f>A152+1</f>
        <v>146</v>
      </c>
      <c r="B153" s="48" t="s">
        <v>285</v>
      </c>
      <c r="C153" s="107" t="s">
        <v>256</v>
      </c>
      <c r="D153" s="49">
        <v>70</v>
      </c>
      <c r="E153" s="107" t="str">
        <f>'Exh CTM-7 (Tariff Rates Y1)'!G180</f>
        <v>per lamp</v>
      </c>
      <c r="F153" s="107" t="s">
        <v>57</v>
      </c>
      <c r="G153" s="200">
        <v>614</v>
      </c>
      <c r="H153" s="183">
        <f>VLOOKUP(J153, 'Exh CTM-7 (Unitized Costs)'!$C$27:$D$34, 2, FALSE)</f>
        <v>1562.875</v>
      </c>
      <c r="I153" s="201">
        <f>IFERROR(IF(F153="Company",H153*G153/12, 0), 0)</f>
        <v>79967.104166666672</v>
      </c>
      <c r="J153" s="184">
        <v>90</v>
      </c>
      <c r="K153" s="201">
        <v>26.186795286420214</v>
      </c>
      <c r="L153" s="14">
        <f>K153*G153</f>
        <v>16078.69230586201</v>
      </c>
      <c r="M153" s="118">
        <f>IF(F153="Company", 'Exh CTM-7 (Unitized Costs)'!$D$18*H153/K153, 0)</f>
        <v>0.27309873847041366</v>
      </c>
      <c r="N153" s="118">
        <f>$N$9</f>
        <v>0.2294659292840994</v>
      </c>
      <c r="O153" s="202">
        <f>SUM(M153:N153)</f>
        <v>0.50256466775451303</v>
      </c>
      <c r="P153" s="84">
        <f>K153*M153</f>
        <v>7.1515807573043348</v>
      </c>
      <c r="Q153" s="84">
        <f>K153*N153</f>
        <v>6.0089773153708883</v>
      </c>
      <c r="R153" s="199">
        <f>SUM(P153:Q153)</f>
        <v>13.160558072675222</v>
      </c>
      <c r="S153" s="13">
        <v>0.55395894337381346</v>
      </c>
      <c r="T153" s="199">
        <f>S153*K153</f>
        <v>14.5064094472117</v>
      </c>
      <c r="U153" s="82">
        <f>($U$192*(V153/$V$192))</f>
        <v>5778.3388793184868</v>
      </c>
      <c r="V153" s="82">
        <f>IF(E153="per lamp", R153*G153, O153*L153)</f>
        <v>8080.5826566225869</v>
      </c>
      <c r="W153" s="82">
        <f>IF(E153="per lamp", T153*G153, S153*L153)</f>
        <v>8906.9354005879832</v>
      </c>
      <c r="Z153" s="184"/>
    </row>
    <row r="154" spans="1:26" x14ac:dyDescent="0.2">
      <c r="A154" s="66">
        <f>A153+1</f>
        <v>147</v>
      </c>
      <c r="B154" s="48" t="s">
        <v>285</v>
      </c>
      <c r="C154" s="107" t="s">
        <v>257</v>
      </c>
      <c r="D154" s="49">
        <v>100</v>
      </c>
      <c r="E154" s="107" t="str">
        <f>'Exh CTM-7 (Tariff Rates Y1)'!G181</f>
        <v>per lamp</v>
      </c>
      <c r="F154" s="107" t="s">
        <v>57</v>
      </c>
      <c r="G154" s="200">
        <v>121</v>
      </c>
      <c r="H154" s="183">
        <f>VLOOKUP(J154, 'Exh CTM-7 (Unitized Costs)'!$C$27:$D$34, 2, FALSE)</f>
        <v>1456.9933333333331</v>
      </c>
      <c r="I154" s="201">
        <f>IFERROR(IF(F154="Company",H154*G154/12, 0), 0)</f>
        <v>14691.349444444442</v>
      </c>
      <c r="J154" s="184">
        <v>150</v>
      </c>
      <c r="K154" s="201">
        <v>39.674794170929992</v>
      </c>
      <c r="L154" s="14">
        <f>K154*G154</f>
        <v>4800.650094682529</v>
      </c>
      <c r="M154" s="118">
        <f>IF(F154="Company", 'Exh CTM-7 (Unitized Costs)'!$D$18*H154/K154, 0)</f>
        <v>0.16804310021968036</v>
      </c>
      <c r="N154" s="118">
        <f>$N$9</f>
        <v>0.2294659292840994</v>
      </c>
      <c r="O154" s="202">
        <f>SUM(M154:N154)</f>
        <v>0.39750902950377975</v>
      </c>
      <c r="P154" s="84">
        <f>K154*M154</f>
        <v>6.667075413060779</v>
      </c>
      <c r="Q154" s="84">
        <f>K154*N154</f>
        <v>9.1040135135878213</v>
      </c>
      <c r="R154" s="199">
        <f>SUM(P154:Q154)</f>
        <v>15.7710889266486</v>
      </c>
      <c r="S154" s="13">
        <v>0.43602088948978157</v>
      </c>
      <c r="T154" s="199">
        <f>S154*K154</f>
        <v>17.299039044732897</v>
      </c>
      <c r="U154" s="82">
        <f>($U$192*(V154/$V$192))</f>
        <v>1364.6063313221557</v>
      </c>
      <c r="V154" s="82">
        <f>IF(E154="per lamp", R154*G154, O154*L154)</f>
        <v>1908.3017601244806</v>
      </c>
      <c r="W154" s="82">
        <f>IF(E154="per lamp", T154*G154, S154*L154)</f>
        <v>2093.1837244126805</v>
      </c>
      <c r="Z154" s="184"/>
    </row>
    <row r="155" spans="1:26" x14ac:dyDescent="0.2">
      <c r="A155" s="66">
        <f>A154+1</f>
        <v>148</v>
      </c>
      <c r="B155" s="48" t="s">
        <v>285</v>
      </c>
      <c r="C155" s="107" t="s">
        <v>258</v>
      </c>
      <c r="D155" s="49">
        <v>150</v>
      </c>
      <c r="E155" s="107" t="str">
        <f>'Exh CTM-7 (Tariff Rates Y1)'!G182</f>
        <v>per lamp</v>
      </c>
      <c r="F155" s="107" t="s">
        <v>57</v>
      </c>
      <c r="G155" s="200">
        <v>1701</v>
      </c>
      <c r="H155" s="183">
        <f>VLOOKUP(J155, 'Exh CTM-7 (Unitized Costs)'!$C$27:$D$34, 2, FALSE)</f>
        <v>1456.9933333333331</v>
      </c>
      <c r="I155" s="201">
        <f>IFERROR(IF(F155="Company",H155*G155/12, 0), 0)</f>
        <v>206528.80499999996</v>
      </c>
      <c r="J155" s="184">
        <v>150</v>
      </c>
      <c r="K155" s="201">
        <v>39.674794170929992</v>
      </c>
      <c r="L155" s="14">
        <f>K155*G155</f>
        <v>67486.824884751913</v>
      </c>
      <c r="M155" s="118">
        <f>IF(F155="Company", 'Exh CTM-7 (Unitized Costs)'!$D$18*H155/K155, 0)</f>
        <v>0.16804310021968036</v>
      </c>
      <c r="N155" s="118">
        <f>$N$9</f>
        <v>0.2294659292840994</v>
      </c>
      <c r="O155" s="202">
        <f>SUM(M155:N155)</f>
        <v>0.39750902950377975</v>
      </c>
      <c r="P155" s="84">
        <f>K155*M155</f>
        <v>6.667075413060779</v>
      </c>
      <c r="Q155" s="84">
        <f>K155*N155</f>
        <v>9.1040135135878213</v>
      </c>
      <c r="R155" s="199">
        <f>SUM(P155:Q155)</f>
        <v>15.7710889266486</v>
      </c>
      <c r="S155" s="13">
        <v>0.43602088948978157</v>
      </c>
      <c r="T155" s="199">
        <f>S155*K155</f>
        <v>17.299039044732897</v>
      </c>
      <c r="U155" s="82">
        <f>($U$192*(V155/$V$192))</f>
        <v>19183.432806437908</v>
      </c>
      <c r="V155" s="82">
        <f>IF(E155="per lamp", R155*G155, O155*L155)</f>
        <v>26826.622264229271</v>
      </c>
      <c r="W155" s="82">
        <f>IF(E155="per lamp", T155*G155, S155*L155)</f>
        <v>29425.665415090658</v>
      </c>
      <c r="Z155" s="184"/>
    </row>
    <row r="156" spans="1:26" x14ac:dyDescent="0.2">
      <c r="A156" s="66">
        <f>A155+1</f>
        <v>149</v>
      </c>
      <c r="B156" s="48" t="s">
        <v>285</v>
      </c>
      <c r="C156" s="107" t="s">
        <v>259</v>
      </c>
      <c r="D156" s="49">
        <v>200</v>
      </c>
      <c r="E156" s="107" t="str">
        <f>'Exh CTM-7 (Tariff Rates Y1)'!G183</f>
        <v>per lamp</v>
      </c>
      <c r="F156" s="107" t="s">
        <v>57</v>
      </c>
      <c r="G156" s="200">
        <v>3072</v>
      </c>
      <c r="H156" s="183">
        <f>VLOOKUP(J156, 'Exh CTM-7 (Unitized Costs)'!$C$27:$D$34, 2, FALSE)</f>
        <v>1576.8033333333335</v>
      </c>
      <c r="I156" s="201">
        <f>IFERROR(IF(F156="Company",H156*G156/12, 0), 0)</f>
        <v>403661.65333333338</v>
      </c>
      <c r="J156" s="184">
        <v>240</v>
      </c>
      <c r="K156" s="201">
        <v>69.495762573691295</v>
      </c>
      <c r="L156" s="14">
        <f>K156*G156</f>
        <v>213490.98262637964</v>
      </c>
      <c r="M156" s="118">
        <f>IF(F156="Company", 'Exh CTM-7 (Unitized Costs)'!$D$18*H156/K156, 0)</f>
        <v>0.10382382087979253</v>
      </c>
      <c r="N156" s="118">
        <f>$N$9</f>
        <v>0.2294659292840994</v>
      </c>
      <c r="O156" s="202">
        <f>SUM(M156:N156)</f>
        <v>0.33328975016389195</v>
      </c>
      <c r="P156" s="84">
        <f>K156*M156</f>
        <v>7.2153156053555145</v>
      </c>
      <c r="Q156" s="84">
        <f>K156*N156</f>
        <v>15.946909740279208</v>
      </c>
      <c r="R156" s="199">
        <f>SUM(P156:Q156)</f>
        <v>23.162225345634724</v>
      </c>
      <c r="S156" s="13">
        <v>0.3639267405864644</v>
      </c>
      <c r="T156" s="199">
        <f>S156*K156</f>
        <v>25.291366358014272</v>
      </c>
      <c r="U156" s="82">
        <f>($U$192*(V156/$V$192))</f>
        <v>50881.724832479813</v>
      </c>
      <c r="V156" s="82">
        <f>IF(E156="per lamp", R156*G156, O156*L156)</f>
        <v>71154.356261789871</v>
      </c>
      <c r="W156" s="82">
        <f>IF(E156="per lamp", T156*G156, S156*L156)</f>
        <v>77695.077451819845</v>
      </c>
      <c r="Z156" s="184"/>
    </row>
    <row r="157" spans="1:26" x14ac:dyDescent="0.2">
      <c r="A157" s="66">
        <f>A156+1</f>
        <v>150</v>
      </c>
      <c r="B157" s="48" t="s">
        <v>285</v>
      </c>
      <c r="C157" s="107" t="s">
        <v>260</v>
      </c>
      <c r="D157" s="49">
        <v>250</v>
      </c>
      <c r="E157" s="107" t="str">
        <f>'Exh CTM-7 (Tariff Rates Y1)'!G184</f>
        <v>per lamp</v>
      </c>
      <c r="F157" s="107" t="s">
        <v>57</v>
      </c>
      <c r="G157" s="200">
        <v>459</v>
      </c>
      <c r="H157" s="183">
        <f>VLOOKUP(J157, 'Exh CTM-7 (Unitized Costs)'!$C$27:$D$34, 2, FALSE)</f>
        <v>1602.95</v>
      </c>
      <c r="I157" s="201">
        <f>IFERROR(IF(F157="Company",H157*G157/12, 0), 0)</f>
        <v>61312.837500000001</v>
      </c>
      <c r="J157" s="184">
        <v>340</v>
      </c>
      <c r="K157" s="201">
        <v>92.063107873663981</v>
      </c>
      <c r="L157" s="14">
        <f>K157*G157</f>
        <v>42256.966514011765</v>
      </c>
      <c r="M157" s="118">
        <f>IF(F157="Company", 'Exh CTM-7 (Unitized Costs)'!$D$18*H157/K157, 0)</f>
        <v>7.9673179179411996E-2</v>
      </c>
      <c r="N157" s="118">
        <f>$N$9</f>
        <v>0.2294659292840994</v>
      </c>
      <c r="O157" s="202">
        <f>SUM(M157:N157)</f>
        <v>0.30913910846351139</v>
      </c>
      <c r="P157" s="84">
        <f>K157*M157</f>
        <v>7.3349604894319658</v>
      </c>
      <c r="Q157" s="84">
        <f>K157*N157</f>
        <v>21.125346601012595</v>
      </c>
      <c r="R157" s="199">
        <f>SUM(P157:Q157)</f>
        <v>28.460307090444559</v>
      </c>
      <c r="S157" s="13">
        <v>0.33681463380552679</v>
      </c>
      <c r="T157" s="199">
        <f>S157*K157</f>
        <v>31.008201965466842</v>
      </c>
      <c r="U157" s="82">
        <f>($U$192*(V157/$V$192))</f>
        <v>9341.4135389191197</v>
      </c>
      <c r="V157" s="82">
        <f>IF(E157="per lamp", R157*G157, O157*L157)</f>
        <v>13063.280954514052</v>
      </c>
      <c r="W157" s="82">
        <f>IF(E157="per lamp", T157*G157, S157*L157)</f>
        <v>14232.764702149281</v>
      </c>
      <c r="Z157" s="184"/>
    </row>
    <row r="158" spans="1:26" x14ac:dyDescent="0.2">
      <c r="A158" s="66">
        <f>A157+1</f>
        <v>151</v>
      </c>
      <c r="B158" s="48" t="s">
        <v>285</v>
      </c>
      <c r="C158" s="107" t="s">
        <v>261</v>
      </c>
      <c r="D158" s="49">
        <v>400</v>
      </c>
      <c r="E158" s="107" t="str">
        <f>'Exh CTM-7 (Tariff Rates Y1)'!G185</f>
        <v>per lamp</v>
      </c>
      <c r="F158" s="107" t="s">
        <v>57</v>
      </c>
      <c r="G158" s="200">
        <v>4009</v>
      </c>
      <c r="H158" s="183">
        <f>VLOOKUP(J158, 'Exh CTM-7 (Unitized Costs)'!$C$27:$D$34, 2, FALSE)</f>
        <v>1388.9766666666667</v>
      </c>
      <c r="I158" s="201">
        <f>IFERROR(IF(F158="Company",H158*G158/12, 0), 0)</f>
        <v>464033.95472222223</v>
      </c>
      <c r="J158" s="184">
        <v>600</v>
      </c>
      <c r="K158" s="201">
        <v>144.31146442180207</v>
      </c>
      <c r="L158" s="14">
        <f>K158*G158</f>
        <v>578544.66086700454</v>
      </c>
      <c r="M158" s="118">
        <f>IF(F158="Company", 'Exh CTM-7 (Unitized Costs)'!$D$18*H158/K158, 0)</f>
        <v>4.404249556784353E-2</v>
      </c>
      <c r="N158" s="118">
        <f>$N$9</f>
        <v>0.2294659292840994</v>
      </c>
      <c r="O158" s="202">
        <f>SUM(M158:N158)</f>
        <v>0.27350842485194293</v>
      </c>
      <c r="P158" s="84">
        <f>K158*M158</f>
        <v>6.3558370321862272</v>
      </c>
      <c r="Q158" s="84">
        <f>K158*N158</f>
        <v>33.114564289898063</v>
      </c>
      <c r="R158" s="199">
        <f>SUM(P158:Q158)</f>
        <v>39.470401322084292</v>
      </c>
      <c r="S158" s="13">
        <v>0.2968147484716549</v>
      </c>
      <c r="T158" s="199">
        <f>S158*K158</f>
        <v>42.833771013933358</v>
      </c>
      <c r="U158" s="82">
        <f>($U$192*(V158/$V$192))</f>
        <v>113153.48375383801</v>
      </c>
      <c r="V158" s="82">
        <f>IF(E158="per lamp", R158*G158, O158*L158)</f>
        <v>158236.83890023592</v>
      </c>
      <c r="W158" s="82">
        <f>IF(E158="per lamp", T158*G158, S158*L158)</f>
        <v>171720.58799485883</v>
      </c>
      <c r="Z158" s="184"/>
    </row>
    <row r="159" spans="1:26" x14ac:dyDescent="0.2">
      <c r="A159" s="66">
        <f>A158+1</f>
        <v>152</v>
      </c>
      <c r="B159" s="48" t="s">
        <v>285</v>
      </c>
      <c r="C159" s="107" t="s">
        <v>262</v>
      </c>
      <c r="D159" s="49">
        <v>175</v>
      </c>
      <c r="E159" s="107" t="str">
        <f>'Exh CTM-7 (Tariff Rates Y1)'!G187</f>
        <v>per lamp</v>
      </c>
      <c r="F159" s="107" t="s">
        <v>57</v>
      </c>
      <c r="G159" s="200">
        <v>36</v>
      </c>
      <c r="H159" s="183">
        <f>VLOOKUP(J159, 'Exh CTM-7 (Unitized Costs)'!$C$27:$D$34, 2, FALSE)</f>
        <v>1576.8033333333335</v>
      </c>
      <c r="I159" s="201">
        <f>IFERROR(IF(F159="Company",H159*G159/12, 0), 0)</f>
        <v>4730.4100000000008</v>
      </c>
      <c r="J159" s="184">
        <v>240</v>
      </c>
      <c r="K159" s="201">
        <v>69.495762573691295</v>
      </c>
      <c r="L159" s="14">
        <f>K159*G159</f>
        <v>2501.8474526528867</v>
      </c>
      <c r="M159" s="118">
        <f>IF(F159="Company", 'Exh CTM-7 (Unitized Costs)'!$D$18*H159/K159, 0)</f>
        <v>0.10382382087979253</v>
      </c>
      <c r="N159" s="118">
        <f>$N$9</f>
        <v>0.2294659292840994</v>
      </c>
      <c r="O159" s="202">
        <f>SUM(M159:N159)</f>
        <v>0.33328975016389195</v>
      </c>
      <c r="P159" s="84">
        <f>K159*M159</f>
        <v>7.2153156053555145</v>
      </c>
      <c r="Q159" s="84">
        <f>K159*N159</f>
        <v>15.946909740279208</v>
      </c>
      <c r="R159" s="199">
        <f>SUM(P159:Q159)</f>
        <v>23.162225345634724</v>
      </c>
      <c r="S159" s="13">
        <v>0.3639267405864644</v>
      </c>
      <c r="T159" s="199">
        <f>S159*K159</f>
        <v>25.291366358014272</v>
      </c>
      <c r="U159" s="82">
        <f>($U$192*(V159/$V$192))</f>
        <v>596.27021288062292</v>
      </c>
      <c r="V159" s="82">
        <f>IF(E159="per lamp", R159*G159, O159*L159)</f>
        <v>833.84011244285011</v>
      </c>
      <c r="W159" s="82">
        <f>IF(E159="per lamp", T159*G159, S159*L159)</f>
        <v>910.48918888851381</v>
      </c>
      <c r="Z159" s="184"/>
    </row>
    <row r="160" spans="1:26" x14ac:dyDescent="0.2">
      <c r="A160" s="66">
        <f>A159+1</f>
        <v>153</v>
      </c>
      <c r="B160" s="48" t="s">
        <v>285</v>
      </c>
      <c r="C160" s="107" t="s">
        <v>263</v>
      </c>
      <c r="D160" s="49">
        <v>250</v>
      </c>
      <c r="E160" s="107" t="str">
        <f>'Exh CTM-7 (Tariff Rates Y1)'!G188</f>
        <v>per lamp</v>
      </c>
      <c r="F160" s="107" t="s">
        <v>57</v>
      </c>
      <c r="G160" s="200">
        <v>200</v>
      </c>
      <c r="H160" s="183">
        <f>VLOOKUP(J160, 'Exh CTM-7 (Unitized Costs)'!$C$27:$D$34, 2, FALSE)</f>
        <v>1602.95</v>
      </c>
      <c r="I160" s="201">
        <f>IFERROR(IF(F160="Company",H160*G160/12, 0), 0)</f>
        <v>26715.833333333332</v>
      </c>
      <c r="J160" s="184">
        <v>340</v>
      </c>
      <c r="K160" s="201">
        <v>92.063107873663981</v>
      </c>
      <c r="L160" s="14">
        <f>K160*G160</f>
        <v>18412.621574732795</v>
      </c>
      <c r="M160" s="118">
        <f>IF(F160="Company", 'Exh CTM-7 (Unitized Costs)'!$D$18*H160/K160, 0)</f>
        <v>7.9673179179411996E-2</v>
      </c>
      <c r="N160" s="118">
        <f>$N$9</f>
        <v>0.2294659292840994</v>
      </c>
      <c r="O160" s="202">
        <f>SUM(M160:N160)</f>
        <v>0.30913910846351139</v>
      </c>
      <c r="P160" s="84">
        <f>K160*M160</f>
        <v>7.3349604894319658</v>
      </c>
      <c r="Q160" s="84">
        <f>K160*N160</f>
        <v>21.125346601012595</v>
      </c>
      <c r="R160" s="199">
        <f>SUM(P160:Q160)</f>
        <v>28.460307090444559</v>
      </c>
      <c r="S160" s="13">
        <v>0.33681463380552679</v>
      </c>
      <c r="T160" s="199">
        <f>S160*K160</f>
        <v>31.008201965466842</v>
      </c>
      <c r="U160" s="82">
        <f>($U$192*(V160/$V$192))</f>
        <v>4070.3326966967834</v>
      </c>
      <c r="V160" s="82">
        <f>IF(E160="per lamp", R160*G160, O160*L160)</f>
        <v>5692.0614180889115</v>
      </c>
      <c r="W160" s="82">
        <f>IF(E160="per lamp", T160*G160, S160*L160)</f>
        <v>6201.6403930933684</v>
      </c>
      <c r="Z160" s="184"/>
    </row>
    <row r="161" spans="1:26" x14ac:dyDescent="0.2">
      <c r="A161" s="66">
        <f>A160+1</f>
        <v>154</v>
      </c>
      <c r="B161" s="48" t="s">
        <v>285</v>
      </c>
      <c r="C161" s="107" t="s">
        <v>264</v>
      </c>
      <c r="D161" s="49">
        <v>400</v>
      </c>
      <c r="E161" s="107" t="str">
        <f>'Exh CTM-7 (Tariff Rates Y1)'!G189</f>
        <v>per lamp</v>
      </c>
      <c r="F161" s="107" t="s">
        <v>57</v>
      </c>
      <c r="G161" s="200">
        <v>924</v>
      </c>
      <c r="H161" s="183">
        <f>VLOOKUP(J161, 'Exh CTM-7 (Unitized Costs)'!$C$27:$D$34, 2, FALSE)</f>
        <v>1388.9766666666667</v>
      </c>
      <c r="I161" s="201">
        <f>IFERROR(IF(F161="Company",H161*G161/12, 0), 0)</f>
        <v>106951.20333333332</v>
      </c>
      <c r="J161" s="184">
        <v>600</v>
      </c>
      <c r="K161" s="201">
        <v>144.31146442180207</v>
      </c>
      <c r="L161" s="14">
        <f>K161*G161</f>
        <v>133343.79312574511</v>
      </c>
      <c r="M161" s="118">
        <f>IF(F161="Company", 'Exh CTM-7 (Unitized Costs)'!$D$18*H161/K161, 0)</f>
        <v>4.404249556784353E-2</v>
      </c>
      <c r="N161" s="118">
        <f>$N$9</f>
        <v>0.2294659292840994</v>
      </c>
      <c r="O161" s="202">
        <f>SUM(M161:N161)</f>
        <v>0.27350842485194293</v>
      </c>
      <c r="P161" s="84">
        <f>K161*M161</f>
        <v>6.3558370321862272</v>
      </c>
      <c r="Q161" s="84">
        <f>K161*N161</f>
        <v>33.114564289898063</v>
      </c>
      <c r="R161" s="199">
        <f>SUM(P161:Q161)</f>
        <v>39.470401322084292</v>
      </c>
      <c r="S161" s="13">
        <v>0.2968147484716549</v>
      </c>
      <c r="T161" s="199">
        <f>S161*K161</f>
        <v>42.833771013933358</v>
      </c>
      <c r="U161" s="82">
        <f>($U$192*(V161/$V$192))</f>
        <v>26079.775252817741</v>
      </c>
      <c r="V161" s="82">
        <f>IF(E161="per lamp", R161*G161, O161*L161)</f>
        <v>36470.650821605886</v>
      </c>
      <c r="W161" s="82">
        <f>IF(E161="per lamp", T161*G161, S161*L161)</f>
        <v>39578.404416874422</v>
      </c>
      <c r="Z161" s="184"/>
    </row>
    <row r="162" spans="1:26" x14ac:dyDescent="0.2">
      <c r="A162" s="66">
        <f>A161+1</f>
        <v>155</v>
      </c>
      <c r="B162" s="48" t="s">
        <v>285</v>
      </c>
      <c r="C162" s="107" t="s">
        <v>265</v>
      </c>
      <c r="D162" s="49">
        <v>1000</v>
      </c>
      <c r="E162" s="107" t="str">
        <f>'Exh CTM-7 (Tariff Rates Y1)'!G190</f>
        <v>per lamp</v>
      </c>
      <c r="F162" s="107" t="s">
        <v>57</v>
      </c>
      <c r="G162" s="200">
        <v>1383</v>
      </c>
      <c r="H162" s="183">
        <f>VLOOKUP(J162, 'Exh CTM-7 (Unitized Costs)'!$C$27:$D$34, 2, FALSE)</f>
        <v>1783.47</v>
      </c>
      <c r="I162" s="201">
        <f>IFERROR(IF(F162="Company",H162*G162/12, 0), 0)</f>
        <v>205544.91750000001</v>
      </c>
      <c r="J162" s="184">
        <v>1000</v>
      </c>
      <c r="K162" s="201">
        <v>360.77866105450516</v>
      </c>
      <c r="L162" s="14">
        <f>K162*G162</f>
        <v>498956.88823838066</v>
      </c>
      <c r="M162" s="118">
        <f>IF(F162="Company", 'Exh CTM-7 (Unitized Costs)'!$D$18*H162/K162, 0)</f>
        <v>2.2620529618798079E-2</v>
      </c>
      <c r="N162" s="118">
        <f>$N$9</f>
        <v>0.2294659292840994</v>
      </c>
      <c r="O162" s="202">
        <f>SUM(M162:N162)</f>
        <v>0.25208645890289749</v>
      </c>
      <c r="P162" s="84">
        <f>K162*M162</f>
        <v>8.1610043882137475</v>
      </c>
      <c r="Q162" s="84">
        <f>K162*N162</f>
        <v>82.786410724745153</v>
      </c>
      <c r="R162" s="199">
        <f>SUM(P162:Q162)</f>
        <v>90.947415112958907</v>
      </c>
      <c r="S162" s="13">
        <v>0.27276592047471698</v>
      </c>
      <c r="T162" s="199">
        <f>S162*K162</f>
        <v>98.40812357016803</v>
      </c>
      <c r="U162" s="82">
        <f>($U$192*(V162/$V$192))</f>
        <v>89944.139519828328</v>
      </c>
      <c r="V162" s="82">
        <f>IF(E162="per lamp", R162*G162, O162*L162)</f>
        <v>125780.27510122217</v>
      </c>
      <c r="W162" s="82">
        <f>IF(E162="per lamp", T162*G162, S162*L162)</f>
        <v>136098.43489754238</v>
      </c>
      <c r="Z162" s="184"/>
    </row>
    <row r="163" spans="1:26" x14ac:dyDescent="0.2">
      <c r="A163" s="66">
        <f>A162+1</f>
        <v>156</v>
      </c>
      <c r="B163" s="48" t="s">
        <v>285</v>
      </c>
      <c r="C163" s="107" t="s">
        <v>266</v>
      </c>
      <c r="D163" s="49">
        <v>100</v>
      </c>
      <c r="E163" s="107" t="str">
        <f>'Exh CTM-7 (Tariff Rates Y1)'!G192</f>
        <v>per lamp</v>
      </c>
      <c r="F163" s="107" t="s">
        <v>57</v>
      </c>
      <c r="G163" s="200">
        <v>0</v>
      </c>
      <c r="H163" s="183">
        <f>VLOOKUP(J163, 'Exh CTM-7 (Unitized Costs)'!$C$27:$D$34, 2, FALSE)</f>
        <v>1456.9933333333331</v>
      </c>
      <c r="I163" s="201">
        <f>IFERROR(IF(F163="Company",H163*G163/12, 0), 0)</f>
        <v>0</v>
      </c>
      <c r="J163" s="184">
        <v>150</v>
      </c>
      <c r="K163" s="201">
        <v>39.674794170929992</v>
      </c>
      <c r="L163" s="14">
        <f>K163*G163</f>
        <v>0</v>
      </c>
      <c r="M163" s="118">
        <f>IF(F163="Company", 'Exh CTM-7 (Unitized Costs)'!$D$18*H163/K163, 0)</f>
        <v>0.16804310021968036</v>
      </c>
      <c r="N163" s="118">
        <f>$N$9</f>
        <v>0.2294659292840994</v>
      </c>
      <c r="O163" s="202">
        <f>SUM(M163:N163)</f>
        <v>0.39750902950377975</v>
      </c>
      <c r="P163" s="84">
        <f>K163*M163</f>
        <v>6.667075413060779</v>
      </c>
      <c r="Q163" s="84">
        <f>K163*N163</f>
        <v>9.1040135135878213</v>
      </c>
      <c r="R163" s="199">
        <f>SUM(P163:Q163)</f>
        <v>15.7710889266486</v>
      </c>
      <c r="S163" s="13">
        <v>0.43602088948978157</v>
      </c>
      <c r="T163" s="199">
        <f>S163*K163</f>
        <v>17.299039044732897</v>
      </c>
      <c r="U163" s="82">
        <f>($U$192*(V163/$V$192))</f>
        <v>0</v>
      </c>
      <c r="V163" s="82">
        <f>IF(E163="per lamp", R163*G163, O163*L163)</f>
        <v>0</v>
      </c>
      <c r="W163" s="82">
        <f>IF(E163="per lamp", T163*G163, S163*L163)</f>
        <v>0</v>
      </c>
      <c r="Z163" s="184"/>
    </row>
    <row r="164" spans="1:26" x14ac:dyDescent="0.2">
      <c r="A164" s="66">
        <f>A163+1</f>
        <v>157</v>
      </c>
      <c r="B164" s="48" t="s">
        <v>285</v>
      </c>
      <c r="C164" s="107" t="s">
        <v>267</v>
      </c>
      <c r="D164" s="49">
        <v>150</v>
      </c>
      <c r="E164" s="107" t="str">
        <f>'Exh CTM-7 (Tariff Rates Y1)'!G193</f>
        <v>per lamp</v>
      </c>
      <c r="F164" s="107" t="s">
        <v>57</v>
      </c>
      <c r="G164" s="200">
        <v>166</v>
      </c>
      <c r="H164" s="183">
        <f>VLOOKUP(J164, 'Exh CTM-7 (Unitized Costs)'!$C$27:$D$34, 2, FALSE)</f>
        <v>1456.9933333333331</v>
      </c>
      <c r="I164" s="201">
        <f>IFERROR(IF(F164="Company",H164*G164/12, 0), 0)</f>
        <v>20155.074444444439</v>
      </c>
      <c r="J164" s="184">
        <v>150</v>
      </c>
      <c r="K164" s="201">
        <v>39.674794170929992</v>
      </c>
      <c r="L164" s="14">
        <f>K164*G164</f>
        <v>6586.015832374379</v>
      </c>
      <c r="M164" s="118">
        <f>IF(F164="Company", 'Exh CTM-7 (Unitized Costs)'!$D$18*H164/K164, 0)</f>
        <v>0.16804310021968036</v>
      </c>
      <c r="N164" s="118">
        <f>$N$9</f>
        <v>0.2294659292840994</v>
      </c>
      <c r="O164" s="202">
        <f>SUM(M164:N164)</f>
        <v>0.39750902950377975</v>
      </c>
      <c r="P164" s="84">
        <f>K164*M164</f>
        <v>6.667075413060779</v>
      </c>
      <c r="Q164" s="84">
        <f>K164*N164</f>
        <v>9.1040135135878213</v>
      </c>
      <c r="R164" s="199">
        <f>SUM(P164:Q164)</f>
        <v>15.7710889266486</v>
      </c>
      <c r="S164" s="13">
        <v>0.43602088948978157</v>
      </c>
      <c r="T164" s="199">
        <f>S164*K164</f>
        <v>17.299039044732897</v>
      </c>
      <c r="U164" s="82">
        <f>($U$192*(V164/$V$192))</f>
        <v>1872.1045537146931</v>
      </c>
      <c r="V164" s="82">
        <f>IF(E164="per lamp", R164*G164, O164*L164)</f>
        <v>2618.0007618236677</v>
      </c>
      <c r="W164" s="82">
        <f>IF(E164="per lamp", T164*G164, S164*L164)</f>
        <v>2871.6404814256607</v>
      </c>
      <c r="Z164" s="184"/>
    </row>
    <row r="165" spans="1:26" x14ac:dyDescent="0.2">
      <c r="A165" s="66">
        <f>A164+1</f>
        <v>158</v>
      </c>
      <c r="B165" s="48" t="s">
        <v>285</v>
      </c>
      <c r="C165" s="107" t="s">
        <v>268</v>
      </c>
      <c r="D165" s="49">
        <v>200</v>
      </c>
      <c r="E165" s="107" t="str">
        <f>'Exh CTM-7 (Tariff Rates Y1)'!G194</f>
        <v>per lamp</v>
      </c>
      <c r="F165" s="107" t="s">
        <v>57</v>
      </c>
      <c r="G165" s="200">
        <v>99</v>
      </c>
      <c r="H165" s="183">
        <f>VLOOKUP(J165, 'Exh CTM-7 (Unitized Costs)'!$C$27:$D$34, 2, FALSE)</f>
        <v>1576.8033333333335</v>
      </c>
      <c r="I165" s="201">
        <f>IFERROR(IF(F165="Company",H165*G165/12, 0), 0)</f>
        <v>13008.627500000002</v>
      </c>
      <c r="J165" s="184">
        <v>240</v>
      </c>
      <c r="K165" s="201">
        <v>69.495762573691295</v>
      </c>
      <c r="L165" s="14">
        <f>K165*G165</f>
        <v>6880.0804947954384</v>
      </c>
      <c r="M165" s="118">
        <f>IF(F165="Company", 'Exh CTM-7 (Unitized Costs)'!$D$18*H165/K165, 0)</f>
        <v>0.10382382087979253</v>
      </c>
      <c r="N165" s="118">
        <f>$N$9</f>
        <v>0.2294659292840994</v>
      </c>
      <c r="O165" s="202">
        <f>SUM(M165:N165)</f>
        <v>0.33328975016389195</v>
      </c>
      <c r="P165" s="84">
        <f>K165*M165</f>
        <v>7.2153156053555145</v>
      </c>
      <c r="Q165" s="84">
        <f>K165*N165</f>
        <v>15.946909740279208</v>
      </c>
      <c r="R165" s="199">
        <f>SUM(P165:Q165)</f>
        <v>23.162225345634724</v>
      </c>
      <c r="S165" s="13">
        <v>0.3639267405864644</v>
      </c>
      <c r="T165" s="199">
        <f>S165*K165</f>
        <v>25.291366358014272</v>
      </c>
      <c r="U165" s="82">
        <f>($U$192*(V165/$V$192))</f>
        <v>1639.7430854217127</v>
      </c>
      <c r="V165" s="82">
        <f>IF(E165="per lamp", R165*G165, O165*L165)</f>
        <v>2293.0603092178376</v>
      </c>
      <c r="W165" s="82">
        <f>IF(E165="per lamp", T165*G165, S165*L165)</f>
        <v>2503.8452694434131</v>
      </c>
      <c r="Z165" s="184"/>
    </row>
    <row r="166" spans="1:26" x14ac:dyDescent="0.2">
      <c r="A166" s="66">
        <f>A165+1</f>
        <v>159</v>
      </c>
      <c r="B166" s="48" t="s">
        <v>285</v>
      </c>
      <c r="C166" s="107" t="s">
        <v>269</v>
      </c>
      <c r="D166" s="49">
        <v>250</v>
      </c>
      <c r="E166" s="107" t="str">
        <f>'Exh CTM-7 (Tariff Rates Y1)'!G195</f>
        <v>per lamp</v>
      </c>
      <c r="F166" s="107" t="s">
        <v>57</v>
      </c>
      <c r="G166" s="200">
        <v>381</v>
      </c>
      <c r="H166" s="183">
        <f>VLOOKUP(J166, 'Exh CTM-7 (Unitized Costs)'!$C$27:$D$34, 2, FALSE)</f>
        <v>1602.95</v>
      </c>
      <c r="I166" s="201">
        <f>IFERROR(IF(F166="Company",H166*G166/12, 0), 0)</f>
        <v>50893.662500000006</v>
      </c>
      <c r="J166" s="184">
        <v>340</v>
      </c>
      <c r="K166" s="201">
        <v>92.063107873663981</v>
      </c>
      <c r="L166" s="14">
        <f>K166*G166</f>
        <v>35076.044099865976</v>
      </c>
      <c r="M166" s="118">
        <f>IF(F166="Company", 'Exh CTM-7 (Unitized Costs)'!$D$18*H166/K166, 0)</f>
        <v>7.9673179179411996E-2</v>
      </c>
      <c r="N166" s="118">
        <f>$N$9</f>
        <v>0.2294659292840994</v>
      </c>
      <c r="O166" s="202">
        <f>SUM(M166:N166)</f>
        <v>0.30913910846351139</v>
      </c>
      <c r="P166" s="84">
        <f>K166*M166</f>
        <v>7.3349604894319658</v>
      </c>
      <c r="Q166" s="84">
        <f>K166*N166</f>
        <v>21.125346601012595</v>
      </c>
      <c r="R166" s="199">
        <f>SUM(P166:Q166)</f>
        <v>28.460307090444559</v>
      </c>
      <c r="S166" s="13">
        <v>0.33681463380552679</v>
      </c>
      <c r="T166" s="199">
        <f>S166*K166</f>
        <v>31.008201965466842</v>
      </c>
      <c r="U166" s="82">
        <f>($U$192*(V166/$V$192))</f>
        <v>7753.983787207374</v>
      </c>
      <c r="V166" s="82">
        <f>IF(E166="per lamp", R166*G166, O166*L166)</f>
        <v>10843.377001459377</v>
      </c>
      <c r="W166" s="82">
        <f>IF(E166="per lamp", T166*G166, S166*L166)</f>
        <v>11814.124948842868</v>
      </c>
      <c r="Z166" s="184"/>
    </row>
    <row r="167" spans="1:26" x14ac:dyDescent="0.2">
      <c r="A167" s="66">
        <f>A166+1</f>
        <v>160</v>
      </c>
      <c r="B167" s="48" t="s">
        <v>285</v>
      </c>
      <c r="C167" s="107" t="s">
        <v>270</v>
      </c>
      <c r="D167" s="49">
        <v>400</v>
      </c>
      <c r="E167" s="107" t="str">
        <f>'Exh CTM-7 (Tariff Rates Y1)'!G196</f>
        <v>per lamp</v>
      </c>
      <c r="F167" s="107" t="s">
        <v>57</v>
      </c>
      <c r="G167" s="200">
        <v>510</v>
      </c>
      <c r="H167" s="183">
        <f>VLOOKUP(J167, 'Exh CTM-7 (Unitized Costs)'!$C$27:$D$34, 2, FALSE)</f>
        <v>1388.9766666666667</v>
      </c>
      <c r="I167" s="201">
        <f>IFERROR(IF(F167="Company",H167*G167/12, 0), 0)</f>
        <v>59031.508333333331</v>
      </c>
      <c r="J167" s="184">
        <v>600</v>
      </c>
      <c r="K167" s="201">
        <v>144.31146442180207</v>
      </c>
      <c r="L167" s="14">
        <f>K167*G167</f>
        <v>73598.84685511906</v>
      </c>
      <c r="M167" s="118">
        <f>IF(F167="Company", 'Exh CTM-7 (Unitized Costs)'!$D$18*H167/K167, 0)</f>
        <v>4.404249556784353E-2</v>
      </c>
      <c r="N167" s="118">
        <f>$N$9</f>
        <v>0.2294659292840994</v>
      </c>
      <c r="O167" s="202">
        <f>SUM(M167:N167)</f>
        <v>0.27350842485194293</v>
      </c>
      <c r="P167" s="84">
        <f>K167*M167</f>
        <v>6.3558370321862272</v>
      </c>
      <c r="Q167" s="84">
        <f>K167*N167</f>
        <v>33.114564289898063</v>
      </c>
      <c r="R167" s="199">
        <f>SUM(P167:Q167)</f>
        <v>39.470401322084292</v>
      </c>
      <c r="S167" s="13">
        <v>0.2968147484716549</v>
      </c>
      <c r="T167" s="199">
        <f>S167*K167</f>
        <v>42.833771013933358</v>
      </c>
      <c r="U167" s="82">
        <f>($U$192*(V167/$V$192))</f>
        <v>14394.681146035768</v>
      </c>
      <c r="V167" s="82">
        <f>IF(E167="per lamp", R167*G167, O167*L167)</f>
        <v>20129.904674262991</v>
      </c>
      <c r="W167" s="82">
        <f>IF(E167="per lamp", T167*G167, S167*L167)</f>
        <v>21845.223217106013</v>
      </c>
      <c r="Z167" s="184"/>
    </row>
    <row r="168" spans="1:26" x14ac:dyDescent="0.2">
      <c r="A168" s="66">
        <f>A167+1</f>
        <v>161</v>
      </c>
      <c r="B168" s="48" t="s">
        <v>285</v>
      </c>
      <c r="C168" s="107" t="s">
        <v>271</v>
      </c>
      <c r="D168" s="49">
        <v>250</v>
      </c>
      <c r="E168" s="107" t="str">
        <f>'Exh CTM-7 (Tariff Rates Y1)'!G198</f>
        <v>per lamp</v>
      </c>
      <c r="F168" s="107" t="s">
        <v>57</v>
      </c>
      <c r="G168" s="200">
        <v>100</v>
      </c>
      <c r="H168" s="183">
        <f>VLOOKUP(J168, 'Exh CTM-7 (Unitized Costs)'!$C$27:$D$34, 2, FALSE)</f>
        <v>1602.95</v>
      </c>
      <c r="I168" s="201">
        <f>IFERROR(IF(F168="Company",H168*G168/12, 0), 0)</f>
        <v>13357.916666666666</v>
      </c>
      <c r="J168" s="184">
        <v>340</v>
      </c>
      <c r="K168" s="201">
        <v>92.063107873663981</v>
      </c>
      <c r="L168" s="14">
        <f>K168*G168</f>
        <v>9206.3107873663976</v>
      </c>
      <c r="M168" s="118">
        <f>IF(F168="Company", 'Exh CTM-7 (Unitized Costs)'!$D$18*H168/K168, 0)</f>
        <v>7.9673179179411996E-2</v>
      </c>
      <c r="N168" s="118">
        <f>$N$9</f>
        <v>0.2294659292840994</v>
      </c>
      <c r="O168" s="202">
        <f>SUM(M168:N168)</f>
        <v>0.30913910846351139</v>
      </c>
      <c r="P168" s="84">
        <f>K168*M168</f>
        <v>7.3349604894319658</v>
      </c>
      <c r="Q168" s="84">
        <f>K168*N168</f>
        <v>21.125346601012595</v>
      </c>
      <c r="R168" s="199">
        <f>SUM(P168:Q168)</f>
        <v>28.460307090444559</v>
      </c>
      <c r="S168" s="13">
        <v>0.33681463380552679</v>
      </c>
      <c r="T168" s="199">
        <f>S168*K168</f>
        <v>31.008201965466842</v>
      </c>
      <c r="U168" s="82">
        <f>($U$192*(V168/$V$192))</f>
        <v>2035.1663483483917</v>
      </c>
      <c r="V168" s="82">
        <f>IF(E168="per lamp", R168*G168, O168*L168)</f>
        <v>2846.0307090444558</v>
      </c>
      <c r="W168" s="82">
        <f>IF(E168="per lamp", T168*G168, S168*L168)</f>
        <v>3100.8201965466842</v>
      </c>
      <c r="Z168" s="184"/>
    </row>
    <row r="169" spans="1:26" x14ac:dyDescent="0.2">
      <c r="A169" s="66">
        <f>A168+1</f>
        <v>162</v>
      </c>
      <c r="B169" s="48" t="s">
        <v>285</v>
      </c>
      <c r="C169" s="107" t="s">
        <v>272</v>
      </c>
      <c r="D169" s="49">
        <v>400</v>
      </c>
      <c r="E169" s="107" t="str">
        <f>'Exh CTM-7 (Tariff Rates Y1)'!G199</f>
        <v>per lamp</v>
      </c>
      <c r="F169" s="107" t="s">
        <v>57</v>
      </c>
      <c r="G169" s="200">
        <v>468</v>
      </c>
      <c r="H169" s="183">
        <f>VLOOKUP(J169, 'Exh CTM-7 (Unitized Costs)'!$C$27:$D$34, 2, FALSE)</f>
        <v>1388.9766666666667</v>
      </c>
      <c r="I169" s="201">
        <f>IFERROR(IF(F169="Company",H169*G169/12, 0), 0)</f>
        <v>54170.09</v>
      </c>
      <c r="J169" s="184">
        <v>600</v>
      </c>
      <c r="K169" s="201">
        <v>144.31146442180207</v>
      </c>
      <c r="L169" s="14">
        <f>K169*G169</f>
        <v>67537.765349403373</v>
      </c>
      <c r="M169" s="118">
        <f>IF(F169="Company", 'Exh CTM-7 (Unitized Costs)'!$D$18*H169/K169, 0)</f>
        <v>4.404249556784353E-2</v>
      </c>
      <c r="N169" s="118">
        <f>$N$9</f>
        <v>0.2294659292840994</v>
      </c>
      <c r="O169" s="202">
        <f>SUM(M169:N169)</f>
        <v>0.27350842485194293</v>
      </c>
      <c r="P169" s="84">
        <f>K169*M169</f>
        <v>6.3558370321862272</v>
      </c>
      <c r="Q169" s="84">
        <f>K169*N169</f>
        <v>33.114564289898063</v>
      </c>
      <c r="R169" s="199">
        <f>SUM(P169:Q169)</f>
        <v>39.470401322084292</v>
      </c>
      <c r="S169" s="13">
        <v>0.2968147484716549</v>
      </c>
      <c r="T169" s="199">
        <f>S169*K169</f>
        <v>42.833771013933358</v>
      </c>
      <c r="U169" s="82">
        <f>($U$192*(V169/$V$192))</f>
        <v>13209.236816362234</v>
      </c>
      <c r="V169" s="82">
        <f>IF(E169="per lamp", R169*G169, O169*L169)</f>
        <v>18472.147818735448</v>
      </c>
      <c r="W169" s="82">
        <f>IF(E169="per lamp", T169*G169, S169*L169)</f>
        <v>20046.204834520813</v>
      </c>
      <c r="Z169" s="184"/>
    </row>
    <row r="170" spans="1:26" x14ac:dyDescent="0.2">
      <c r="A170" s="66">
        <f>A169+1</f>
        <v>163</v>
      </c>
      <c r="B170" s="48" t="s">
        <v>285</v>
      </c>
      <c r="C170" s="107" t="s">
        <v>228</v>
      </c>
      <c r="D170" s="49">
        <v>15</v>
      </c>
      <c r="E170" s="107" t="str">
        <f>'Exh CTM-7 (Tariff Rates Y1)'!G201</f>
        <v>per lamp</v>
      </c>
      <c r="F170" s="107" t="s">
        <v>57</v>
      </c>
      <c r="G170" s="200">
        <v>0</v>
      </c>
      <c r="H170" s="183">
        <f>VLOOKUP(J170, 'Exh CTM-7 (Unitized Costs)'!$C$27:$D$34, 2, FALSE)</f>
        <v>1426.7</v>
      </c>
      <c r="I170" s="201">
        <f>IFERROR(IF(F170="Company",H170*G170/12, 0), 0)</f>
        <v>0</v>
      </c>
      <c r="J170" s="184">
        <v>30</v>
      </c>
      <c r="K170" s="201">
        <v>7.4297601011292338</v>
      </c>
      <c r="L170" s="14">
        <f>K170*G170</f>
        <v>0</v>
      </c>
      <c r="M170" s="118">
        <f>IF(F170="Company", 'Exh CTM-7 (Unitized Costs)'!$D$18*H170/K170, 0)</f>
        <v>0.87868997818050398</v>
      </c>
      <c r="N170" s="118">
        <f>$N$9</f>
        <v>0.2294659292840994</v>
      </c>
      <c r="O170" s="202">
        <f>SUM(M170:N170)</f>
        <v>1.1081559074646035</v>
      </c>
      <c r="P170" s="84">
        <f>K170*M170</f>
        <v>6.5284557411476252</v>
      </c>
      <c r="Q170" s="84">
        <f>K170*N170</f>
        <v>1.704876805963544</v>
      </c>
      <c r="R170" s="199">
        <f>SUM(P170:Q170)</f>
        <v>8.2333325471111696</v>
      </c>
      <c r="S170" s="13">
        <v>1.2338106243484692</v>
      </c>
      <c r="T170" s="199">
        <f>S170*K170</f>
        <v>9.166916949133606</v>
      </c>
      <c r="U170" s="82">
        <f>($U$192*(V170/$V$192))</f>
        <v>0</v>
      </c>
      <c r="V170" s="82">
        <f>IF(E170="per lamp", R170*G170, O170*L170)</f>
        <v>0</v>
      </c>
      <c r="W170" s="82">
        <f>IF(E170="per lamp", T170*G170, S170*L170)</f>
        <v>0</v>
      </c>
      <c r="Z170" s="184"/>
    </row>
    <row r="171" spans="1:26" x14ac:dyDescent="0.2">
      <c r="A171" s="66">
        <f>A170+1</f>
        <v>164</v>
      </c>
      <c r="B171" s="48" t="s">
        <v>285</v>
      </c>
      <c r="C171" s="107" t="s">
        <v>229</v>
      </c>
      <c r="D171" s="49">
        <v>45</v>
      </c>
      <c r="E171" s="107" t="str">
        <f>'Exh CTM-7 (Tariff Rates Y1)'!G202</f>
        <v>per lamp</v>
      </c>
      <c r="F171" s="107" t="s">
        <v>57</v>
      </c>
      <c r="G171" s="200">
        <v>50</v>
      </c>
      <c r="H171" s="183">
        <f>VLOOKUP(J171, 'Exh CTM-7 (Unitized Costs)'!$C$27:$D$34, 2, FALSE)</f>
        <v>1401.77</v>
      </c>
      <c r="I171" s="201">
        <f>IFERROR(IF(F171="Company",H171*G171/12, 0), 0)</f>
        <v>5840.708333333333</v>
      </c>
      <c r="J171" s="184">
        <v>60</v>
      </c>
      <c r="K171" s="201">
        <v>16.236746289282937</v>
      </c>
      <c r="L171" s="14">
        <f>K171*G171</f>
        <v>811.83731446414686</v>
      </c>
      <c r="M171" s="118">
        <f>IF(F171="Company", 'Exh CTM-7 (Unitized Costs)'!$D$18*H171/K171, 0)</f>
        <v>0.3950531777840206</v>
      </c>
      <c r="N171" s="118">
        <f>$N$9</f>
        <v>0.2294659292840994</v>
      </c>
      <c r="O171" s="202">
        <f>SUM(M171:N171)</f>
        <v>0.62451910706811997</v>
      </c>
      <c r="P171" s="84">
        <f>K171*M171</f>
        <v>6.4143782184541287</v>
      </c>
      <c r="Q171" s="84">
        <f>K171*N171</f>
        <v>3.7257800758204618</v>
      </c>
      <c r="R171" s="199">
        <f>SUM(P171:Q171)</f>
        <v>10.14015829427459</v>
      </c>
      <c r="S171" s="13">
        <v>0.69086800865251297</v>
      </c>
      <c r="T171" s="199">
        <f>S171*K171</f>
        <v>11.217448575872982</v>
      </c>
      <c r="U171" s="82">
        <f>($U$192*(V171/$V$192))</f>
        <v>362.55597773156569</v>
      </c>
      <c r="V171" s="82">
        <f>IF(E171="per lamp", R171*G171, O171*L171)</f>
        <v>507.00791471372952</v>
      </c>
      <c r="W171" s="82">
        <f>IF(E171="per lamp", T171*G171, S171*L171)</f>
        <v>560.87242879364908</v>
      </c>
      <c r="Z171" s="184"/>
    </row>
    <row r="172" spans="1:26" x14ac:dyDescent="0.2">
      <c r="A172" s="66">
        <f>A171+1</f>
        <v>165</v>
      </c>
      <c r="B172" s="48" t="s">
        <v>285</v>
      </c>
      <c r="C172" s="107" t="s">
        <v>230</v>
      </c>
      <c r="D172" s="49">
        <v>75</v>
      </c>
      <c r="E172" s="107" t="str">
        <f>'Exh CTM-7 (Tariff Rates Y1)'!G203</f>
        <v>per lamp</v>
      </c>
      <c r="F172" s="107" t="s">
        <v>57</v>
      </c>
      <c r="G172" s="200">
        <v>837</v>
      </c>
      <c r="H172" s="183">
        <f>VLOOKUP(J172, 'Exh CTM-7 (Unitized Costs)'!$C$27:$D$34, 2, FALSE)</f>
        <v>1562.875</v>
      </c>
      <c r="I172" s="201">
        <f>IFERROR(IF(F172="Company",H172*G172/12, 0), 0)</f>
        <v>109010.53125</v>
      </c>
      <c r="J172" s="184">
        <v>90</v>
      </c>
      <c r="K172" s="201">
        <v>26.186795286420214</v>
      </c>
      <c r="L172" s="14">
        <f>K172*G172</f>
        <v>21918.34765473372</v>
      </c>
      <c r="M172" s="118">
        <f>IF(F172="Company", 'Exh CTM-7 (Unitized Costs)'!$D$18*H172/K172, 0)</f>
        <v>0.27309873847041366</v>
      </c>
      <c r="N172" s="118">
        <f>$N$9</f>
        <v>0.2294659292840994</v>
      </c>
      <c r="O172" s="202">
        <f>SUM(M172:N172)</f>
        <v>0.50256466775451303</v>
      </c>
      <c r="P172" s="84">
        <f>K172*M172</f>
        <v>7.1515807573043348</v>
      </c>
      <c r="Q172" s="84">
        <f>K172*N172</f>
        <v>6.0089773153708883</v>
      </c>
      <c r="R172" s="199">
        <f>SUM(P172:Q172)</f>
        <v>13.160558072675222</v>
      </c>
      <c r="S172" s="13">
        <v>0.55395894337381346</v>
      </c>
      <c r="T172" s="199">
        <f>S172*K172</f>
        <v>14.5064094472117</v>
      </c>
      <c r="U172" s="82">
        <f>($U$192*(V172/$V$192))</f>
        <v>7876.9863876051668</v>
      </c>
      <c r="V172" s="82">
        <f>IF(E172="per lamp", R172*G172, O172*L172)</f>
        <v>11015.387106829161</v>
      </c>
      <c r="W172" s="82">
        <f>IF(E172="per lamp", T172*G172, S172*L172)</f>
        <v>12141.864707316194</v>
      </c>
      <c r="Z172" s="184"/>
    </row>
    <row r="173" spans="1:26" x14ac:dyDescent="0.2">
      <c r="A173" s="66">
        <f>A172+1</f>
        <v>166</v>
      </c>
      <c r="B173" s="48" t="s">
        <v>285</v>
      </c>
      <c r="C173" s="107" t="s">
        <v>231</v>
      </c>
      <c r="D173" s="49">
        <v>105</v>
      </c>
      <c r="E173" s="107" t="str">
        <f>'Exh CTM-7 (Tariff Rates Y1)'!G204</f>
        <v>per lamp</v>
      </c>
      <c r="F173" s="107" t="s">
        <v>57</v>
      </c>
      <c r="G173" s="200">
        <v>194</v>
      </c>
      <c r="H173" s="183">
        <f>VLOOKUP(J173, 'Exh CTM-7 (Unitized Costs)'!$C$27:$D$34, 2, FALSE)</f>
        <v>1456.9933333333331</v>
      </c>
      <c r="I173" s="201">
        <f>IFERROR(IF(F173="Company",H173*G173/12, 0), 0)</f>
        <v>23554.725555555549</v>
      </c>
      <c r="J173" s="184">
        <v>150</v>
      </c>
      <c r="K173" s="201">
        <v>39.674794170929992</v>
      </c>
      <c r="L173" s="14">
        <f>K173*G173</f>
        <v>7696.9100691604181</v>
      </c>
      <c r="M173" s="118">
        <f>IF(F173="Company", 'Exh CTM-7 (Unitized Costs)'!$D$18*H173/K173, 0)</f>
        <v>0.16804310021968036</v>
      </c>
      <c r="N173" s="118">
        <f>$N$9</f>
        <v>0.2294659292840994</v>
      </c>
      <c r="O173" s="202">
        <f>SUM(M173:N173)</f>
        <v>0.39750902950377975</v>
      </c>
      <c r="P173" s="84">
        <f>K173*M173</f>
        <v>6.667075413060779</v>
      </c>
      <c r="Q173" s="84">
        <f>K173*N173</f>
        <v>9.1040135135878213</v>
      </c>
      <c r="R173" s="199">
        <f>SUM(P173:Q173)</f>
        <v>15.7710889266486</v>
      </c>
      <c r="S173" s="13">
        <v>0.43602088948978157</v>
      </c>
      <c r="T173" s="199">
        <f>S173*K173</f>
        <v>17.299039044732897</v>
      </c>
      <c r="U173" s="82">
        <f>($U$192*(V173/$V$192))</f>
        <v>2187.881225425605</v>
      </c>
      <c r="V173" s="82">
        <f>IF(E173="per lamp", R173*G173, O173*L173)</f>
        <v>3059.5912517698284</v>
      </c>
      <c r="W173" s="82">
        <f>IF(E173="per lamp", T173*G173, S173*L173)</f>
        <v>3356.0135746781821</v>
      </c>
      <c r="Z173" s="184"/>
    </row>
    <row r="174" spans="1:26" x14ac:dyDescent="0.2">
      <c r="A174" s="66">
        <f>A173+1</f>
        <v>167</v>
      </c>
      <c r="B174" s="48" t="s">
        <v>285</v>
      </c>
      <c r="C174" s="107" t="s">
        <v>232</v>
      </c>
      <c r="D174" s="49">
        <v>135</v>
      </c>
      <c r="E174" s="107" t="str">
        <f>'Exh CTM-7 (Tariff Rates Y1)'!G205</f>
        <v>per lamp</v>
      </c>
      <c r="F174" s="107" t="s">
        <v>57</v>
      </c>
      <c r="G174" s="200">
        <v>1675</v>
      </c>
      <c r="H174" s="183">
        <f>VLOOKUP(J174, 'Exh CTM-7 (Unitized Costs)'!$C$27:$D$34, 2, FALSE)</f>
        <v>1456.9933333333331</v>
      </c>
      <c r="I174" s="201">
        <f>IFERROR(IF(F174="Company",H174*G174/12, 0), 0)</f>
        <v>203371.98611111109</v>
      </c>
      <c r="J174" s="184">
        <v>150</v>
      </c>
      <c r="K174" s="201">
        <v>39.674794170929992</v>
      </c>
      <c r="L174" s="14">
        <f>K174*G174</f>
        <v>66455.280236307735</v>
      </c>
      <c r="M174" s="118">
        <f>IF(F174="Company", 'Exh CTM-7 (Unitized Costs)'!$D$18*H174/K174, 0)</f>
        <v>0.16804310021968036</v>
      </c>
      <c r="N174" s="118">
        <f>$N$9</f>
        <v>0.2294659292840994</v>
      </c>
      <c r="O174" s="202">
        <f>SUM(M174:N174)</f>
        <v>0.39750902950377975</v>
      </c>
      <c r="P174" s="84">
        <f>K174*M174</f>
        <v>6.667075413060779</v>
      </c>
      <c r="Q174" s="84">
        <f>K174*N174</f>
        <v>9.1040135135878213</v>
      </c>
      <c r="R174" s="199">
        <f>SUM(P174:Q174)</f>
        <v>15.7710889266486</v>
      </c>
      <c r="S174" s="13">
        <v>0.43602088948978157</v>
      </c>
      <c r="T174" s="199">
        <f>S174*K174</f>
        <v>17.299039044732897</v>
      </c>
      <c r="U174" s="82">
        <f>($U$192*(V174/$V$192))</f>
        <v>18890.211611277773</v>
      </c>
      <c r="V174" s="82">
        <f>IF(E174="per lamp", R174*G174, O174*L174)</f>
        <v>26416.573952136405</v>
      </c>
      <c r="W174" s="82">
        <f>IF(E174="per lamp", T174*G174, S174*L174)</f>
        <v>28975.890399927601</v>
      </c>
      <c r="Z174" s="184"/>
    </row>
    <row r="175" spans="1:26" x14ac:dyDescent="0.2">
      <c r="A175" s="66">
        <f>A174+1</f>
        <v>168</v>
      </c>
      <c r="B175" s="48" t="s">
        <v>285</v>
      </c>
      <c r="C175" s="107" t="s">
        <v>233</v>
      </c>
      <c r="D175" s="49">
        <v>165</v>
      </c>
      <c r="E175" s="107" t="str">
        <f>'Exh CTM-7 (Tariff Rates Y1)'!G206</f>
        <v>per lamp</v>
      </c>
      <c r="F175" s="107" t="s">
        <v>57</v>
      </c>
      <c r="G175" s="200">
        <v>320</v>
      </c>
      <c r="H175" s="183">
        <f>VLOOKUP(J175, 'Exh CTM-7 (Unitized Costs)'!$C$27:$D$34, 2, FALSE)</f>
        <v>1576.8033333333335</v>
      </c>
      <c r="I175" s="201">
        <f>IFERROR(IF(F175="Company",H175*G175/12, 0), 0)</f>
        <v>42048.088888888895</v>
      </c>
      <c r="J175" s="184">
        <v>240</v>
      </c>
      <c r="K175" s="201">
        <v>69.495762573691295</v>
      </c>
      <c r="L175" s="14">
        <f>K175*G175</f>
        <v>22238.644023581215</v>
      </c>
      <c r="M175" s="118">
        <f>IF(F175="Company", 'Exh CTM-7 (Unitized Costs)'!$D$18*H175/K175, 0)</f>
        <v>0.10382382087979253</v>
      </c>
      <c r="N175" s="118">
        <f>$N$9</f>
        <v>0.2294659292840994</v>
      </c>
      <c r="O175" s="202">
        <f>SUM(M175:N175)</f>
        <v>0.33328975016389195</v>
      </c>
      <c r="P175" s="84">
        <f>K175*M175</f>
        <v>7.2153156053555145</v>
      </c>
      <c r="Q175" s="84">
        <f>K175*N175</f>
        <v>15.946909740279208</v>
      </c>
      <c r="R175" s="199">
        <f>SUM(P175:Q175)</f>
        <v>23.162225345634724</v>
      </c>
      <c r="S175" s="13">
        <v>0.3639267405864644</v>
      </c>
      <c r="T175" s="199">
        <f>S175*K175</f>
        <v>25.291366358014272</v>
      </c>
      <c r="U175" s="82">
        <f>($U$192*(V175/$V$192))</f>
        <v>5300.1796700499808</v>
      </c>
      <c r="V175" s="82">
        <f>IF(E175="per lamp", R175*G175, O175*L175)</f>
        <v>7411.9121106031116</v>
      </c>
      <c r="W175" s="82">
        <f>IF(E175="per lamp", T175*G175, S175*L175)</f>
        <v>8093.2372345645672</v>
      </c>
      <c r="Z175" s="184"/>
    </row>
    <row r="176" spans="1:26" x14ac:dyDescent="0.2">
      <c r="A176" s="66">
        <f>A175+1</f>
        <v>169</v>
      </c>
      <c r="B176" s="48" t="s">
        <v>285</v>
      </c>
      <c r="C176" s="107" t="s">
        <v>234</v>
      </c>
      <c r="D176" s="49">
        <v>195</v>
      </c>
      <c r="E176" s="107" t="str">
        <f>'Exh CTM-7 (Tariff Rates Y1)'!G207</f>
        <v>per lamp</v>
      </c>
      <c r="F176" s="107" t="s">
        <v>57</v>
      </c>
      <c r="G176" s="200">
        <v>0</v>
      </c>
      <c r="H176" s="183">
        <f>VLOOKUP(J176, 'Exh CTM-7 (Unitized Costs)'!$C$27:$D$34, 2, FALSE)</f>
        <v>1576.8033333333335</v>
      </c>
      <c r="I176" s="201">
        <f>IFERROR(IF(F176="Company",H176*G176/12, 0), 0)</f>
        <v>0</v>
      </c>
      <c r="J176" s="184">
        <v>240</v>
      </c>
      <c r="K176" s="201">
        <v>69.495762573691295</v>
      </c>
      <c r="L176" s="14">
        <f>K176*G176</f>
        <v>0</v>
      </c>
      <c r="M176" s="118">
        <f>IF(F176="Company", 'Exh CTM-7 (Unitized Costs)'!$D$18*H176/K176, 0)</f>
        <v>0.10382382087979253</v>
      </c>
      <c r="N176" s="118">
        <f>$N$9</f>
        <v>0.2294659292840994</v>
      </c>
      <c r="O176" s="202">
        <f>SUM(M176:N176)</f>
        <v>0.33328975016389195</v>
      </c>
      <c r="P176" s="84">
        <f>K176*M176</f>
        <v>7.2153156053555145</v>
      </c>
      <c r="Q176" s="84">
        <f>K176*N176</f>
        <v>15.946909740279208</v>
      </c>
      <c r="R176" s="199">
        <f>SUM(P176:Q176)</f>
        <v>23.162225345634724</v>
      </c>
      <c r="S176" s="13">
        <v>0.3639267405864644</v>
      </c>
      <c r="T176" s="199">
        <f>S176*K176</f>
        <v>25.291366358014272</v>
      </c>
      <c r="U176" s="82">
        <f>($U$192*(V176/$V$192))</f>
        <v>0</v>
      </c>
      <c r="V176" s="82">
        <f>IF(E176="per lamp", R176*G176, O176*L176)</f>
        <v>0</v>
      </c>
      <c r="W176" s="82">
        <f>IF(E176="per lamp", T176*G176, S176*L176)</f>
        <v>0</v>
      </c>
      <c r="Z176" s="184"/>
    </row>
    <row r="177" spans="1:3094" x14ac:dyDescent="0.2">
      <c r="A177" s="66">
        <f>A176+1</f>
        <v>170</v>
      </c>
      <c r="B177" s="48" t="s">
        <v>285</v>
      </c>
      <c r="C177" s="107" t="s">
        <v>235</v>
      </c>
      <c r="D177" s="49">
        <v>225</v>
      </c>
      <c r="E177" s="107" t="str">
        <f>'Exh CTM-7 (Tariff Rates Y1)'!G208</f>
        <v>per lamp</v>
      </c>
      <c r="F177" s="107" t="s">
        <v>57</v>
      </c>
      <c r="G177" s="200">
        <v>180</v>
      </c>
      <c r="H177" s="183">
        <f>VLOOKUP(J177, 'Exh CTM-7 (Unitized Costs)'!$C$27:$D$34, 2, FALSE)</f>
        <v>1576.8033333333335</v>
      </c>
      <c r="I177" s="201">
        <f>IFERROR(IF(F177="Company",H177*G177/12, 0), 0)</f>
        <v>23652.050000000003</v>
      </c>
      <c r="J177" s="184">
        <v>240</v>
      </c>
      <c r="K177" s="201">
        <v>69.495762573691295</v>
      </c>
      <c r="L177" s="14">
        <f>K177*G177</f>
        <v>12509.237263264433</v>
      </c>
      <c r="M177" s="118">
        <f>IF(F177="Company", 'Exh CTM-7 (Unitized Costs)'!$D$18*H177/K177, 0)</f>
        <v>0.10382382087979253</v>
      </c>
      <c r="N177" s="118">
        <f>$N$9</f>
        <v>0.2294659292840994</v>
      </c>
      <c r="O177" s="202">
        <f>SUM(M177:N177)</f>
        <v>0.33328975016389195</v>
      </c>
      <c r="P177" s="84">
        <f>K177*M177</f>
        <v>7.2153156053555145</v>
      </c>
      <c r="Q177" s="84">
        <f>K177*N177</f>
        <v>15.946909740279208</v>
      </c>
      <c r="R177" s="199">
        <f>SUM(P177:Q177)</f>
        <v>23.162225345634724</v>
      </c>
      <c r="S177" s="13">
        <v>0.3639267405864644</v>
      </c>
      <c r="T177" s="199">
        <f>S177*K177</f>
        <v>25.291366358014272</v>
      </c>
      <c r="U177" s="82">
        <f>($U$192*(V177/$V$192))</f>
        <v>2981.3510644031148</v>
      </c>
      <c r="V177" s="82">
        <f>IF(E177="per lamp", R177*G177, O177*L177)</f>
        <v>4169.2005622142506</v>
      </c>
      <c r="W177" s="82">
        <f>IF(E177="per lamp", T177*G177, S177*L177)</f>
        <v>4552.4459444425693</v>
      </c>
      <c r="Z177" s="184"/>
    </row>
    <row r="178" spans="1:3094" x14ac:dyDescent="0.2">
      <c r="A178" s="66">
        <f>A177+1</f>
        <v>171</v>
      </c>
      <c r="B178" s="48" t="s">
        <v>285</v>
      </c>
      <c r="C178" s="107" t="s">
        <v>236</v>
      </c>
      <c r="D178" s="49">
        <v>255</v>
      </c>
      <c r="E178" s="107" t="str">
        <f>'Exh CTM-7 (Tariff Rates Y1)'!G209</f>
        <v>per lamp</v>
      </c>
      <c r="F178" s="107" t="s">
        <v>57</v>
      </c>
      <c r="G178" s="200">
        <v>263</v>
      </c>
      <c r="H178" s="183">
        <f>VLOOKUP(J178, 'Exh CTM-7 (Unitized Costs)'!$C$27:$D$34, 2, FALSE)</f>
        <v>1602.95</v>
      </c>
      <c r="I178" s="201">
        <f>IFERROR(IF(F178="Company",H178*G178/12, 0), 0)</f>
        <v>35131.320833333339</v>
      </c>
      <c r="J178" s="184">
        <v>340</v>
      </c>
      <c r="K178" s="201">
        <v>92.063107873663981</v>
      </c>
      <c r="L178" s="14">
        <f>K178*G178</f>
        <v>24212.597370773627</v>
      </c>
      <c r="M178" s="118">
        <f>IF(F178="Company", 'Exh CTM-7 (Unitized Costs)'!$D$18*H178/K178, 0)</f>
        <v>7.9673179179411996E-2</v>
      </c>
      <c r="N178" s="118">
        <f>$N$9</f>
        <v>0.2294659292840994</v>
      </c>
      <c r="O178" s="202">
        <f>SUM(M178:N178)</f>
        <v>0.30913910846351139</v>
      </c>
      <c r="P178" s="84">
        <f>K178*M178</f>
        <v>7.3349604894319658</v>
      </c>
      <c r="Q178" s="84">
        <f>K178*N178</f>
        <v>21.125346601012595</v>
      </c>
      <c r="R178" s="199">
        <f>SUM(P178:Q178)</f>
        <v>28.460307090444559</v>
      </c>
      <c r="S178" s="13">
        <v>0.33681463380552679</v>
      </c>
      <c r="T178" s="199">
        <f>S178*K178</f>
        <v>31.008201965466842</v>
      </c>
      <c r="U178" s="82">
        <f>($U$192*(V178/$V$192))</f>
        <v>5352.4874961562709</v>
      </c>
      <c r="V178" s="82">
        <f>IF(E178="per lamp", R178*G178, O178*L178)</f>
        <v>7485.0607647869192</v>
      </c>
      <c r="W178" s="82">
        <f>IF(E178="per lamp", T178*G178, S178*L178)</f>
        <v>8155.1571169177796</v>
      </c>
      <c r="Z178" s="184"/>
    </row>
    <row r="179" spans="1:3094" x14ac:dyDescent="0.2">
      <c r="A179" s="66">
        <f>A178+1</f>
        <v>172</v>
      </c>
      <c r="B179" s="48" t="s">
        <v>285</v>
      </c>
      <c r="C179" s="107" t="s">
        <v>237</v>
      </c>
      <c r="D179" s="49">
        <v>285</v>
      </c>
      <c r="E179" s="107" t="str">
        <f>'Exh CTM-7 (Tariff Rates Y1)'!G210</f>
        <v>per lamp</v>
      </c>
      <c r="F179" s="107" t="s">
        <v>57</v>
      </c>
      <c r="G179" s="200">
        <v>0</v>
      </c>
      <c r="H179" s="183">
        <f>VLOOKUP(J179, 'Exh CTM-7 (Unitized Costs)'!$C$27:$D$34, 2, FALSE)</f>
        <v>1602.95</v>
      </c>
      <c r="I179" s="201">
        <f>IFERROR(IF(F179="Company",H179*G179/12, 0), 0)</f>
        <v>0</v>
      </c>
      <c r="J179" s="184">
        <v>340</v>
      </c>
      <c r="K179" s="201">
        <v>92.063107873663981</v>
      </c>
      <c r="L179" s="14">
        <f>K179*G179</f>
        <v>0</v>
      </c>
      <c r="M179" s="118">
        <f>IF(F179="Company", 'Exh CTM-7 (Unitized Costs)'!$D$18*H179/K179, 0)</f>
        <v>7.9673179179411996E-2</v>
      </c>
      <c r="N179" s="118">
        <f>$N$9</f>
        <v>0.2294659292840994</v>
      </c>
      <c r="O179" s="202">
        <f>SUM(M179:N179)</f>
        <v>0.30913910846351139</v>
      </c>
      <c r="P179" s="84">
        <f>K179*M179</f>
        <v>7.3349604894319658</v>
      </c>
      <c r="Q179" s="84">
        <f>K179*N179</f>
        <v>21.125346601012595</v>
      </c>
      <c r="R179" s="199">
        <f>SUM(P179:Q179)</f>
        <v>28.460307090444559</v>
      </c>
      <c r="S179" s="13">
        <v>0.33681463380552679</v>
      </c>
      <c r="T179" s="199">
        <f>S179*K179</f>
        <v>31.008201965466842</v>
      </c>
      <c r="U179" s="82">
        <f>($U$192*(V179/$V$192))</f>
        <v>0</v>
      </c>
      <c r="V179" s="82">
        <f>IF(E179="per lamp", R179*G179, O179*L179)</f>
        <v>0</v>
      </c>
      <c r="W179" s="82">
        <f>IF(E179="per lamp", T179*G179, S179*L179)</f>
        <v>0</v>
      </c>
      <c r="Z179" s="184"/>
    </row>
    <row r="180" spans="1:3094" x14ac:dyDescent="0.2">
      <c r="A180" s="66">
        <f>A179+1</f>
        <v>173</v>
      </c>
      <c r="B180" s="48" t="s">
        <v>285</v>
      </c>
      <c r="C180" s="107" t="s">
        <v>273</v>
      </c>
      <c r="D180" s="49">
        <v>350</v>
      </c>
      <c r="E180" s="107" t="str">
        <f>'Exh CTM-7 (Tariff Rates Y1)'!G211</f>
        <v>per lamp</v>
      </c>
      <c r="F180" s="107" t="s">
        <v>57</v>
      </c>
      <c r="G180" s="200">
        <v>0</v>
      </c>
      <c r="H180" s="183">
        <f>VLOOKUP(J180, 'Exh CTM-7 (Unitized Costs)'!$C$27:$D$34, 2, FALSE)</f>
        <v>1388.9766666666667</v>
      </c>
      <c r="I180" s="201">
        <f>IFERROR(IF(F180="Company",H180*G180/12, 0), 0)</f>
        <v>0</v>
      </c>
      <c r="J180" s="184">
        <v>600</v>
      </c>
      <c r="K180" s="201">
        <v>144.31146442180207</v>
      </c>
      <c r="L180" s="14">
        <f>K180*G180</f>
        <v>0</v>
      </c>
      <c r="M180" s="118">
        <f>IF(F180="Company", 'Exh CTM-7 (Unitized Costs)'!$D$18*H180/K180, 0)</f>
        <v>4.404249556784353E-2</v>
      </c>
      <c r="N180" s="118">
        <f>$N$9</f>
        <v>0.2294659292840994</v>
      </c>
      <c r="O180" s="202">
        <f>SUM(M180:N180)</f>
        <v>0.27350842485194293</v>
      </c>
      <c r="P180" s="84">
        <f>K180*M180</f>
        <v>6.3558370321862272</v>
      </c>
      <c r="Q180" s="84">
        <f>K180*N180</f>
        <v>33.114564289898063</v>
      </c>
      <c r="R180" s="199">
        <f>SUM(P180:Q180)</f>
        <v>39.470401322084292</v>
      </c>
      <c r="S180" s="13">
        <v>0.2968147484716549</v>
      </c>
      <c r="T180" s="199">
        <f>S180*K180</f>
        <v>42.833771013933358</v>
      </c>
      <c r="U180" s="82">
        <f>($U$192*(V180/$V$192))</f>
        <v>0</v>
      </c>
      <c r="V180" s="82">
        <f>IF(E180="per lamp", R180*G180, O180*L180)</f>
        <v>0</v>
      </c>
      <c r="W180" s="82">
        <f>IF(E180="per lamp", T180*G180, S180*L180)</f>
        <v>0</v>
      </c>
      <c r="Z180" s="184"/>
    </row>
    <row r="181" spans="1:3094" x14ac:dyDescent="0.2">
      <c r="A181" s="66">
        <f>A180+1</f>
        <v>174</v>
      </c>
      <c r="B181" s="48" t="s">
        <v>285</v>
      </c>
      <c r="C181" s="107" t="s">
        <v>274</v>
      </c>
      <c r="D181" s="49">
        <v>450</v>
      </c>
      <c r="E181" s="107" t="str">
        <f>'Exh CTM-7 (Tariff Rates Y1)'!G212</f>
        <v>per lamp</v>
      </c>
      <c r="F181" s="107" t="s">
        <v>57</v>
      </c>
      <c r="G181" s="200">
        <v>0</v>
      </c>
      <c r="H181" s="183">
        <f>VLOOKUP(J181, 'Exh CTM-7 (Unitized Costs)'!$C$27:$D$34, 2, FALSE)</f>
        <v>1388.9766666666667</v>
      </c>
      <c r="I181" s="201">
        <f>IFERROR(IF(F181="Company",H181*G181/12, 0), 0)</f>
        <v>0</v>
      </c>
      <c r="J181" s="184">
        <v>600</v>
      </c>
      <c r="K181" s="201">
        <v>144.31146442180207</v>
      </c>
      <c r="L181" s="14">
        <f>K181*G181</f>
        <v>0</v>
      </c>
      <c r="M181" s="118">
        <f>IF(F181="Company", 'Exh CTM-7 (Unitized Costs)'!$D$18*H181/K181, 0)</f>
        <v>4.404249556784353E-2</v>
      </c>
      <c r="N181" s="118">
        <f>$N$9</f>
        <v>0.2294659292840994</v>
      </c>
      <c r="O181" s="202">
        <f>SUM(M181:N181)</f>
        <v>0.27350842485194293</v>
      </c>
      <c r="P181" s="84">
        <f>K181*M181</f>
        <v>6.3558370321862272</v>
      </c>
      <c r="Q181" s="84">
        <f>K181*N181</f>
        <v>33.114564289898063</v>
      </c>
      <c r="R181" s="199">
        <f>SUM(P181:Q181)</f>
        <v>39.470401322084292</v>
      </c>
      <c r="S181" s="13">
        <v>0.2968147484716549</v>
      </c>
      <c r="T181" s="199">
        <f>S181*K181</f>
        <v>42.833771013933358</v>
      </c>
      <c r="U181" s="82">
        <f>($U$192*(V181/$V$192))</f>
        <v>0</v>
      </c>
      <c r="V181" s="82">
        <f>IF(E181="per lamp", R181*G181, O181*L181)</f>
        <v>0</v>
      </c>
      <c r="W181" s="82">
        <f>IF(E181="per lamp", T181*G181, S181*L181)</f>
        <v>0</v>
      </c>
      <c r="Z181" s="184"/>
    </row>
    <row r="182" spans="1:3094" x14ac:dyDescent="0.2">
      <c r="A182" s="66">
        <f>A181+1</f>
        <v>175</v>
      </c>
      <c r="B182" s="48" t="s">
        <v>285</v>
      </c>
      <c r="C182" s="107" t="s">
        <v>275</v>
      </c>
      <c r="D182" s="49">
        <v>550</v>
      </c>
      <c r="E182" s="107" t="str">
        <f>'Exh CTM-7 (Tariff Rates Y1)'!G213</f>
        <v>per lamp</v>
      </c>
      <c r="F182" s="107" t="s">
        <v>57</v>
      </c>
      <c r="G182" s="200">
        <v>0</v>
      </c>
      <c r="H182" s="183">
        <f>VLOOKUP(J182, 'Exh CTM-7 (Unitized Costs)'!$C$27:$D$34, 2, FALSE)</f>
        <v>1388.9766666666667</v>
      </c>
      <c r="I182" s="201">
        <f>IFERROR(IF(F182="Company",H182*G182/12, 0), 0)</f>
        <v>0</v>
      </c>
      <c r="J182" s="184">
        <v>600</v>
      </c>
      <c r="K182" s="201">
        <v>144.31146442180207</v>
      </c>
      <c r="L182" s="14">
        <f>K182*G182</f>
        <v>0</v>
      </c>
      <c r="M182" s="118">
        <f>IF(F182="Company", 'Exh CTM-7 (Unitized Costs)'!$D$18*H182/K182, 0)</f>
        <v>4.404249556784353E-2</v>
      </c>
      <c r="N182" s="118">
        <f>$N$9</f>
        <v>0.2294659292840994</v>
      </c>
      <c r="O182" s="202">
        <f>SUM(M182:N182)</f>
        <v>0.27350842485194293</v>
      </c>
      <c r="P182" s="84">
        <f>K182*M182</f>
        <v>6.3558370321862272</v>
      </c>
      <c r="Q182" s="84">
        <f>K182*N182</f>
        <v>33.114564289898063</v>
      </c>
      <c r="R182" s="199">
        <f>SUM(P182:Q182)</f>
        <v>39.470401322084292</v>
      </c>
      <c r="S182" s="13">
        <v>0.2968147484716549</v>
      </c>
      <c r="T182" s="199">
        <f>S182*K182</f>
        <v>42.833771013933358</v>
      </c>
      <c r="U182" s="82">
        <f>($U$192*(V182/$V$192))</f>
        <v>0</v>
      </c>
      <c r="V182" s="82">
        <f>IF(E182="per lamp", R182*G182, O182*L182)</f>
        <v>0</v>
      </c>
      <c r="W182" s="82">
        <f>IF(E182="per lamp", T182*G182, S182*L182)</f>
        <v>0</v>
      </c>
      <c r="Z182" s="184"/>
    </row>
    <row r="183" spans="1:3094" x14ac:dyDescent="0.2">
      <c r="A183" s="66">
        <f>A182+1</f>
        <v>176</v>
      </c>
      <c r="B183" s="48" t="s">
        <v>285</v>
      </c>
      <c r="C183" s="107" t="s">
        <v>276</v>
      </c>
      <c r="D183" s="49">
        <v>650</v>
      </c>
      <c r="E183" s="107" t="str">
        <f>'Exh CTM-7 (Tariff Rates Y1)'!G214</f>
        <v>per lamp</v>
      </c>
      <c r="F183" s="107" t="s">
        <v>57</v>
      </c>
      <c r="G183" s="200">
        <v>0</v>
      </c>
      <c r="H183" s="183">
        <f>VLOOKUP(J183, 'Exh CTM-7 (Unitized Costs)'!$C$27:$D$34, 2, FALSE)</f>
        <v>1783.47</v>
      </c>
      <c r="I183" s="201">
        <f>IFERROR(IF(F183="Company",H183*G183/12, 0), 0)</f>
        <v>0</v>
      </c>
      <c r="J183" s="184">
        <v>1000</v>
      </c>
      <c r="K183" s="201">
        <v>360.77866105450516</v>
      </c>
      <c r="L183" s="14">
        <f>K183*G183</f>
        <v>0</v>
      </c>
      <c r="M183" s="118">
        <f>IF(F183="Company", 'Exh CTM-7 (Unitized Costs)'!$D$18*H183/K183, 0)</f>
        <v>2.2620529618798079E-2</v>
      </c>
      <c r="N183" s="118">
        <f>$N$9</f>
        <v>0.2294659292840994</v>
      </c>
      <c r="O183" s="202">
        <f>SUM(M183:N183)</f>
        <v>0.25208645890289749</v>
      </c>
      <c r="P183" s="84">
        <f>K183*M183</f>
        <v>8.1610043882137475</v>
      </c>
      <c r="Q183" s="84">
        <f>K183*N183</f>
        <v>82.786410724745153</v>
      </c>
      <c r="R183" s="199">
        <f>SUM(P183:Q183)</f>
        <v>90.947415112958907</v>
      </c>
      <c r="S183" s="13">
        <v>0.27276592047471698</v>
      </c>
      <c r="T183" s="199">
        <f>S183*K183</f>
        <v>98.40812357016803</v>
      </c>
      <c r="U183" s="82">
        <f>($U$192*(V183/$V$192))</f>
        <v>0</v>
      </c>
      <c r="V183" s="82">
        <f>IF(E183="per lamp", R183*G183, O183*L183)</f>
        <v>0</v>
      </c>
      <c r="W183" s="82">
        <f>IF(E183="per lamp", T183*G183, S183*L183)</f>
        <v>0</v>
      </c>
      <c r="Z183" s="184"/>
    </row>
    <row r="184" spans="1:3094" x14ac:dyDescent="0.2">
      <c r="A184" s="66">
        <f>A183+1</f>
        <v>177</v>
      </c>
      <c r="B184" s="48" t="s">
        <v>285</v>
      </c>
      <c r="C184" s="107" t="s">
        <v>277</v>
      </c>
      <c r="D184" s="49">
        <v>750</v>
      </c>
      <c r="E184" s="107" t="str">
        <f>'Exh CTM-7 (Tariff Rates Y1)'!G215</f>
        <v>per lamp</v>
      </c>
      <c r="F184" s="107" t="s">
        <v>57</v>
      </c>
      <c r="G184" s="200">
        <v>0</v>
      </c>
      <c r="H184" s="183">
        <f>VLOOKUP(J184, 'Exh CTM-7 (Unitized Costs)'!$C$27:$D$34, 2, FALSE)</f>
        <v>1783.47</v>
      </c>
      <c r="I184" s="201">
        <f>IFERROR(IF(F184="Company",H184*G184/12, 0), 0)</f>
        <v>0</v>
      </c>
      <c r="J184" s="184">
        <v>1000</v>
      </c>
      <c r="K184" s="201">
        <v>360.77866105450516</v>
      </c>
      <c r="L184" s="14">
        <f>K184*G184</f>
        <v>0</v>
      </c>
      <c r="M184" s="118">
        <f>IF(F184="Company", 'Exh CTM-7 (Unitized Costs)'!$D$18*H184/K184, 0)</f>
        <v>2.2620529618798079E-2</v>
      </c>
      <c r="N184" s="118">
        <f>$N$9</f>
        <v>0.2294659292840994</v>
      </c>
      <c r="O184" s="202">
        <f>SUM(M184:N184)</f>
        <v>0.25208645890289749</v>
      </c>
      <c r="P184" s="84">
        <f>K184*M184</f>
        <v>8.1610043882137475</v>
      </c>
      <c r="Q184" s="84">
        <f>K184*N184</f>
        <v>82.786410724745153</v>
      </c>
      <c r="R184" s="199">
        <f>SUM(P184:Q184)</f>
        <v>90.947415112958907</v>
      </c>
      <c r="S184" s="13">
        <v>0.27276592047471698</v>
      </c>
      <c r="T184" s="199">
        <f>S184*K184</f>
        <v>98.40812357016803</v>
      </c>
      <c r="U184" s="82">
        <f>($U$192*(V184/$V$192))</f>
        <v>0</v>
      </c>
      <c r="V184" s="82">
        <f>IF(E184="per lamp", R184*G184, O184*L184)</f>
        <v>0</v>
      </c>
      <c r="W184" s="82">
        <f>IF(E184="per lamp", T184*G184, S184*L184)</f>
        <v>0</v>
      </c>
      <c r="Z184" s="184"/>
    </row>
    <row r="185" spans="1:3094" x14ac:dyDescent="0.2">
      <c r="A185" s="66">
        <f>A184+1</f>
        <v>178</v>
      </c>
      <c r="B185" s="48" t="s">
        <v>285</v>
      </c>
      <c r="C185" s="107" t="s">
        <v>278</v>
      </c>
      <c r="D185" s="49">
        <v>850</v>
      </c>
      <c r="E185" s="107" t="str">
        <f>'Exh CTM-7 (Tariff Rates Y1)'!G216</f>
        <v>per lamp</v>
      </c>
      <c r="F185" s="107" t="s">
        <v>57</v>
      </c>
      <c r="G185" s="200">
        <v>0</v>
      </c>
      <c r="H185" s="183">
        <f>VLOOKUP(J185, 'Exh CTM-7 (Unitized Costs)'!$C$27:$D$34, 2, FALSE)</f>
        <v>1783.47</v>
      </c>
      <c r="I185" s="201">
        <f>IFERROR(IF(F185="Company",H185*G185/12, 0), 0)</f>
        <v>0</v>
      </c>
      <c r="J185" s="184">
        <v>1000</v>
      </c>
      <c r="K185" s="201">
        <v>360.77866105450516</v>
      </c>
      <c r="L185" s="14">
        <f>K185*G185</f>
        <v>0</v>
      </c>
      <c r="M185" s="118">
        <f>IF(F185="Company", 'Exh CTM-7 (Unitized Costs)'!$D$18*H185/K185, 0)</f>
        <v>2.2620529618798079E-2</v>
      </c>
      <c r="N185" s="118">
        <f>$N$9</f>
        <v>0.2294659292840994</v>
      </c>
      <c r="O185" s="202">
        <f>SUM(M185:N185)</f>
        <v>0.25208645890289749</v>
      </c>
      <c r="P185" s="84">
        <f>K185*M185</f>
        <v>8.1610043882137475</v>
      </c>
      <c r="Q185" s="84">
        <f>K185*N185</f>
        <v>82.786410724745153</v>
      </c>
      <c r="R185" s="199">
        <f>SUM(P185:Q185)</f>
        <v>90.947415112958907</v>
      </c>
      <c r="S185" s="13">
        <v>0.27276592047471698</v>
      </c>
      <c r="T185" s="199">
        <f>S185*K185</f>
        <v>98.40812357016803</v>
      </c>
      <c r="U185" s="82">
        <f>($U$192*(V185/$V$192))</f>
        <v>0</v>
      </c>
      <c r="V185" s="82">
        <f>IF(E185="per lamp", R185*G185, O185*L185)</f>
        <v>0</v>
      </c>
      <c r="W185" s="82">
        <f>IF(E185="per lamp", T185*G185, S185*L185)</f>
        <v>0</v>
      </c>
      <c r="Z185" s="184"/>
    </row>
    <row r="186" spans="1:3094" s="77" customFormat="1" x14ac:dyDescent="0.2">
      <c r="A186" s="66">
        <f>A185+1</f>
        <v>179</v>
      </c>
      <c r="B186" s="54"/>
      <c r="C186" s="208"/>
      <c r="D186" s="55"/>
      <c r="E186" s="208"/>
      <c r="F186" s="208"/>
      <c r="G186" s="209"/>
      <c r="H186" s="210"/>
      <c r="I186" s="211"/>
      <c r="J186" s="212"/>
      <c r="K186" s="211"/>
      <c r="L186" s="12"/>
      <c r="M186" s="213"/>
      <c r="N186" s="213"/>
      <c r="O186" s="214"/>
      <c r="P186" s="213"/>
      <c r="Q186" s="213"/>
      <c r="R186" s="214"/>
      <c r="S186" s="214"/>
      <c r="T186" s="214"/>
      <c r="U186" s="153"/>
      <c r="V186" s="153"/>
      <c r="W186" s="153"/>
      <c r="X186" s="65"/>
      <c r="Y186" s="65"/>
      <c r="Z186" s="65"/>
      <c r="AA186" s="65"/>
      <c r="AB186" s="65"/>
      <c r="AC186" s="65"/>
      <c r="AD186" s="65"/>
      <c r="AE186" s="65"/>
      <c r="AF186" s="65"/>
      <c r="AG186" s="65"/>
      <c r="AH186" s="65"/>
      <c r="AI186" s="65"/>
      <c r="AJ186" s="65"/>
      <c r="AK186" s="65"/>
      <c r="AL186" s="65"/>
      <c r="AM186" s="65"/>
      <c r="AN186" s="65"/>
      <c r="AO186" s="65"/>
      <c r="AP186" s="65"/>
      <c r="AQ186" s="65"/>
      <c r="AR186" s="65"/>
      <c r="AS186" s="65"/>
      <c r="AT186" s="65"/>
      <c r="AU186" s="65"/>
      <c r="AV186" s="65"/>
      <c r="AW186" s="65"/>
      <c r="AX186" s="65"/>
      <c r="AY186" s="65"/>
      <c r="AZ186" s="65"/>
      <c r="BA186" s="65"/>
      <c r="BB186" s="65"/>
      <c r="BC186" s="65"/>
      <c r="BD186" s="65"/>
      <c r="BE186" s="65"/>
      <c r="BF186" s="65"/>
      <c r="BG186" s="65"/>
      <c r="BH186" s="65"/>
      <c r="BI186" s="65"/>
      <c r="BJ186" s="65"/>
      <c r="BK186" s="65"/>
      <c r="BL186" s="65"/>
      <c r="BM186" s="65"/>
      <c r="BN186" s="65"/>
      <c r="BO186" s="65"/>
      <c r="BP186" s="65"/>
      <c r="BQ186" s="65"/>
      <c r="BR186" s="65"/>
      <c r="BS186" s="65"/>
      <c r="BT186" s="65"/>
      <c r="BU186" s="65"/>
      <c r="BV186" s="65"/>
      <c r="BW186" s="65"/>
      <c r="BX186" s="65"/>
      <c r="BY186" s="65"/>
      <c r="BZ186" s="65"/>
      <c r="CA186" s="65"/>
      <c r="CB186" s="65"/>
      <c r="CC186" s="65"/>
      <c r="CD186" s="65"/>
      <c r="CE186" s="65"/>
      <c r="CF186" s="65"/>
      <c r="CG186" s="65"/>
      <c r="CH186" s="65"/>
      <c r="CI186" s="65"/>
      <c r="CJ186" s="65"/>
      <c r="CK186" s="65"/>
      <c r="CL186" s="65"/>
      <c r="CM186" s="65"/>
      <c r="CN186" s="65"/>
      <c r="CO186" s="65"/>
      <c r="CP186" s="65"/>
      <c r="CQ186" s="65"/>
      <c r="CR186" s="65"/>
      <c r="CS186" s="65"/>
      <c r="CT186" s="65"/>
      <c r="CU186" s="65"/>
      <c r="CV186" s="65"/>
      <c r="CW186" s="65"/>
      <c r="CX186" s="65"/>
      <c r="CY186" s="65"/>
      <c r="CZ186" s="65"/>
      <c r="DA186" s="65"/>
      <c r="DB186" s="65"/>
      <c r="DC186" s="65"/>
      <c r="DD186" s="65"/>
      <c r="DE186" s="65"/>
      <c r="DF186" s="65"/>
      <c r="DG186" s="65"/>
      <c r="DH186" s="65"/>
      <c r="DI186" s="65"/>
      <c r="DJ186" s="65"/>
      <c r="DK186" s="65"/>
      <c r="DL186" s="65"/>
      <c r="DM186" s="65"/>
      <c r="DN186" s="65"/>
      <c r="DO186" s="65"/>
      <c r="DP186" s="65"/>
      <c r="DQ186" s="65"/>
      <c r="DR186" s="65"/>
      <c r="DS186" s="65"/>
      <c r="DT186" s="65"/>
      <c r="DU186" s="65"/>
      <c r="DV186" s="65"/>
      <c r="DW186" s="65"/>
      <c r="DX186" s="65"/>
      <c r="DY186" s="65"/>
      <c r="DZ186" s="65"/>
      <c r="EA186" s="65"/>
      <c r="EB186" s="65"/>
      <c r="EC186" s="65"/>
      <c r="ED186" s="65"/>
      <c r="EE186" s="65"/>
      <c r="EF186" s="65"/>
      <c r="EG186" s="65"/>
      <c r="EH186" s="65"/>
      <c r="EI186" s="65"/>
      <c r="EJ186" s="65"/>
      <c r="EK186" s="65"/>
      <c r="EL186" s="65"/>
      <c r="EM186" s="65"/>
      <c r="EN186" s="65"/>
      <c r="EO186" s="65"/>
      <c r="EP186" s="65"/>
      <c r="EQ186" s="65"/>
      <c r="ER186" s="65"/>
      <c r="ES186" s="65"/>
      <c r="ET186" s="65"/>
      <c r="EU186" s="65"/>
      <c r="EV186" s="65"/>
      <c r="EW186" s="65"/>
      <c r="EX186" s="65"/>
      <c r="EY186" s="65"/>
      <c r="EZ186" s="65"/>
      <c r="FA186" s="65"/>
      <c r="FB186" s="65"/>
      <c r="FC186" s="65"/>
      <c r="FD186" s="65"/>
      <c r="FE186" s="65"/>
      <c r="FF186" s="65"/>
      <c r="FG186" s="65"/>
      <c r="FH186" s="65"/>
      <c r="FI186" s="65"/>
      <c r="FJ186" s="65"/>
      <c r="FK186" s="65"/>
      <c r="FL186" s="65"/>
      <c r="FM186" s="65"/>
      <c r="FN186" s="65"/>
      <c r="FO186" s="65"/>
      <c r="FP186" s="65"/>
      <c r="FQ186" s="65"/>
      <c r="FR186" s="65"/>
      <c r="FS186" s="65"/>
      <c r="FT186" s="65"/>
      <c r="FU186" s="65"/>
      <c r="FV186" s="65"/>
      <c r="FW186" s="65"/>
      <c r="FX186" s="65"/>
      <c r="FY186" s="65"/>
      <c r="FZ186" s="65"/>
      <c r="GA186" s="65"/>
      <c r="GB186" s="65"/>
      <c r="GC186" s="65"/>
      <c r="GD186" s="65"/>
      <c r="GE186" s="65"/>
      <c r="GF186" s="65"/>
      <c r="GG186" s="65"/>
      <c r="GH186" s="65"/>
      <c r="GI186" s="65"/>
      <c r="GJ186" s="65"/>
      <c r="GK186" s="65"/>
      <c r="GL186" s="65"/>
      <c r="GM186" s="65"/>
      <c r="GN186" s="65"/>
      <c r="GO186" s="65"/>
      <c r="GP186" s="65"/>
      <c r="GQ186" s="65"/>
      <c r="GR186" s="65"/>
      <c r="GS186" s="65"/>
      <c r="GT186" s="65"/>
      <c r="GU186" s="65"/>
      <c r="GV186" s="65"/>
      <c r="GW186" s="65"/>
      <c r="GX186" s="65"/>
      <c r="GY186" s="65"/>
      <c r="GZ186" s="65"/>
      <c r="HA186" s="65"/>
      <c r="HB186" s="65"/>
      <c r="HC186" s="65"/>
      <c r="HD186" s="65"/>
      <c r="HE186" s="65"/>
      <c r="HF186" s="65"/>
      <c r="HG186" s="65"/>
      <c r="HH186" s="65"/>
      <c r="HI186" s="65"/>
      <c r="HJ186" s="65"/>
      <c r="HK186" s="65"/>
      <c r="HL186" s="65"/>
      <c r="HM186" s="65"/>
      <c r="HN186" s="65"/>
      <c r="HO186" s="65"/>
      <c r="HP186" s="65"/>
      <c r="HQ186" s="65"/>
      <c r="HR186" s="65"/>
      <c r="HS186" s="65"/>
      <c r="HT186" s="65"/>
      <c r="HU186" s="65"/>
      <c r="HV186" s="65"/>
      <c r="HW186" s="65"/>
      <c r="HX186" s="65"/>
      <c r="HY186" s="65"/>
      <c r="HZ186" s="65"/>
      <c r="IA186" s="65"/>
      <c r="IB186" s="65"/>
      <c r="IC186" s="65"/>
      <c r="ID186" s="65"/>
      <c r="IE186" s="65"/>
      <c r="IF186" s="65"/>
      <c r="IG186" s="65"/>
      <c r="IH186" s="65"/>
      <c r="II186" s="65"/>
      <c r="IJ186" s="65"/>
      <c r="IK186" s="65"/>
      <c r="IL186" s="65"/>
      <c r="IM186" s="65"/>
      <c r="IN186" s="65"/>
      <c r="IO186" s="65"/>
      <c r="IP186" s="65"/>
      <c r="IQ186" s="65"/>
      <c r="IR186" s="65"/>
      <c r="IS186" s="65"/>
      <c r="IT186" s="65"/>
      <c r="IU186" s="65"/>
      <c r="IV186" s="65"/>
      <c r="IW186" s="65"/>
      <c r="IX186" s="65"/>
      <c r="IY186" s="65"/>
      <c r="IZ186" s="65"/>
      <c r="JA186" s="65"/>
      <c r="JB186" s="65"/>
      <c r="JC186" s="65"/>
      <c r="JD186" s="65"/>
      <c r="JE186" s="65"/>
      <c r="JF186" s="65"/>
      <c r="JG186" s="65"/>
      <c r="JH186" s="65"/>
      <c r="JI186" s="65"/>
      <c r="JJ186" s="65"/>
      <c r="JK186" s="65"/>
      <c r="JL186" s="65"/>
      <c r="JM186" s="65"/>
      <c r="JN186" s="65"/>
      <c r="JO186" s="65"/>
      <c r="JP186" s="65"/>
      <c r="JQ186" s="65"/>
      <c r="JR186" s="65"/>
      <c r="JS186" s="65"/>
      <c r="JT186" s="65"/>
      <c r="JU186" s="65"/>
      <c r="JV186" s="65"/>
      <c r="JW186" s="65"/>
      <c r="JX186" s="65"/>
      <c r="JY186" s="65"/>
      <c r="JZ186" s="65"/>
      <c r="KA186" s="65"/>
      <c r="KB186" s="65"/>
      <c r="KC186" s="65"/>
      <c r="KD186" s="65"/>
      <c r="KE186" s="65"/>
      <c r="KF186" s="65"/>
      <c r="KG186" s="65"/>
      <c r="KH186" s="65"/>
      <c r="KI186" s="65"/>
      <c r="KJ186" s="65"/>
      <c r="KK186" s="65"/>
      <c r="KL186" s="65"/>
      <c r="KM186" s="65"/>
      <c r="KN186" s="65"/>
      <c r="KO186" s="65"/>
      <c r="KP186" s="65"/>
      <c r="KQ186" s="65"/>
      <c r="KR186" s="65"/>
      <c r="KS186" s="65"/>
      <c r="KT186" s="65"/>
      <c r="KU186" s="65"/>
      <c r="KV186" s="65"/>
      <c r="KW186" s="65"/>
      <c r="KX186" s="65"/>
      <c r="KY186" s="65"/>
      <c r="KZ186" s="65"/>
      <c r="LA186" s="65"/>
      <c r="LB186" s="65"/>
      <c r="LC186" s="65"/>
      <c r="LD186" s="65"/>
      <c r="LE186" s="65"/>
      <c r="LF186" s="65"/>
      <c r="LG186" s="65"/>
      <c r="LH186" s="65"/>
      <c r="LI186" s="65"/>
      <c r="LJ186" s="65"/>
      <c r="LK186" s="65"/>
      <c r="LL186" s="65"/>
      <c r="LM186" s="65"/>
      <c r="LN186" s="65"/>
      <c r="LO186" s="65"/>
      <c r="LP186" s="65"/>
      <c r="LQ186" s="65"/>
      <c r="LR186" s="65"/>
      <c r="LS186" s="65"/>
      <c r="LT186" s="65"/>
      <c r="LU186" s="65"/>
      <c r="LV186" s="65"/>
      <c r="LW186" s="65"/>
      <c r="LX186" s="65"/>
      <c r="LY186" s="65"/>
      <c r="LZ186" s="65"/>
      <c r="MA186" s="65"/>
      <c r="MB186" s="65"/>
      <c r="MC186" s="65"/>
      <c r="MD186" s="65"/>
      <c r="ME186" s="65"/>
      <c r="MF186" s="65"/>
      <c r="MG186" s="65"/>
      <c r="MH186" s="65"/>
      <c r="MI186" s="65"/>
      <c r="MJ186" s="65"/>
      <c r="MK186" s="65"/>
      <c r="ML186" s="65"/>
      <c r="MM186" s="65"/>
      <c r="MN186" s="65"/>
      <c r="MO186" s="65"/>
      <c r="MP186" s="65"/>
      <c r="MQ186" s="65"/>
      <c r="MR186" s="65"/>
      <c r="MS186" s="65"/>
      <c r="MT186" s="65"/>
      <c r="MU186" s="65"/>
      <c r="MV186" s="65"/>
      <c r="MW186" s="65"/>
      <c r="MX186" s="65"/>
      <c r="MY186" s="65"/>
      <c r="MZ186" s="65"/>
      <c r="NA186" s="65"/>
      <c r="NB186" s="65"/>
      <c r="NC186" s="65"/>
      <c r="ND186" s="65"/>
      <c r="NE186" s="65"/>
      <c r="NF186" s="65"/>
      <c r="NG186" s="65"/>
      <c r="NH186" s="65"/>
      <c r="NI186" s="65"/>
      <c r="NJ186" s="65"/>
      <c r="NK186" s="65"/>
      <c r="NL186" s="65"/>
      <c r="NM186" s="65"/>
      <c r="NN186" s="65"/>
      <c r="NO186" s="65"/>
      <c r="NP186" s="65"/>
      <c r="NQ186" s="65"/>
      <c r="NR186" s="65"/>
      <c r="NS186" s="65"/>
      <c r="NT186" s="65"/>
      <c r="NU186" s="65"/>
      <c r="NV186" s="65"/>
      <c r="NW186" s="65"/>
      <c r="NX186" s="65"/>
      <c r="NY186" s="65"/>
      <c r="NZ186" s="65"/>
      <c r="OA186" s="65"/>
      <c r="OB186" s="65"/>
      <c r="OC186" s="65"/>
      <c r="OD186" s="65"/>
      <c r="OE186" s="65"/>
      <c r="OF186" s="65"/>
      <c r="OG186" s="65"/>
      <c r="OH186" s="65"/>
      <c r="OI186" s="65"/>
      <c r="OJ186" s="65"/>
      <c r="OK186" s="65"/>
      <c r="OL186" s="65"/>
      <c r="OM186" s="65"/>
      <c r="ON186" s="65"/>
      <c r="OO186" s="65"/>
      <c r="OP186" s="65"/>
      <c r="OQ186" s="65"/>
      <c r="OR186" s="65"/>
      <c r="OS186" s="65"/>
      <c r="OT186" s="65"/>
      <c r="OU186" s="65"/>
      <c r="OV186" s="65"/>
      <c r="OW186" s="65"/>
      <c r="OX186" s="65"/>
      <c r="OY186" s="65"/>
      <c r="OZ186" s="65"/>
      <c r="PA186" s="65"/>
      <c r="PB186" s="65"/>
      <c r="PC186" s="65"/>
      <c r="PD186" s="65"/>
      <c r="PE186" s="65"/>
      <c r="PF186" s="65"/>
      <c r="PG186" s="65"/>
      <c r="PH186" s="65"/>
      <c r="PI186" s="65"/>
      <c r="PJ186" s="65"/>
      <c r="PK186" s="65"/>
      <c r="PL186" s="65"/>
      <c r="PM186" s="65"/>
      <c r="PN186" s="65"/>
      <c r="PO186" s="65"/>
      <c r="PP186" s="65"/>
      <c r="PQ186" s="65"/>
      <c r="PR186" s="65"/>
      <c r="PS186" s="65"/>
      <c r="PT186" s="65"/>
      <c r="PU186" s="65"/>
      <c r="PV186" s="65"/>
      <c r="PW186" s="65"/>
      <c r="PX186" s="65"/>
      <c r="PY186" s="65"/>
      <c r="PZ186" s="65"/>
      <c r="QA186" s="65"/>
      <c r="QB186" s="65"/>
      <c r="QC186" s="65"/>
      <c r="QD186" s="65"/>
      <c r="QE186" s="65"/>
      <c r="QF186" s="65"/>
      <c r="QG186" s="65"/>
      <c r="QH186" s="65"/>
      <c r="QI186" s="65"/>
      <c r="QJ186" s="65"/>
      <c r="QK186" s="65"/>
      <c r="QL186" s="65"/>
      <c r="QM186" s="65"/>
      <c r="QN186" s="65"/>
      <c r="QO186" s="65"/>
      <c r="QP186" s="65"/>
      <c r="QQ186" s="65"/>
      <c r="QR186" s="65"/>
      <c r="QS186" s="65"/>
      <c r="QT186" s="65"/>
      <c r="QU186" s="65"/>
      <c r="QV186" s="65"/>
      <c r="QW186" s="65"/>
      <c r="QX186" s="65"/>
      <c r="QY186" s="65"/>
      <c r="QZ186" s="65"/>
      <c r="RA186" s="65"/>
      <c r="RB186" s="65"/>
      <c r="RC186" s="65"/>
      <c r="RD186" s="65"/>
      <c r="RE186" s="65"/>
      <c r="RF186" s="65"/>
      <c r="RG186" s="65"/>
      <c r="RH186" s="65"/>
      <c r="RI186" s="65"/>
      <c r="RJ186" s="65"/>
      <c r="RK186" s="65"/>
      <c r="RL186" s="65"/>
      <c r="RM186" s="65"/>
      <c r="RN186" s="65"/>
      <c r="RO186" s="65"/>
      <c r="RP186" s="65"/>
      <c r="RQ186" s="65"/>
      <c r="RR186" s="65"/>
      <c r="RS186" s="65"/>
      <c r="RT186" s="65"/>
      <c r="RU186" s="65"/>
      <c r="RV186" s="65"/>
      <c r="RW186" s="65"/>
      <c r="RX186" s="65"/>
      <c r="RY186" s="65"/>
      <c r="RZ186" s="65"/>
      <c r="SA186" s="65"/>
      <c r="SB186" s="65"/>
      <c r="SC186" s="65"/>
      <c r="SD186" s="65"/>
      <c r="SE186" s="65"/>
      <c r="SF186" s="65"/>
      <c r="SG186" s="65"/>
      <c r="SH186" s="65"/>
      <c r="SI186" s="65"/>
      <c r="SJ186" s="65"/>
      <c r="SK186" s="65"/>
      <c r="SL186" s="65"/>
      <c r="SM186" s="65"/>
      <c r="SN186" s="65"/>
      <c r="SO186" s="65"/>
      <c r="SP186" s="65"/>
      <c r="SQ186" s="65"/>
      <c r="SR186" s="65"/>
      <c r="SS186" s="65"/>
      <c r="ST186" s="65"/>
      <c r="SU186" s="65"/>
      <c r="SV186" s="65"/>
      <c r="SW186" s="65"/>
      <c r="SX186" s="65"/>
      <c r="SY186" s="65"/>
      <c r="SZ186" s="65"/>
      <c r="TA186" s="65"/>
      <c r="TB186" s="65"/>
      <c r="TC186" s="65"/>
      <c r="TD186" s="65"/>
      <c r="TE186" s="65"/>
      <c r="TF186" s="65"/>
      <c r="TG186" s="65"/>
      <c r="TH186" s="65"/>
      <c r="TI186" s="65"/>
      <c r="TJ186" s="65"/>
      <c r="TK186" s="65"/>
      <c r="TL186" s="65"/>
      <c r="TM186" s="65"/>
      <c r="TN186" s="65"/>
      <c r="TO186" s="65"/>
      <c r="TP186" s="65"/>
      <c r="TQ186" s="65"/>
      <c r="TR186" s="65"/>
      <c r="TS186" s="65"/>
      <c r="TT186" s="65"/>
      <c r="TU186" s="65"/>
      <c r="TV186" s="65"/>
      <c r="TW186" s="65"/>
      <c r="TX186" s="65"/>
      <c r="TY186" s="65"/>
      <c r="TZ186" s="65"/>
      <c r="UA186" s="65"/>
      <c r="UB186" s="65"/>
      <c r="UC186" s="65"/>
      <c r="UD186" s="65"/>
      <c r="UE186" s="65"/>
      <c r="UF186" s="65"/>
      <c r="UG186" s="65"/>
      <c r="UH186" s="65"/>
      <c r="UI186" s="65"/>
      <c r="UJ186" s="65"/>
      <c r="UK186" s="65"/>
      <c r="UL186" s="65"/>
      <c r="UM186" s="65"/>
      <c r="UN186" s="65"/>
      <c r="UO186" s="65"/>
      <c r="UP186" s="65"/>
      <c r="UQ186" s="65"/>
      <c r="UR186" s="65"/>
      <c r="US186" s="65"/>
      <c r="UT186" s="65"/>
      <c r="UU186" s="65"/>
      <c r="UV186" s="65"/>
      <c r="UW186" s="65"/>
      <c r="UX186" s="65"/>
      <c r="UY186" s="65"/>
      <c r="UZ186" s="65"/>
      <c r="VA186" s="65"/>
      <c r="VB186" s="65"/>
      <c r="VC186" s="65"/>
      <c r="VD186" s="65"/>
      <c r="VE186" s="65"/>
      <c r="VF186" s="65"/>
      <c r="VG186" s="65"/>
      <c r="VH186" s="65"/>
      <c r="VI186" s="65"/>
      <c r="VJ186" s="65"/>
      <c r="VK186" s="65"/>
      <c r="VL186" s="65"/>
      <c r="VM186" s="65"/>
      <c r="VN186" s="65"/>
      <c r="VO186" s="65"/>
      <c r="VP186" s="65"/>
      <c r="VQ186" s="65"/>
      <c r="VR186" s="65"/>
      <c r="VS186" s="65"/>
      <c r="VT186" s="65"/>
      <c r="VU186" s="65"/>
      <c r="VV186" s="65"/>
      <c r="VW186" s="65"/>
      <c r="VX186" s="65"/>
      <c r="VY186" s="65"/>
      <c r="VZ186" s="65"/>
      <c r="WA186" s="65"/>
      <c r="WB186" s="65"/>
      <c r="WC186" s="65"/>
      <c r="WD186" s="65"/>
      <c r="WE186" s="65"/>
      <c r="WF186" s="65"/>
      <c r="WG186" s="65"/>
      <c r="WH186" s="65"/>
      <c r="WI186" s="65"/>
      <c r="WJ186" s="65"/>
      <c r="WK186" s="65"/>
      <c r="WL186" s="65"/>
      <c r="WM186" s="65"/>
      <c r="WN186" s="65"/>
      <c r="WO186" s="65"/>
      <c r="WP186" s="65"/>
      <c r="WQ186" s="65"/>
      <c r="WR186" s="65"/>
      <c r="WS186" s="65"/>
      <c r="WT186" s="65"/>
      <c r="WU186" s="65"/>
      <c r="WV186" s="65"/>
      <c r="WW186" s="65"/>
      <c r="WX186" s="65"/>
      <c r="WY186" s="65"/>
      <c r="WZ186" s="65"/>
      <c r="XA186" s="65"/>
      <c r="XB186" s="65"/>
      <c r="XC186" s="65"/>
      <c r="XD186" s="65"/>
      <c r="XE186" s="65"/>
      <c r="XF186" s="65"/>
      <c r="XG186" s="65"/>
      <c r="XH186" s="65"/>
      <c r="XI186" s="65"/>
      <c r="XJ186" s="65"/>
      <c r="XK186" s="65"/>
      <c r="XL186" s="65"/>
      <c r="XM186" s="65"/>
      <c r="XN186" s="65"/>
      <c r="XO186" s="65"/>
      <c r="XP186" s="65"/>
      <c r="XQ186" s="65"/>
      <c r="XR186" s="65"/>
      <c r="XS186" s="65"/>
      <c r="XT186" s="65"/>
      <c r="XU186" s="65"/>
      <c r="XV186" s="65"/>
      <c r="XW186" s="65"/>
      <c r="XX186" s="65"/>
      <c r="XY186" s="65"/>
      <c r="XZ186" s="65"/>
      <c r="YA186" s="65"/>
      <c r="YB186" s="65"/>
      <c r="YC186" s="65"/>
      <c r="YD186" s="65"/>
      <c r="YE186" s="65"/>
      <c r="YF186" s="65"/>
      <c r="YG186" s="65"/>
      <c r="YH186" s="65"/>
      <c r="YI186" s="65"/>
      <c r="YJ186" s="65"/>
      <c r="YK186" s="65"/>
      <c r="YL186" s="65"/>
      <c r="YM186" s="65"/>
      <c r="YN186" s="65"/>
      <c r="YO186" s="65"/>
      <c r="YP186" s="65"/>
      <c r="YQ186" s="65"/>
      <c r="YR186" s="65"/>
      <c r="YS186" s="65"/>
      <c r="YT186" s="65"/>
      <c r="YU186" s="65"/>
      <c r="YV186" s="65"/>
      <c r="YW186" s="65"/>
      <c r="YX186" s="65"/>
      <c r="YY186" s="65"/>
      <c r="YZ186" s="65"/>
      <c r="ZA186" s="65"/>
      <c r="ZB186" s="65"/>
      <c r="ZC186" s="65"/>
      <c r="ZD186" s="65"/>
      <c r="ZE186" s="65"/>
      <c r="ZF186" s="65"/>
      <c r="ZG186" s="65"/>
      <c r="ZH186" s="65"/>
      <c r="ZI186" s="65"/>
      <c r="ZJ186" s="65"/>
      <c r="ZK186" s="65"/>
      <c r="ZL186" s="65"/>
      <c r="ZM186" s="65"/>
      <c r="ZN186" s="65"/>
      <c r="ZO186" s="65"/>
      <c r="ZP186" s="65"/>
      <c r="ZQ186" s="65"/>
      <c r="ZR186" s="65"/>
      <c r="ZS186" s="65"/>
      <c r="ZT186" s="65"/>
      <c r="ZU186" s="65"/>
      <c r="ZV186" s="65"/>
      <c r="ZW186" s="65"/>
      <c r="ZX186" s="65"/>
      <c r="ZY186" s="65"/>
      <c r="ZZ186" s="65"/>
      <c r="AAA186" s="65"/>
      <c r="AAB186" s="65"/>
      <c r="AAC186" s="65"/>
      <c r="AAD186" s="65"/>
      <c r="AAE186" s="65"/>
      <c r="AAF186" s="65"/>
      <c r="AAG186" s="65"/>
      <c r="AAH186" s="65"/>
      <c r="AAI186" s="65"/>
      <c r="AAJ186" s="65"/>
      <c r="AAK186" s="65"/>
      <c r="AAL186" s="65"/>
      <c r="AAM186" s="65"/>
      <c r="AAN186" s="65"/>
      <c r="AAO186" s="65"/>
      <c r="AAP186" s="65"/>
      <c r="AAQ186" s="65"/>
      <c r="AAR186" s="65"/>
      <c r="AAS186" s="65"/>
      <c r="AAT186" s="65"/>
      <c r="AAU186" s="65"/>
      <c r="AAV186" s="65"/>
      <c r="AAW186" s="65"/>
      <c r="AAX186" s="65"/>
      <c r="AAY186" s="65"/>
      <c r="AAZ186" s="65"/>
      <c r="ABA186" s="65"/>
      <c r="ABB186" s="65"/>
      <c r="ABC186" s="65"/>
      <c r="ABD186" s="65"/>
      <c r="ABE186" s="65"/>
      <c r="ABF186" s="65"/>
      <c r="ABG186" s="65"/>
      <c r="ABH186" s="65"/>
      <c r="ABI186" s="65"/>
      <c r="ABJ186" s="65"/>
      <c r="ABK186" s="65"/>
      <c r="ABL186" s="65"/>
      <c r="ABM186" s="65"/>
      <c r="ABN186" s="65"/>
      <c r="ABO186" s="65"/>
      <c r="ABP186" s="65"/>
      <c r="ABQ186" s="65"/>
      <c r="ABR186" s="65"/>
      <c r="ABS186" s="65"/>
      <c r="ABT186" s="65"/>
      <c r="ABU186" s="65"/>
      <c r="ABV186" s="65"/>
      <c r="ABW186" s="65"/>
      <c r="ABX186" s="65"/>
      <c r="ABY186" s="65"/>
      <c r="ABZ186" s="65"/>
      <c r="ACA186" s="65"/>
      <c r="ACB186" s="65"/>
      <c r="ACC186" s="65"/>
      <c r="ACD186" s="65"/>
      <c r="ACE186" s="65"/>
      <c r="ACF186" s="65"/>
      <c r="ACG186" s="65"/>
      <c r="ACH186" s="65"/>
      <c r="ACI186" s="65"/>
      <c r="ACJ186" s="65"/>
      <c r="ACK186" s="65"/>
      <c r="ACL186" s="65"/>
      <c r="ACM186" s="65"/>
      <c r="ACN186" s="65"/>
      <c r="ACO186" s="65"/>
      <c r="ACP186" s="65"/>
      <c r="ACQ186" s="65"/>
      <c r="ACR186" s="65"/>
      <c r="ACS186" s="65"/>
      <c r="ACT186" s="65"/>
      <c r="ACU186" s="65"/>
      <c r="ACV186" s="65"/>
      <c r="ACW186" s="65"/>
      <c r="ACX186" s="65"/>
      <c r="ACY186" s="65"/>
      <c r="ACZ186" s="65"/>
      <c r="ADA186" s="65"/>
      <c r="ADB186" s="65"/>
      <c r="ADC186" s="65"/>
      <c r="ADD186" s="65"/>
      <c r="ADE186" s="65"/>
      <c r="ADF186" s="65"/>
      <c r="ADG186" s="65"/>
      <c r="ADH186" s="65"/>
      <c r="ADI186" s="65"/>
      <c r="ADJ186" s="65"/>
      <c r="ADK186" s="65"/>
      <c r="ADL186" s="65"/>
      <c r="ADM186" s="65"/>
      <c r="ADN186" s="65"/>
      <c r="ADO186" s="65"/>
      <c r="ADP186" s="65"/>
      <c r="ADQ186" s="65"/>
      <c r="ADR186" s="65"/>
      <c r="ADS186" s="65"/>
      <c r="ADT186" s="65"/>
      <c r="ADU186" s="65"/>
      <c r="ADV186" s="65"/>
      <c r="ADW186" s="65"/>
      <c r="ADX186" s="65"/>
      <c r="ADY186" s="65"/>
      <c r="ADZ186" s="65"/>
      <c r="AEA186" s="65"/>
      <c r="AEB186" s="65"/>
      <c r="AEC186" s="65"/>
      <c r="AED186" s="65"/>
      <c r="AEE186" s="65"/>
      <c r="AEF186" s="65"/>
      <c r="AEG186" s="65"/>
      <c r="AEH186" s="65"/>
      <c r="AEI186" s="65"/>
      <c r="AEJ186" s="65"/>
      <c r="AEK186" s="65"/>
      <c r="AEL186" s="65"/>
      <c r="AEM186" s="65"/>
      <c r="AEN186" s="65"/>
      <c r="AEO186" s="65"/>
      <c r="AEP186" s="65"/>
      <c r="AEQ186" s="65"/>
      <c r="AER186" s="65"/>
      <c r="AES186" s="65"/>
      <c r="AET186" s="65"/>
      <c r="AEU186" s="65"/>
      <c r="AEV186" s="65"/>
      <c r="AEW186" s="65"/>
      <c r="AEX186" s="65"/>
      <c r="AEY186" s="65"/>
      <c r="AEZ186" s="65"/>
      <c r="AFA186" s="65"/>
      <c r="AFB186" s="65"/>
      <c r="AFC186" s="65"/>
      <c r="AFD186" s="65"/>
      <c r="AFE186" s="65"/>
      <c r="AFF186" s="65"/>
      <c r="AFG186" s="65"/>
      <c r="AFH186" s="65"/>
      <c r="AFI186" s="65"/>
      <c r="AFJ186" s="65"/>
      <c r="AFK186" s="65"/>
      <c r="AFL186" s="65"/>
      <c r="AFM186" s="65"/>
      <c r="AFN186" s="65"/>
      <c r="AFO186" s="65"/>
      <c r="AFP186" s="65"/>
      <c r="AFQ186" s="65"/>
      <c r="AFR186" s="65"/>
      <c r="AFS186" s="65"/>
      <c r="AFT186" s="65"/>
      <c r="AFU186" s="65"/>
      <c r="AFV186" s="65"/>
      <c r="AFW186" s="65"/>
      <c r="AFX186" s="65"/>
      <c r="AFY186" s="65"/>
      <c r="AFZ186" s="65"/>
      <c r="AGA186" s="65"/>
      <c r="AGB186" s="65"/>
      <c r="AGC186" s="65"/>
      <c r="AGD186" s="65"/>
      <c r="AGE186" s="65"/>
      <c r="AGF186" s="65"/>
      <c r="AGG186" s="65"/>
      <c r="AGH186" s="65"/>
      <c r="AGI186" s="65"/>
      <c r="AGJ186" s="65"/>
      <c r="AGK186" s="65"/>
      <c r="AGL186" s="65"/>
      <c r="AGM186" s="65"/>
      <c r="AGN186" s="65"/>
      <c r="AGO186" s="65"/>
      <c r="AGP186" s="65"/>
      <c r="AGQ186" s="65"/>
      <c r="AGR186" s="65"/>
      <c r="AGS186" s="65"/>
      <c r="AGT186" s="65"/>
      <c r="AGU186" s="65"/>
      <c r="AGV186" s="65"/>
      <c r="AGW186" s="65"/>
      <c r="AGX186" s="65"/>
      <c r="AGY186" s="65"/>
      <c r="AGZ186" s="65"/>
      <c r="AHA186" s="65"/>
      <c r="AHB186" s="65"/>
      <c r="AHC186" s="65"/>
      <c r="AHD186" s="65"/>
      <c r="AHE186" s="65"/>
      <c r="AHF186" s="65"/>
      <c r="AHG186" s="65"/>
      <c r="AHH186" s="65"/>
      <c r="AHI186" s="65"/>
      <c r="AHJ186" s="65"/>
      <c r="AHK186" s="65"/>
      <c r="AHL186" s="65"/>
      <c r="AHM186" s="65"/>
      <c r="AHN186" s="65"/>
      <c r="AHO186" s="65"/>
      <c r="AHP186" s="65"/>
      <c r="AHQ186" s="65"/>
      <c r="AHR186" s="65"/>
      <c r="AHS186" s="65"/>
      <c r="AHT186" s="65"/>
      <c r="AHU186" s="65"/>
      <c r="AHV186" s="65"/>
      <c r="AHW186" s="65"/>
      <c r="AHX186" s="65"/>
      <c r="AHY186" s="65"/>
      <c r="AHZ186" s="65"/>
      <c r="AIA186" s="65"/>
      <c r="AIB186" s="65"/>
      <c r="AIC186" s="65"/>
      <c r="AID186" s="65"/>
      <c r="AIE186" s="65"/>
      <c r="AIF186" s="65"/>
      <c r="AIG186" s="65"/>
      <c r="AIH186" s="65"/>
      <c r="AII186" s="65"/>
      <c r="AIJ186" s="65"/>
      <c r="AIK186" s="65"/>
      <c r="AIL186" s="65"/>
      <c r="AIM186" s="65"/>
      <c r="AIN186" s="65"/>
      <c r="AIO186" s="65"/>
      <c r="AIP186" s="65"/>
      <c r="AIQ186" s="65"/>
      <c r="AIR186" s="65"/>
      <c r="AIS186" s="65"/>
      <c r="AIT186" s="65"/>
      <c r="AIU186" s="65"/>
      <c r="AIV186" s="65"/>
      <c r="AIW186" s="65"/>
      <c r="AIX186" s="65"/>
      <c r="AIY186" s="65"/>
      <c r="AIZ186" s="65"/>
      <c r="AJA186" s="65"/>
      <c r="AJB186" s="65"/>
      <c r="AJC186" s="65"/>
      <c r="AJD186" s="65"/>
      <c r="AJE186" s="65"/>
      <c r="AJF186" s="65"/>
      <c r="AJG186" s="65"/>
      <c r="AJH186" s="65"/>
      <c r="AJI186" s="65"/>
      <c r="AJJ186" s="65"/>
      <c r="AJK186" s="65"/>
      <c r="AJL186" s="65"/>
      <c r="AJM186" s="65"/>
      <c r="AJN186" s="65"/>
      <c r="AJO186" s="65"/>
      <c r="AJP186" s="65"/>
      <c r="AJQ186" s="65"/>
      <c r="AJR186" s="65"/>
      <c r="AJS186" s="65"/>
      <c r="AJT186" s="65"/>
      <c r="AJU186" s="65"/>
      <c r="AJV186" s="65"/>
      <c r="AJW186" s="65"/>
      <c r="AJX186" s="65"/>
      <c r="AJY186" s="65"/>
      <c r="AJZ186" s="65"/>
      <c r="AKA186" s="65"/>
      <c r="AKB186" s="65"/>
      <c r="AKC186" s="65"/>
      <c r="AKD186" s="65"/>
      <c r="AKE186" s="65"/>
      <c r="AKF186" s="65"/>
      <c r="AKG186" s="65"/>
      <c r="AKH186" s="65"/>
      <c r="AKI186" s="65"/>
      <c r="AKJ186" s="65"/>
      <c r="AKK186" s="65"/>
      <c r="AKL186" s="65"/>
      <c r="AKM186" s="65"/>
      <c r="AKN186" s="65"/>
      <c r="AKO186" s="65"/>
      <c r="AKP186" s="65"/>
      <c r="AKQ186" s="65"/>
      <c r="AKR186" s="65"/>
      <c r="AKS186" s="65"/>
      <c r="AKT186" s="65"/>
      <c r="AKU186" s="65"/>
      <c r="AKV186" s="65"/>
      <c r="AKW186" s="65"/>
      <c r="AKX186" s="65"/>
      <c r="AKY186" s="65"/>
      <c r="AKZ186" s="65"/>
      <c r="ALA186" s="65"/>
      <c r="ALB186" s="65"/>
      <c r="ALC186" s="65"/>
      <c r="ALD186" s="65"/>
      <c r="ALE186" s="65"/>
      <c r="ALF186" s="65"/>
      <c r="ALG186" s="65"/>
      <c r="ALH186" s="65"/>
      <c r="ALI186" s="65"/>
      <c r="ALJ186" s="65"/>
      <c r="ALK186" s="65"/>
      <c r="ALL186" s="65"/>
      <c r="ALM186" s="65"/>
      <c r="ALN186" s="65"/>
      <c r="ALO186" s="65"/>
      <c r="ALP186" s="65"/>
      <c r="ALQ186" s="65"/>
      <c r="ALR186" s="65"/>
      <c r="ALS186" s="65"/>
      <c r="ALT186" s="65"/>
      <c r="ALU186" s="65"/>
      <c r="ALV186" s="65"/>
      <c r="ALW186" s="65"/>
      <c r="ALX186" s="65"/>
      <c r="ALY186" s="65"/>
      <c r="ALZ186" s="65"/>
      <c r="AMA186" s="65"/>
      <c r="AMB186" s="65"/>
      <c r="AMC186" s="65"/>
      <c r="AMD186" s="65"/>
      <c r="AME186" s="65"/>
      <c r="AMF186" s="65"/>
      <c r="AMG186" s="65"/>
      <c r="AMH186" s="65"/>
      <c r="AMI186" s="65"/>
      <c r="AMJ186" s="65"/>
      <c r="AMK186" s="65"/>
      <c r="AML186" s="65"/>
      <c r="AMM186" s="65"/>
      <c r="AMN186" s="65"/>
      <c r="AMO186" s="65"/>
      <c r="AMP186" s="65"/>
      <c r="AMQ186" s="65"/>
      <c r="AMR186" s="65"/>
      <c r="AMS186" s="65"/>
      <c r="AMT186" s="65"/>
      <c r="AMU186" s="65"/>
      <c r="AMV186" s="65"/>
      <c r="AMW186" s="65"/>
      <c r="AMX186" s="65"/>
      <c r="AMY186" s="65"/>
      <c r="AMZ186" s="65"/>
      <c r="ANA186" s="65"/>
      <c r="ANB186" s="65"/>
      <c r="ANC186" s="65"/>
      <c r="AND186" s="65"/>
      <c r="ANE186" s="65"/>
      <c r="ANF186" s="65"/>
      <c r="ANG186" s="65"/>
      <c r="ANH186" s="65"/>
      <c r="ANI186" s="65"/>
      <c r="ANJ186" s="65"/>
      <c r="ANK186" s="65"/>
      <c r="ANL186" s="65"/>
      <c r="ANM186" s="65"/>
      <c r="ANN186" s="65"/>
      <c r="ANO186" s="65"/>
      <c r="ANP186" s="65"/>
      <c r="ANQ186" s="65"/>
      <c r="ANR186" s="65"/>
      <c r="ANS186" s="65"/>
      <c r="ANT186" s="65"/>
      <c r="ANU186" s="65"/>
      <c r="ANV186" s="65"/>
      <c r="ANW186" s="65"/>
      <c r="ANX186" s="65"/>
      <c r="ANY186" s="65"/>
      <c r="ANZ186" s="65"/>
      <c r="AOA186" s="65"/>
      <c r="AOB186" s="65"/>
      <c r="AOC186" s="65"/>
      <c r="AOD186" s="65"/>
      <c r="AOE186" s="65"/>
      <c r="AOF186" s="65"/>
      <c r="AOG186" s="65"/>
      <c r="AOH186" s="65"/>
      <c r="AOI186" s="65"/>
      <c r="AOJ186" s="65"/>
      <c r="AOK186" s="65"/>
      <c r="AOL186" s="65"/>
      <c r="AOM186" s="65"/>
      <c r="AON186" s="65"/>
      <c r="AOO186" s="65"/>
      <c r="AOP186" s="65"/>
      <c r="AOQ186" s="65"/>
      <c r="AOR186" s="65"/>
      <c r="AOS186" s="65"/>
      <c r="AOT186" s="65"/>
      <c r="AOU186" s="65"/>
      <c r="AOV186" s="65"/>
      <c r="AOW186" s="65"/>
      <c r="AOX186" s="65"/>
      <c r="AOY186" s="65"/>
      <c r="AOZ186" s="65"/>
      <c r="APA186" s="65"/>
      <c r="APB186" s="65"/>
      <c r="APC186" s="65"/>
      <c r="APD186" s="65"/>
      <c r="APE186" s="65"/>
      <c r="APF186" s="65"/>
      <c r="APG186" s="65"/>
      <c r="APH186" s="65"/>
      <c r="API186" s="65"/>
      <c r="APJ186" s="65"/>
      <c r="APK186" s="65"/>
      <c r="APL186" s="65"/>
      <c r="APM186" s="65"/>
      <c r="APN186" s="65"/>
      <c r="APO186" s="65"/>
      <c r="APP186" s="65"/>
      <c r="APQ186" s="65"/>
      <c r="APR186" s="65"/>
      <c r="APS186" s="65"/>
      <c r="APT186" s="65"/>
      <c r="APU186" s="65"/>
      <c r="APV186" s="65"/>
      <c r="APW186" s="65"/>
      <c r="APX186" s="65"/>
      <c r="APY186" s="65"/>
      <c r="APZ186" s="65"/>
      <c r="AQA186" s="65"/>
      <c r="AQB186" s="65"/>
      <c r="AQC186" s="65"/>
      <c r="AQD186" s="65"/>
      <c r="AQE186" s="65"/>
      <c r="AQF186" s="65"/>
      <c r="AQG186" s="65"/>
      <c r="AQH186" s="65"/>
      <c r="AQI186" s="65"/>
      <c r="AQJ186" s="65"/>
      <c r="AQK186" s="65"/>
      <c r="AQL186" s="65"/>
      <c r="AQM186" s="65"/>
      <c r="AQN186" s="65"/>
      <c r="AQO186" s="65"/>
      <c r="AQP186" s="65"/>
      <c r="AQQ186" s="65"/>
      <c r="AQR186" s="65"/>
      <c r="AQS186" s="65"/>
      <c r="AQT186" s="65"/>
      <c r="AQU186" s="65"/>
      <c r="AQV186" s="65"/>
      <c r="AQW186" s="65"/>
      <c r="AQX186" s="65"/>
      <c r="AQY186" s="65"/>
      <c r="AQZ186" s="65"/>
      <c r="ARA186" s="65"/>
      <c r="ARB186" s="65"/>
      <c r="ARC186" s="65"/>
      <c r="ARD186" s="65"/>
      <c r="ARE186" s="65"/>
      <c r="ARF186" s="65"/>
      <c r="ARG186" s="65"/>
      <c r="ARH186" s="65"/>
      <c r="ARI186" s="65"/>
      <c r="ARJ186" s="65"/>
      <c r="ARK186" s="65"/>
      <c r="ARL186" s="65"/>
      <c r="ARM186" s="65"/>
      <c r="ARN186" s="65"/>
      <c r="ARO186" s="65"/>
      <c r="ARP186" s="65"/>
      <c r="ARQ186" s="65"/>
      <c r="ARR186" s="65"/>
      <c r="ARS186" s="65"/>
      <c r="ART186" s="65"/>
      <c r="ARU186" s="65"/>
      <c r="ARV186" s="65"/>
      <c r="ARW186" s="65"/>
      <c r="ARX186" s="65"/>
      <c r="ARY186" s="65"/>
      <c r="ARZ186" s="65"/>
      <c r="ASA186" s="65"/>
      <c r="ASB186" s="65"/>
      <c r="ASC186" s="65"/>
      <c r="ASD186" s="65"/>
      <c r="ASE186" s="65"/>
      <c r="ASF186" s="65"/>
      <c r="ASG186" s="65"/>
      <c r="ASH186" s="65"/>
      <c r="ASI186" s="65"/>
      <c r="ASJ186" s="65"/>
      <c r="ASK186" s="65"/>
      <c r="ASL186" s="65"/>
      <c r="ASM186" s="65"/>
      <c r="ASN186" s="65"/>
      <c r="ASO186" s="65"/>
      <c r="ASP186" s="65"/>
      <c r="ASQ186" s="65"/>
      <c r="ASR186" s="65"/>
      <c r="ASS186" s="65"/>
      <c r="AST186" s="65"/>
      <c r="ASU186" s="65"/>
      <c r="ASV186" s="65"/>
      <c r="ASW186" s="65"/>
      <c r="ASX186" s="65"/>
      <c r="ASY186" s="65"/>
      <c r="ASZ186" s="65"/>
      <c r="ATA186" s="65"/>
      <c r="ATB186" s="65"/>
      <c r="ATC186" s="65"/>
      <c r="ATD186" s="65"/>
      <c r="ATE186" s="65"/>
      <c r="ATF186" s="65"/>
      <c r="ATG186" s="65"/>
      <c r="ATH186" s="65"/>
      <c r="ATI186" s="65"/>
      <c r="ATJ186" s="65"/>
      <c r="ATK186" s="65"/>
      <c r="ATL186" s="65"/>
      <c r="ATM186" s="65"/>
      <c r="ATN186" s="65"/>
      <c r="ATO186" s="65"/>
      <c r="ATP186" s="65"/>
      <c r="ATQ186" s="65"/>
      <c r="ATR186" s="65"/>
      <c r="ATS186" s="65"/>
      <c r="ATT186" s="65"/>
      <c r="ATU186" s="65"/>
      <c r="ATV186" s="65"/>
      <c r="ATW186" s="65"/>
      <c r="ATX186" s="65"/>
      <c r="ATY186" s="65"/>
      <c r="ATZ186" s="65"/>
      <c r="AUA186" s="65"/>
      <c r="AUB186" s="65"/>
      <c r="AUC186" s="65"/>
      <c r="AUD186" s="65"/>
      <c r="AUE186" s="65"/>
      <c r="AUF186" s="65"/>
      <c r="AUG186" s="65"/>
      <c r="AUH186" s="65"/>
      <c r="AUI186" s="65"/>
      <c r="AUJ186" s="65"/>
      <c r="AUK186" s="65"/>
      <c r="AUL186" s="65"/>
      <c r="AUM186" s="65"/>
      <c r="AUN186" s="65"/>
      <c r="AUO186" s="65"/>
      <c r="AUP186" s="65"/>
      <c r="AUQ186" s="65"/>
      <c r="AUR186" s="65"/>
      <c r="AUS186" s="65"/>
      <c r="AUT186" s="65"/>
      <c r="AUU186" s="65"/>
      <c r="AUV186" s="65"/>
      <c r="AUW186" s="65"/>
      <c r="AUX186" s="65"/>
      <c r="AUY186" s="65"/>
      <c r="AUZ186" s="65"/>
      <c r="AVA186" s="65"/>
      <c r="AVB186" s="65"/>
      <c r="AVC186" s="65"/>
      <c r="AVD186" s="65"/>
      <c r="AVE186" s="65"/>
      <c r="AVF186" s="65"/>
      <c r="AVG186" s="65"/>
      <c r="AVH186" s="65"/>
      <c r="AVI186" s="65"/>
      <c r="AVJ186" s="65"/>
      <c r="AVK186" s="65"/>
      <c r="AVL186" s="65"/>
      <c r="AVM186" s="65"/>
      <c r="AVN186" s="65"/>
      <c r="AVO186" s="65"/>
      <c r="AVP186" s="65"/>
      <c r="AVQ186" s="65"/>
      <c r="AVR186" s="65"/>
      <c r="AVS186" s="65"/>
      <c r="AVT186" s="65"/>
      <c r="AVU186" s="65"/>
      <c r="AVV186" s="65"/>
      <c r="AVW186" s="65"/>
      <c r="AVX186" s="65"/>
      <c r="AVY186" s="65"/>
      <c r="AVZ186" s="65"/>
      <c r="AWA186" s="65"/>
      <c r="AWB186" s="65"/>
      <c r="AWC186" s="65"/>
      <c r="AWD186" s="65"/>
      <c r="AWE186" s="65"/>
      <c r="AWF186" s="65"/>
      <c r="AWG186" s="65"/>
      <c r="AWH186" s="65"/>
      <c r="AWI186" s="65"/>
      <c r="AWJ186" s="65"/>
      <c r="AWK186" s="65"/>
      <c r="AWL186" s="65"/>
      <c r="AWM186" s="65"/>
      <c r="AWN186" s="65"/>
      <c r="AWO186" s="65"/>
      <c r="AWP186" s="65"/>
      <c r="AWQ186" s="65"/>
      <c r="AWR186" s="65"/>
      <c r="AWS186" s="65"/>
      <c r="AWT186" s="65"/>
      <c r="AWU186" s="65"/>
      <c r="AWV186" s="65"/>
      <c r="AWW186" s="65"/>
      <c r="AWX186" s="65"/>
      <c r="AWY186" s="65"/>
      <c r="AWZ186" s="65"/>
      <c r="AXA186" s="65"/>
      <c r="AXB186" s="65"/>
      <c r="AXC186" s="65"/>
      <c r="AXD186" s="65"/>
      <c r="AXE186" s="65"/>
      <c r="AXF186" s="65"/>
      <c r="AXG186" s="65"/>
      <c r="AXH186" s="65"/>
      <c r="AXI186" s="65"/>
      <c r="AXJ186" s="65"/>
      <c r="AXK186" s="65"/>
      <c r="AXL186" s="65"/>
      <c r="AXM186" s="65"/>
      <c r="AXN186" s="65"/>
      <c r="AXO186" s="65"/>
      <c r="AXP186" s="65"/>
      <c r="AXQ186" s="65"/>
      <c r="AXR186" s="65"/>
      <c r="AXS186" s="65"/>
      <c r="AXT186" s="65"/>
      <c r="AXU186" s="65"/>
      <c r="AXV186" s="65"/>
      <c r="AXW186" s="65"/>
      <c r="AXX186" s="65"/>
      <c r="AXY186" s="65"/>
      <c r="AXZ186" s="65"/>
      <c r="AYA186" s="65"/>
      <c r="AYB186" s="65"/>
      <c r="AYC186" s="65"/>
      <c r="AYD186" s="65"/>
      <c r="AYE186" s="65"/>
      <c r="AYF186" s="65"/>
      <c r="AYG186" s="65"/>
      <c r="AYH186" s="65"/>
      <c r="AYI186" s="65"/>
      <c r="AYJ186" s="65"/>
      <c r="AYK186" s="65"/>
      <c r="AYL186" s="65"/>
      <c r="AYM186" s="65"/>
      <c r="AYN186" s="65"/>
      <c r="AYO186" s="65"/>
      <c r="AYP186" s="65"/>
      <c r="AYQ186" s="65"/>
      <c r="AYR186" s="65"/>
      <c r="AYS186" s="65"/>
      <c r="AYT186" s="65"/>
      <c r="AYU186" s="65"/>
      <c r="AYV186" s="65"/>
      <c r="AYW186" s="65"/>
      <c r="AYX186" s="65"/>
      <c r="AYY186" s="65"/>
      <c r="AYZ186" s="65"/>
      <c r="AZA186" s="65"/>
      <c r="AZB186" s="65"/>
      <c r="AZC186" s="65"/>
      <c r="AZD186" s="65"/>
      <c r="AZE186" s="65"/>
      <c r="AZF186" s="65"/>
      <c r="AZG186" s="65"/>
      <c r="AZH186" s="65"/>
      <c r="AZI186" s="65"/>
      <c r="AZJ186" s="65"/>
      <c r="AZK186" s="65"/>
      <c r="AZL186" s="65"/>
      <c r="AZM186" s="65"/>
      <c r="AZN186" s="65"/>
      <c r="AZO186" s="65"/>
      <c r="AZP186" s="65"/>
      <c r="AZQ186" s="65"/>
      <c r="AZR186" s="65"/>
      <c r="AZS186" s="65"/>
      <c r="AZT186" s="65"/>
      <c r="AZU186" s="65"/>
      <c r="AZV186" s="65"/>
      <c r="AZW186" s="65"/>
      <c r="AZX186" s="65"/>
      <c r="AZY186" s="65"/>
      <c r="AZZ186" s="65"/>
      <c r="BAA186" s="65"/>
      <c r="BAB186" s="65"/>
      <c r="BAC186" s="65"/>
      <c r="BAD186" s="65"/>
      <c r="BAE186" s="65"/>
      <c r="BAF186" s="65"/>
      <c r="BAG186" s="65"/>
      <c r="BAH186" s="65"/>
      <c r="BAI186" s="65"/>
      <c r="BAJ186" s="65"/>
      <c r="BAK186" s="65"/>
      <c r="BAL186" s="65"/>
      <c r="BAM186" s="65"/>
      <c r="BAN186" s="65"/>
      <c r="BAO186" s="65"/>
      <c r="BAP186" s="65"/>
      <c r="BAQ186" s="65"/>
      <c r="BAR186" s="65"/>
      <c r="BAS186" s="65"/>
      <c r="BAT186" s="65"/>
      <c r="BAU186" s="65"/>
      <c r="BAV186" s="65"/>
      <c r="BAW186" s="65"/>
      <c r="BAX186" s="65"/>
      <c r="BAY186" s="65"/>
      <c r="BAZ186" s="65"/>
      <c r="BBA186" s="65"/>
      <c r="BBB186" s="65"/>
      <c r="BBC186" s="65"/>
      <c r="BBD186" s="65"/>
      <c r="BBE186" s="65"/>
      <c r="BBF186" s="65"/>
      <c r="BBG186" s="65"/>
      <c r="BBH186" s="65"/>
      <c r="BBI186" s="65"/>
      <c r="BBJ186" s="65"/>
      <c r="BBK186" s="65"/>
      <c r="BBL186" s="65"/>
      <c r="BBM186" s="65"/>
      <c r="BBN186" s="65"/>
      <c r="BBO186" s="65"/>
      <c r="BBP186" s="65"/>
      <c r="BBQ186" s="65"/>
      <c r="BBR186" s="65"/>
      <c r="BBS186" s="65"/>
      <c r="BBT186" s="65"/>
      <c r="BBU186" s="65"/>
      <c r="BBV186" s="65"/>
      <c r="BBW186" s="65"/>
      <c r="BBX186" s="65"/>
      <c r="BBY186" s="65"/>
      <c r="BBZ186" s="65"/>
      <c r="BCA186" s="65"/>
      <c r="BCB186" s="65"/>
      <c r="BCC186" s="65"/>
      <c r="BCD186" s="65"/>
      <c r="BCE186" s="65"/>
      <c r="BCF186" s="65"/>
      <c r="BCG186" s="65"/>
      <c r="BCH186" s="65"/>
      <c r="BCI186" s="65"/>
      <c r="BCJ186" s="65"/>
      <c r="BCK186" s="65"/>
      <c r="BCL186" s="65"/>
      <c r="BCM186" s="65"/>
      <c r="BCN186" s="65"/>
      <c r="BCO186" s="65"/>
      <c r="BCP186" s="65"/>
      <c r="BCQ186" s="65"/>
      <c r="BCR186" s="65"/>
      <c r="BCS186" s="65"/>
      <c r="BCT186" s="65"/>
      <c r="BCU186" s="65"/>
      <c r="BCV186" s="65"/>
      <c r="BCW186" s="65"/>
      <c r="BCX186" s="65"/>
      <c r="BCY186" s="65"/>
      <c r="BCZ186" s="65"/>
      <c r="BDA186" s="65"/>
      <c r="BDB186" s="65"/>
      <c r="BDC186" s="65"/>
      <c r="BDD186" s="65"/>
      <c r="BDE186" s="65"/>
      <c r="BDF186" s="65"/>
      <c r="BDG186" s="65"/>
      <c r="BDH186" s="65"/>
      <c r="BDI186" s="65"/>
      <c r="BDJ186" s="65"/>
      <c r="BDK186" s="65"/>
      <c r="BDL186" s="65"/>
      <c r="BDM186" s="65"/>
      <c r="BDN186" s="65"/>
      <c r="BDO186" s="65"/>
      <c r="BDP186" s="65"/>
      <c r="BDQ186" s="65"/>
      <c r="BDR186" s="65"/>
      <c r="BDS186" s="65"/>
      <c r="BDT186" s="65"/>
      <c r="BDU186" s="65"/>
      <c r="BDV186" s="65"/>
      <c r="BDW186" s="65"/>
      <c r="BDX186" s="65"/>
      <c r="BDY186" s="65"/>
      <c r="BDZ186" s="65"/>
      <c r="BEA186" s="65"/>
      <c r="BEB186" s="65"/>
      <c r="BEC186" s="65"/>
      <c r="BED186" s="65"/>
      <c r="BEE186" s="65"/>
      <c r="BEF186" s="65"/>
      <c r="BEG186" s="65"/>
      <c r="BEH186" s="65"/>
      <c r="BEI186" s="65"/>
      <c r="BEJ186" s="65"/>
      <c r="BEK186" s="65"/>
      <c r="BEL186" s="65"/>
      <c r="BEM186" s="65"/>
      <c r="BEN186" s="65"/>
      <c r="BEO186" s="65"/>
      <c r="BEP186" s="65"/>
      <c r="BEQ186" s="65"/>
      <c r="BER186" s="65"/>
      <c r="BES186" s="65"/>
      <c r="BET186" s="65"/>
      <c r="BEU186" s="65"/>
      <c r="BEV186" s="65"/>
      <c r="BEW186" s="65"/>
      <c r="BEX186" s="65"/>
      <c r="BEY186" s="65"/>
      <c r="BEZ186" s="65"/>
      <c r="BFA186" s="65"/>
      <c r="BFB186" s="65"/>
      <c r="BFC186" s="65"/>
      <c r="BFD186" s="65"/>
      <c r="BFE186" s="65"/>
      <c r="BFF186" s="65"/>
      <c r="BFG186" s="65"/>
      <c r="BFH186" s="65"/>
      <c r="BFI186" s="65"/>
      <c r="BFJ186" s="65"/>
      <c r="BFK186" s="65"/>
      <c r="BFL186" s="65"/>
      <c r="BFM186" s="65"/>
      <c r="BFN186" s="65"/>
      <c r="BFO186" s="65"/>
      <c r="BFP186" s="65"/>
      <c r="BFQ186" s="65"/>
      <c r="BFR186" s="65"/>
      <c r="BFS186" s="65"/>
      <c r="BFT186" s="65"/>
      <c r="BFU186" s="65"/>
      <c r="BFV186" s="65"/>
      <c r="BFW186" s="65"/>
      <c r="BFX186" s="65"/>
      <c r="BFY186" s="65"/>
      <c r="BFZ186" s="65"/>
      <c r="BGA186" s="65"/>
      <c r="BGB186" s="65"/>
      <c r="BGC186" s="65"/>
      <c r="BGD186" s="65"/>
      <c r="BGE186" s="65"/>
      <c r="BGF186" s="65"/>
      <c r="BGG186" s="65"/>
      <c r="BGH186" s="65"/>
      <c r="BGI186" s="65"/>
      <c r="BGJ186" s="65"/>
      <c r="BGK186" s="65"/>
      <c r="BGL186" s="65"/>
      <c r="BGM186" s="65"/>
      <c r="BGN186" s="65"/>
      <c r="BGO186" s="65"/>
      <c r="BGP186" s="65"/>
      <c r="BGQ186" s="65"/>
      <c r="BGR186" s="65"/>
      <c r="BGS186" s="65"/>
      <c r="BGT186" s="65"/>
      <c r="BGU186" s="65"/>
      <c r="BGV186" s="65"/>
      <c r="BGW186" s="65"/>
      <c r="BGX186" s="65"/>
      <c r="BGY186" s="65"/>
      <c r="BGZ186" s="65"/>
      <c r="BHA186" s="65"/>
      <c r="BHB186" s="65"/>
      <c r="BHC186" s="65"/>
      <c r="BHD186" s="65"/>
      <c r="BHE186" s="65"/>
      <c r="BHF186" s="65"/>
      <c r="BHG186" s="65"/>
      <c r="BHH186" s="65"/>
      <c r="BHI186" s="65"/>
      <c r="BHJ186" s="65"/>
      <c r="BHK186" s="65"/>
      <c r="BHL186" s="65"/>
      <c r="BHM186" s="65"/>
      <c r="BHN186" s="65"/>
      <c r="BHO186" s="65"/>
      <c r="BHP186" s="65"/>
      <c r="BHQ186" s="65"/>
      <c r="BHR186" s="65"/>
      <c r="BHS186" s="65"/>
      <c r="BHT186" s="65"/>
      <c r="BHU186" s="65"/>
      <c r="BHV186" s="65"/>
      <c r="BHW186" s="65"/>
      <c r="BHX186" s="65"/>
      <c r="BHY186" s="65"/>
      <c r="BHZ186" s="65"/>
      <c r="BIA186" s="65"/>
      <c r="BIB186" s="65"/>
      <c r="BIC186" s="65"/>
      <c r="BID186" s="65"/>
      <c r="BIE186" s="65"/>
      <c r="BIF186" s="65"/>
      <c r="BIG186" s="65"/>
      <c r="BIH186" s="65"/>
      <c r="BII186" s="65"/>
      <c r="BIJ186" s="65"/>
      <c r="BIK186" s="65"/>
      <c r="BIL186" s="65"/>
      <c r="BIM186" s="65"/>
      <c r="BIN186" s="65"/>
      <c r="BIO186" s="65"/>
      <c r="BIP186" s="65"/>
      <c r="BIQ186" s="65"/>
      <c r="BIR186" s="65"/>
      <c r="BIS186" s="65"/>
      <c r="BIT186" s="65"/>
      <c r="BIU186" s="65"/>
      <c r="BIV186" s="65"/>
      <c r="BIW186" s="65"/>
      <c r="BIX186" s="65"/>
      <c r="BIY186" s="65"/>
      <c r="BIZ186" s="65"/>
      <c r="BJA186" s="65"/>
      <c r="BJB186" s="65"/>
      <c r="BJC186" s="65"/>
      <c r="BJD186" s="65"/>
      <c r="BJE186" s="65"/>
      <c r="BJF186" s="65"/>
      <c r="BJG186" s="65"/>
      <c r="BJH186" s="65"/>
      <c r="BJI186" s="65"/>
      <c r="BJJ186" s="65"/>
      <c r="BJK186" s="65"/>
      <c r="BJL186" s="65"/>
      <c r="BJM186" s="65"/>
      <c r="BJN186" s="65"/>
      <c r="BJO186" s="65"/>
      <c r="BJP186" s="65"/>
      <c r="BJQ186" s="65"/>
      <c r="BJR186" s="65"/>
      <c r="BJS186" s="65"/>
      <c r="BJT186" s="65"/>
      <c r="BJU186" s="65"/>
      <c r="BJV186" s="65"/>
      <c r="BJW186" s="65"/>
      <c r="BJX186" s="65"/>
      <c r="BJY186" s="65"/>
      <c r="BJZ186" s="65"/>
      <c r="BKA186" s="65"/>
      <c r="BKB186" s="65"/>
      <c r="BKC186" s="65"/>
      <c r="BKD186" s="65"/>
      <c r="BKE186" s="65"/>
      <c r="BKF186" s="65"/>
      <c r="BKG186" s="65"/>
      <c r="BKH186" s="65"/>
      <c r="BKI186" s="65"/>
      <c r="BKJ186" s="65"/>
      <c r="BKK186" s="65"/>
      <c r="BKL186" s="65"/>
      <c r="BKM186" s="65"/>
      <c r="BKN186" s="65"/>
      <c r="BKO186" s="65"/>
      <c r="BKP186" s="65"/>
      <c r="BKQ186" s="65"/>
      <c r="BKR186" s="65"/>
      <c r="BKS186" s="65"/>
      <c r="BKT186" s="65"/>
      <c r="BKU186" s="65"/>
      <c r="BKV186" s="65"/>
      <c r="BKW186" s="65"/>
      <c r="BKX186" s="65"/>
      <c r="BKY186" s="65"/>
      <c r="BKZ186" s="65"/>
      <c r="BLA186" s="65"/>
      <c r="BLB186" s="65"/>
      <c r="BLC186" s="65"/>
      <c r="BLD186" s="65"/>
      <c r="BLE186" s="65"/>
      <c r="BLF186" s="65"/>
      <c r="BLG186" s="65"/>
      <c r="BLH186" s="65"/>
      <c r="BLI186" s="65"/>
      <c r="BLJ186" s="65"/>
      <c r="BLK186" s="65"/>
      <c r="BLL186" s="65"/>
      <c r="BLM186" s="65"/>
      <c r="BLN186" s="65"/>
      <c r="BLO186" s="65"/>
      <c r="BLP186" s="65"/>
      <c r="BLQ186" s="65"/>
      <c r="BLR186" s="65"/>
      <c r="BLS186" s="65"/>
      <c r="BLT186" s="65"/>
      <c r="BLU186" s="65"/>
      <c r="BLV186" s="65"/>
      <c r="BLW186" s="65"/>
      <c r="BLX186" s="65"/>
      <c r="BLY186" s="65"/>
      <c r="BLZ186" s="65"/>
      <c r="BMA186" s="65"/>
      <c r="BMB186" s="65"/>
      <c r="BMC186" s="65"/>
      <c r="BMD186" s="65"/>
      <c r="BME186" s="65"/>
      <c r="BMF186" s="65"/>
      <c r="BMG186" s="65"/>
      <c r="BMH186" s="65"/>
      <c r="BMI186" s="65"/>
      <c r="BMJ186" s="65"/>
      <c r="BMK186" s="65"/>
      <c r="BML186" s="65"/>
      <c r="BMM186" s="65"/>
      <c r="BMN186" s="65"/>
      <c r="BMO186" s="65"/>
      <c r="BMP186" s="65"/>
      <c r="BMQ186" s="65"/>
      <c r="BMR186" s="65"/>
      <c r="BMS186" s="65"/>
      <c r="BMT186" s="65"/>
      <c r="BMU186" s="65"/>
      <c r="BMV186" s="65"/>
      <c r="BMW186" s="65"/>
      <c r="BMX186" s="65"/>
      <c r="BMY186" s="65"/>
      <c r="BMZ186" s="65"/>
      <c r="BNA186" s="65"/>
      <c r="BNB186" s="65"/>
      <c r="BNC186" s="65"/>
      <c r="BND186" s="65"/>
      <c r="BNE186" s="65"/>
      <c r="BNF186" s="65"/>
      <c r="BNG186" s="65"/>
      <c r="BNH186" s="65"/>
      <c r="BNI186" s="65"/>
      <c r="BNJ186" s="65"/>
      <c r="BNK186" s="65"/>
      <c r="BNL186" s="65"/>
      <c r="BNM186" s="65"/>
      <c r="BNN186" s="65"/>
      <c r="BNO186" s="65"/>
      <c r="BNP186" s="65"/>
      <c r="BNQ186" s="65"/>
      <c r="BNR186" s="65"/>
      <c r="BNS186" s="65"/>
      <c r="BNT186" s="65"/>
      <c r="BNU186" s="65"/>
      <c r="BNV186" s="65"/>
      <c r="BNW186" s="65"/>
      <c r="BNX186" s="65"/>
      <c r="BNY186" s="65"/>
      <c r="BNZ186" s="65"/>
      <c r="BOA186" s="65"/>
      <c r="BOB186" s="65"/>
      <c r="BOC186" s="65"/>
      <c r="BOD186" s="65"/>
      <c r="BOE186" s="65"/>
      <c r="BOF186" s="65"/>
      <c r="BOG186" s="65"/>
      <c r="BOH186" s="65"/>
      <c r="BOI186" s="65"/>
      <c r="BOJ186" s="65"/>
      <c r="BOK186" s="65"/>
      <c r="BOL186" s="65"/>
      <c r="BOM186" s="65"/>
      <c r="BON186" s="65"/>
      <c r="BOO186" s="65"/>
      <c r="BOP186" s="65"/>
      <c r="BOQ186" s="65"/>
      <c r="BOR186" s="65"/>
      <c r="BOS186" s="65"/>
      <c r="BOT186" s="65"/>
      <c r="BOU186" s="65"/>
      <c r="BOV186" s="65"/>
      <c r="BOW186" s="65"/>
      <c r="BOX186" s="65"/>
      <c r="BOY186" s="65"/>
      <c r="BOZ186" s="65"/>
      <c r="BPA186" s="65"/>
      <c r="BPB186" s="65"/>
      <c r="BPC186" s="65"/>
      <c r="BPD186" s="65"/>
      <c r="BPE186" s="65"/>
      <c r="BPF186" s="65"/>
      <c r="BPG186" s="65"/>
      <c r="BPH186" s="65"/>
      <c r="BPI186" s="65"/>
      <c r="BPJ186" s="65"/>
      <c r="BPK186" s="65"/>
      <c r="BPL186" s="65"/>
      <c r="BPM186" s="65"/>
      <c r="BPN186" s="65"/>
      <c r="BPO186" s="65"/>
      <c r="BPP186" s="65"/>
      <c r="BPQ186" s="65"/>
      <c r="BPR186" s="65"/>
      <c r="BPS186" s="65"/>
      <c r="BPT186" s="65"/>
      <c r="BPU186" s="65"/>
      <c r="BPV186" s="65"/>
      <c r="BPW186" s="65"/>
      <c r="BPX186" s="65"/>
      <c r="BPY186" s="65"/>
      <c r="BPZ186" s="65"/>
      <c r="BQA186" s="65"/>
      <c r="BQB186" s="65"/>
      <c r="BQC186" s="65"/>
      <c r="BQD186" s="65"/>
      <c r="BQE186" s="65"/>
      <c r="BQF186" s="65"/>
      <c r="BQG186" s="65"/>
      <c r="BQH186" s="65"/>
      <c r="BQI186" s="65"/>
      <c r="BQJ186" s="65"/>
      <c r="BQK186" s="65"/>
      <c r="BQL186" s="65"/>
      <c r="BQM186" s="65"/>
      <c r="BQN186" s="65"/>
      <c r="BQO186" s="65"/>
      <c r="BQP186" s="65"/>
      <c r="BQQ186" s="65"/>
      <c r="BQR186" s="65"/>
      <c r="BQS186" s="65"/>
      <c r="BQT186" s="65"/>
      <c r="BQU186" s="65"/>
      <c r="BQV186" s="65"/>
      <c r="BQW186" s="65"/>
      <c r="BQX186" s="65"/>
      <c r="BQY186" s="65"/>
      <c r="BQZ186" s="65"/>
      <c r="BRA186" s="65"/>
      <c r="BRB186" s="65"/>
      <c r="BRC186" s="65"/>
      <c r="BRD186" s="65"/>
      <c r="BRE186" s="65"/>
      <c r="BRF186" s="65"/>
      <c r="BRG186" s="65"/>
      <c r="BRH186" s="65"/>
      <c r="BRI186" s="65"/>
      <c r="BRJ186" s="65"/>
      <c r="BRK186" s="65"/>
      <c r="BRL186" s="65"/>
      <c r="BRM186" s="65"/>
      <c r="BRN186" s="65"/>
      <c r="BRO186" s="65"/>
      <c r="BRP186" s="65"/>
      <c r="BRQ186" s="65"/>
      <c r="BRR186" s="65"/>
      <c r="BRS186" s="65"/>
      <c r="BRT186" s="65"/>
      <c r="BRU186" s="65"/>
      <c r="BRV186" s="65"/>
      <c r="BRW186" s="65"/>
      <c r="BRX186" s="65"/>
      <c r="BRY186" s="65"/>
      <c r="BRZ186" s="65"/>
      <c r="BSA186" s="65"/>
      <c r="BSB186" s="65"/>
      <c r="BSC186" s="65"/>
      <c r="BSD186" s="65"/>
      <c r="BSE186" s="65"/>
      <c r="BSF186" s="65"/>
      <c r="BSG186" s="65"/>
      <c r="BSH186" s="65"/>
      <c r="BSI186" s="65"/>
      <c r="BSJ186" s="65"/>
      <c r="BSK186" s="65"/>
      <c r="BSL186" s="65"/>
      <c r="BSM186" s="65"/>
      <c r="BSN186" s="65"/>
      <c r="BSO186" s="65"/>
      <c r="BSP186" s="65"/>
      <c r="BSQ186" s="65"/>
      <c r="BSR186" s="65"/>
      <c r="BSS186" s="65"/>
      <c r="BST186" s="65"/>
      <c r="BSU186" s="65"/>
      <c r="BSV186" s="65"/>
      <c r="BSW186" s="65"/>
      <c r="BSX186" s="65"/>
      <c r="BSY186" s="65"/>
      <c r="BSZ186" s="65"/>
      <c r="BTA186" s="65"/>
      <c r="BTB186" s="65"/>
      <c r="BTC186" s="65"/>
      <c r="BTD186" s="65"/>
      <c r="BTE186" s="65"/>
      <c r="BTF186" s="65"/>
      <c r="BTG186" s="65"/>
      <c r="BTH186" s="65"/>
      <c r="BTI186" s="65"/>
      <c r="BTJ186" s="65"/>
      <c r="BTK186" s="65"/>
      <c r="BTL186" s="65"/>
      <c r="BTM186" s="65"/>
      <c r="BTN186" s="65"/>
      <c r="BTO186" s="65"/>
      <c r="BTP186" s="65"/>
      <c r="BTQ186" s="65"/>
      <c r="BTR186" s="65"/>
      <c r="BTS186" s="65"/>
      <c r="BTT186" s="65"/>
      <c r="BTU186" s="65"/>
      <c r="BTV186" s="65"/>
      <c r="BTW186" s="65"/>
      <c r="BTX186" s="65"/>
      <c r="BTY186" s="65"/>
      <c r="BTZ186" s="65"/>
      <c r="BUA186" s="65"/>
      <c r="BUB186" s="65"/>
      <c r="BUC186" s="65"/>
      <c r="BUD186" s="65"/>
      <c r="BUE186" s="65"/>
      <c r="BUF186" s="65"/>
      <c r="BUG186" s="65"/>
      <c r="BUH186" s="65"/>
      <c r="BUI186" s="65"/>
      <c r="BUJ186" s="65"/>
      <c r="BUK186" s="65"/>
      <c r="BUL186" s="65"/>
      <c r="BUM186" s="65"/>
      <c r="BUN186" s="65"/>
      <c r="BUO186" s="65"/>
      <c r="BUP186" s="65"/>
      <c r="BUQ186" s="65"/>
      <c r="BUR186" s="65"/>
      <c r="BUS186" s="65"/>
      <c r="BUT186" s="65"/>
      <c r="BUU186" s="65"/>
      <c r="BUV186" s="65"/>
      <c r="BUW186" s="65"/>
      <c r="BUX186" s="65"/>
      <c r="BUY186" s="65"/>
      <c r="BUZ186" s="65"/>
      <c r="BVA186" s="65"/>
      <c r="BVB186" s="65"/>
      <c r="BVC186" s="65"/>
      <c r="BVD186" s="65"/>
      <c r="BVE186" s="65"/>
      <c r="BVF186" s="65"/>
      <c r="BVG186" s="65"/>
      <c r="BVH186" s="65"/>
      <c r="BVI186" s="65"/>
      <c r="BVJ186" s="65"/>
      <c r="BVK186" s="65"/>
      <c r="BVL186" s="65"/>
      <c r="BVM186" s="65"/>
      <c r="BVN186" s="65"/>
      <c r="BVO186" s="65"/>
      <c r="BVP186" s="65"/>
      <c r="BVQ186" s="65"/>
      <c r="BVR186" s="65"/>
      <c r="BVS186" s="65"/>
      <c r="BVT186" s="65"/>
      <c r="BVU186" s="65"/>
      <c r="BVV186" s="65"/>
      <c r="BVW186" s="65"/>
      <c r="BVX186" s="65"/>
      <c r="BVY186" s="65"/>
      <c r="BVZ186" s="65"/>
      <c r="BWA186" s="65"/>
      <c r="BWB186" s="65"/>
      <c r="BWC186" s="65"/>
      <c r="BWD186" s="65"/>
      <c r="BWE186" s="65"/>
      <c r="BWF186" s="65"/>
      <c r="BWG186" s="65"/>
      <c r="BWH186" s="65"/>
      <c r="BWI186" s="65"/>
      <c r="BWJ186" s="65"/>
      <c r="BWK186" s="65"/>
      <c r="BWL186" s="65"/>
      <c r="BWM186" s="65"/>
      <c r="BWN186" s="65"/>
      <c r="BWO186" s="65"/>
      <c r="BWP186" s="65"/>
      <c r="BWQ186" s="65"/>
      <c r="BWR186" s="65"/>
      <c r="BWS186" s="65"/>
      <c r="BWT186" s="65"/>
      <c r="BWU186" s="65"/>
      <c r="BWV186" s="65"/>
      <c r="BWW186" s="65"/>
      <c r="BWX186" s="65"/>
      <c r="BWY186" s="65"/>
      <c r="BWZ186" s="65"/>
      <c r="BXA186" s="65"/>
      <c r="BXB186" s="65"/>
      <c r="BXC186" s="65"/>
      <c r="BXD186" s="65"/>
      <c r="BXE186" s="65"/>
      <c r="BXF186" s="65"/>
      <c r="BXG186" s="65"/>
      <c r="BXH186" s="65"/>
      <c r="BXI186" s="65"/>
      <c r="BXJ186" s="65"/>
      <c r="BXK186" s="65"/>
      <c r="BXL186" s="65"/>
      <c r="BXM186" s="65"/>
      <c r="BXN186" s="65"/>
      <c r="BXO186" s="65"/>
      <c r="BXP186" s="65"/>
      <c r="BXQ186" s="65"/>
      <c r="BXR186" s="65"/>
      <c r="BXS186" s="65"/>
      <c r="BXT186" s="65"/>
      <c r="BXU186" s="65"/>
      <c r="BXV186" s="65"/>
      <c r="BXW186" s="65"/>
      <c r="BXX186" s="65"/>
      <c r="BXY186" s="65"/>
      <c r="BXZ186" s="65"/>
      <c r="BYA186" s="65"/>
      <c r="BYB186" s="65"/>
      <c r="BYC186" s="65"/>
      <c r="BYD186" s="65"/>
      <c r="BYE186" s="65"/>
      <c r="BYF186" s="65"/>
      <c r="BYG186" s="65"/>
      <c r="BYH186" s="65"/>
      <c r="BYI186" s="65"/>
      <c r="BYJ186" s="65"/>
      <c r="BYK186" s="65"/>
      <c r="BYL186" s="65"/>
      <c r="BYM186" s="65"/>
      <c r="BYN186" s="65"/>
      <c r="BYO186" s="65"/>
      <c r="BYP186" s="65"/>
      <c r="BYQ186" s="65"/>
      <c r="BYR186" s="65"/>
      <c r="BYS186" s="65"/>
      <c r="BYT186" s="65"/>
      <c r="BYU186" s="65"/>
      <c r="BYV186" s="65"/>
      <c r="BYW186" s="65"/>
      <c r="BYX186" s="65"/>
      <c r="BYY186" s="65"/>
      <c r="BYZ186" s="65"/>
      <c r="BZA186" s="65"/>
      <c r="BZB186" s="65"/>
      <c r="BZC186" s="65"/>
      <c r="BZD186" s="65"/>
      <c r="BZE186" s="65"/>
      <c r="BZF186" s="65"/>
      <c r="BZG186" s="65"/>
      <c r="BZH186" s="65"/>
      <c r="BZI186" s="65"/>
      <c r="BZJ186" s="65"/>
      <c r="BZK186" s="65"/>
      <c r="BZL186" s="65"/>
      <c r="BZM186" s="65"/>
      <c r="BZN186" s="65"/>
      <c r="BZO186" s="65"/>
      <c r="BZP186" s="65"/>
      <c r="BZQ186" s="65"/>
      <c r="BZR186" s="65"/>
      <c r="BZS186" s="65"/>
      <c r="BZT186" s="65"/>
      <c r="BZU186" s="65"/>
      <c r="BZV186" s="65"/>
      <c r="BZW186" s="65"/>
      <c r="BZX186" s="65"/>
      <c r="BZY186" s="65"/>
      <c r="BZZ186" s="65"/>
      <c r="CAA186" s="65"/>
      <c r="CAB186" s="65"/>
      <c r="CAC186" s="65"/>
      <c r="CAD186" s="65"/>
      <c r="CAE186" s="65"/>
      <c r="CAF186" s="65"/>
      <c r="CAG186" s="65"/>
      <c r="CAH186" s="65"/>
      <c r="CAI186" s="65"/>
      <c r="CAJ186" s="65"/>
      <c r="CAK186" s="65"/>
      <c r="CAL186" s="65"/>
      <c r="CAM186" s="65"/>
      <c r="CAN186" s="65"/>
      <c r="CAO186" s="65"/>
      <c r="CAP186" s="65"/>
      <c r="CAQ186" s="65"/>
      <c r="CAR186" s="65"/>
      <c r="CAS186" s="65"/>
      <c r="CAT186" s="65"/>
      <c r="CAU186" s="65"/>
      <c r="CAV186" s="65"/>
      <c r="CAW186" s="65"/>
      <c r="CAX186" s="65"/>
      <c r="CAY186" s="65"/>
      <c r="CAZ186" s="65"/>
      <c r="CBA186" s="65"/>
      <c r="CBB186" s="65"/>
      <c r="CBC186" s="65"/>
      <c r="CBD186" s="65"/>
      <c r="CBE186" s="65"/>
      <c r="CBF186" s="65"/>
      <c r="CBG186" s="65"/>
      <c r="CBH186" s="65"/>
      <c r="CBI186" s="65"/>
      <c r="CBJ186" s="65"/>
      <c r="CBK186" s="65"/>
      <c r="CBL186" s="65"/>
      <c r="CBM186" s="65"/>
      <c r="CBN186" s="65"/>
      <c r="CBO186" s="65"/>
      <c r="CBP186" s="65"/>
      <c r="CBQ186" s="65"/>
      <c r="CBR186" s="65"/>
      <c r="CBS186" s="65"/>
      <c r="CBT186" s="65"/>
      <c r="CBU186" s="65"/>
      <c r="CBV186" s="65"/>
      <c r="CBW186" s="65"/>
      <c r="CBX186" s="65"/>
      <c r="CBY186" s="65"/>
      <c r="CBZ186" s="65"/>
      <c r="CCA186" s="65"/>
      <c r="CCB186" s="65"/>
      <c r="CCC186" s="65"/>
      <c r="CCD186" s="65"/>
      <c r="CCE186" s="65"/>
      <c r="CCF186" s="65"/>
      <c r="CCG186" s="65"/>
      <c r="CCH186" s="65"/>
      <c r="CCI186" s="65"/>
      <c r="CCJ186" s="65"/>
      <c r="CCK186" s="65"/>
      <c r="CCL186" s="65"/>
      <c r="CCM186" s="65"/>
      <c r="CCN186" s="65"/>
      <c r="CCO186" s="65"/>
      <c r="CCP186" s="65"/>
      <c r="CCQ186" s="65"/>
      <c r="CCR186" s="65"/>
      <c r="CCS186" s="65"/>
      <c r="CCT186" s="65"/>
      <c r="CCU186" s="65"/>
      <c r="CCV186" s="65"/>
      <c r="CCW186" s="65"/>
      <c r="CCX186" s="65"/>
      <c r="CCY186" s="65"/>
      <c r="CCZ186" s="65"/>
      <c r="CDA186" s="65"/>
      <c r="CDB186" s="65"/>
      <c r="CDC186" s="65"/>
      <c r="CDD186" s="65"/>
      <c r="CDE186" s="65"/>
      <c r="CDF186" s="65"/>
      <c r="CDG186" s="65"/>
      <c r="CDH186" s="65"/>
      <c r="CDI186" s="65"/>
      <c r="CDJ186" s="65"/>
      <c r="CDK186" s="65"/>
      <c r="CDL186" s="65"/>
      <c r="CDM186" s="65"/>
      <c r="CDN186" s="65"/>
      <c r="CDO186" s="65"/>
      <c r="CDP186" s="65"/>
      <c r="CDQ186" s="65"/>
      <c r="CDR186" s="65"/>
      <c r="CDS186" s="65"/>
      <c r="CDT186" s="65"/>
      <c r="CDU186" s="65"/>
      <c r="CDV186" s="65"/>
      <c r="CDW186" s="65"/>
      <c r="CDX186" s="65"/>
      <c r="CDY186" s="65"/>
      <c r="CDZ186" s="65"/>
      <c r="CEA186" s="65"/>
      <c r="CEB186" s="65"/>
      <c r="CEC186" s="65"/>
      <c r="CED186" s="65"/>
      <c r="CEE186" s="65"/>
      <c r="CEF186" s="65"/>
      <c r="CEG186" s="65"/>
      <c r="CEH186" s="65"/>
      <c r="CEI186" s="65"/>
      <c r="CEJ186" s="65"/>
      <c r="CEK186" s="65"/>
      <c r="CEL186" s="65"/>
      <c r="CEM186" s="65"/>
      <c r="CEN186" s="65"/>
      <c r="CEO186" s="65"/>
      <c r="CEP186" s="65"/>
      <c r="CEQ186" s="65"/>
      <c r="CER186" s="65"/>
      <c r="CES186" s="65"/>
      <c r="CET186" s="65"/>
      <c r="CEU186" s="65"/>
      <c r="CEV186" s="65"/>
      <c r="CEW186" s="65"/>
      <c r="CEX186" s="65"/>
      <c r="CEY186" s="65"/>
      <c r="CEZ186" s="65"/>
      <c r="CFA186" s="65"/>
      <c r="CFB186" s="65"/>
      <c r="CFC186" s="65"/>
      <c r="CFD186" s="65"/>
      <c r="CFE186" s="65"/>
      <c r="CFF186" s="65"/>
      <c r="CFG186" s="65"/>
      <c r="CFH186" s="65"/>
      <c r="CFI186" s="65"/>
      <c r="CFJ186" s="65"/>
      <c r="CFK186" s="65"/>
      <c r="CFL186" s="65"/>
      <c r="CFM186" s="65"/>
      <c r="CFN186" s="65"/>
      <c r="CFO186" s="65"/>
      <c r="CFP186" s="65"/>
      <c r="CFQ186" s="65"/>
      <c r="CFR186" s="65"/>
      <c r="CFS186" s="65"/>
      <c r="CFT186" s="65"/>
      <c r="CFU186" s="65"/>
      <c r="CFV186" s="65"/>
      <c r="CFW186" s="65"/>
      <c r="CFX186" s="65"/>
      <c r="CFY186" s="65"/>
      <c r="CFZ186" s="65"/>
      <c r="CGA186" s="65"/>
      <c r="CGB186" s="65"/>
      <c r="CGC186" s="65"/>
      <c r="CGD186" s="65"/>
      <c r="CGE186" s="65"/>
      <c r="CGF186" s="65"/>
      <c r="CGG186" s="65"/>
      <c r="CGH186" s="65"/>
      <c r="CGI186" s="65"/>
      <c r="CGJ186" s="65"/>
      <c r="CGK186" s="65"/>
      <c r="CGL186" s="65"/>
      <c r="CGM186" s="65"/>
      <c r="CGN186" s="65"/>
      <c r="CGO186" s="65"/>
      <c r="CGP186" s="65"/>
      <c r="CGQ186" s="65"/>
      <c r="CGR186" s="65"/>
      <c r="CGS186" s="65"/>
      <c r="CGT186" s="65"/>
      <c r="CGU186" s="65"/>
      <c r="CGV186" s="65"/>
      <c r="CGW186" s="65"/>
      <c r="CGX186" s="65"/>
      <c r="CGY186" s="65"/>
      <c r="CGZ186" s="65"/>
      <c r="CHA186" s="65"/>
      <c r="CHB186" s="65"/>
      <c r="CHC186" s="65"/>
      <c r="CHD186" s="65"/>
      <c r="CHE186" s="65"/>
      <c r="CHF186" s="65"/>
      <c r="CHG186" s="65"/>
      <c r="CHH186" s="65"/>
      <c r="CHI186" s="65"/>
      <c r="CHJ186" s="65"/>
      <c r="CHK186" s="65"/>
      <c r="CHL186" s="65"/>
      <c r="CHM186" s="65"/>
      <c r="CHN186" s="65"/>
      <c r="CHO186" s="65"/>
      <c r="CHP186" s="65"/>
      <c r="CHQ186" s="65"/>
      <c r="CHR186" s="65"/>
      <c r="CHS186" s="65"/>
      <c r="CHT186" s="65"/>
      <c r="CHU186" s="65"/>
      <c r="CHV186" s="65"/>
      <c r="CHW186" s="65"/>
      <c r="CHX186" s="65"/>
      <c r="CHY186" s="65"/>
      <c r="CHZ186" s="65"/>
      <c r="CIA186" s="65"/>
      <c r="CIB186" s="65"/>
      <c r="CIC186" s="65"/>
      <c r="CID186" s="65"/>
      <c r="CIE186" s="65"/>
      <c r="CIF186" s="65"/>
      <c r="CIG186" s="65"/>
      <c r="CIH186" s="65"/>
      <c r="CII186" s="65"/>
      <c r="CIJ186" s="65"/>
      <c r="CIK186" s="65"/>
      <c r="CIL186" s="65"/>
      <c r="CIM186" s="65"/>
      <c r="CIN186" s="65"/>
      <c r="CIO186" s="65"/>
      <c r="CIP186" s="65"/>
      <c r="CIQ186" s="65"/>
      <c r="CIR186" s="65"/>
      <c r="CIS186" s="65"/>
      <c r="CIT186" s="65"/>
      <c r="CIU186" s="65"/>
      <c r="CIV186" s="65"/>
      <c r="CIW186" s="65"/>
      <c r="CIX186" s="65"/>
      <c r="CIY186" s="65"/>
      <c r="CIZ186" s="65"/>
      <c r="CJA186" s="65"/>
      <c r="CJB186" s="65"/>
      <c r="CJC186" s="65"/>
      <c r="CJD186" s="65"/>
      <c r="CJE186" s="65"/>
      <c r="CJF186" s="65"/>
      <c r="CJG186" s="65"/>
      <c r="CJH186" s="65"/>
      <c r="CJI186" s="65"/>
      <c r="CJJ186" s="65"/>
      <c r="CJK186" s="65"/>
      <c r="CJL186" s="65"/>
      <c r="CJM186" s="65"/>
      <c r="CJN186" s="65"/>
      <c r="CJO186" s="65"/>
      <c r="CJP186" s="65"/>
      <c r="CJQ186" s="65"/>
      <c r="CJR186" s="65"/>
      <c r="CJS186" s="65"/>
      <c r="CJT186" s="65"/>
      <c r="CJU186" s="65"/>
      <c r="CJV186" s="65"/>
      <c r="CJW186" s="65"/>
      <c r="CJX186" s="65"/>
      <c r="CJY186" s="65"/>
      <c r="CJZ186" s="65"/>
      <c r="CKA186" s="65"/>
      <c r="CKB186" s="65"/>
      <c r="CKC186" s="65"/>
      <c r="CKD186" s="65"/>
      <c r="CKE186" s="65"/>
      <c r="CKF186" s="65"/>
      <c r="CKG186" s="65"/>
      <c r="CKH186" s="65"/>
      <c r="CKI186" s="65"/>
      <c r="CKJ186" s="65"/>
      <c r="CKK186" s="65"/>
      <c r="CKL186" s="65"/>
      <c r="CKM186" s="65"/>
      <c r="CKN186" s="65"/>
      <c r="CKO186" s="65"/>
      <c r="CKP186" s="65"/>
      <c r="CKQ186" s="65"/>
      <c r="CKR186" s="65"/>
      <c r="CKS186" s="65"/>
      <c r="CKT186" s="65"/>
      <c r="CKU186" s="65"/>
      <c r="CKV186" s="65"/>
      <c r="CKW186" s="65"/>
      <c r="CKX186" s="65"/>
      <c r="CKY186" s="65"/>
      <c r="CKZ186" s="65"/>
      <c r="CLA186" s="65"/>
      <c r="CLB186" s="65"/>
      <c r="CLC186" s="65"/>
      <c r="CLD186" s="65"/>
      <c r="CLE186" s="65"/>
      <c r="CLF186" s="65"/>
      <c r="CLG186" s="65"/>
      <c r="CLH186" s="65"/>
      <c r="CLI186" s="65"/>
      <c r="CLJ186" s="65"/>
      <c r="CLK186" s="65"/>
      <c r="CLL186" s="65"/>
      <c r="CLM186" s="65"/>
      <c r="CLN186" s="65"/>
      <c r="CLO186" s="65"/>
      <c r="CLP186" s="65"/>
      <c r="CLQ186" s="65"/>
      <c r="CLR186" s="65"/>
      <c r="CLS186" s="65"/>
      <c r="CLT186" s="65"/>
      <c r="CLU186" s="65"/>
      <c r="CLV186" s="65"/>
      <c r="CLW186" s="65"/>
      <c r="CLX186" s="65"/>
      <c r="CLY186" s="65"/>
      <c r="CLZ186" s="65"/>
      <c r="CMA186" s="65"/>
      <c r="CMB186" s="65"/>
      <c r="CMC186" s="65"/>
      <c r="CMD186" s="65"/>
      <c r="CME186" s="65"/>
      <c r="CMF186" s="65"/>
      <c r="CMG186" s="65"/>
      <c r="CMH186" s="65"/>
      <c r="CMI186" s="65"/>
      <c r="CMJ186" s="65"/>
      <c r="CMK186" s="65"/>
      <c r="CML186" s="65"/>
      <c r="CMM186" s="65"/>
      <c r="CMN186" s="65"/>
      <c r="CMO186" s="65"/>
      <c r="CMP186" s="65"/>
      <c r="CMQ186" s="65"/>
      <c r="CMR186" s="65"/>
      <c r="CMS186" s="65"/>
      <c r="CMT186" s="65"/>
      <c r="CMU186" s="65"/>
      <c r="CMV186" s="65"/>
      <c r="CMW186" s="65"/>
      <c r="CMX186" s="65"/>
      <c r="CMY186" s="65"/>
      <c r="CMZ186" s="65"/>
      <c r="CNA186" s="65"/>
      <c r="CNB186" s="65"/>
      <c r="CNC186" s="65"/>
      <c r="CND186" s="65"/>
      <c r="CNE186" s="65"/>
      <c r="CNF186" s="65"/>
      <c r="CNG186" s="65"/>
      <c r="CNH186" s="65"/>
      <c r="CNI186" s="65"/>
      <c r="CNJ186" s="65"/>
      <c r="CNK186" s="65"/>
      <c r="CNL186" s="65"/>
      <c r="CNM186" s="65"/>
      <c r="CNN186" s="65"/>
      <c r="CNO186" s="65"/>
      <c r="CNP186" s="65"/>
      <c r="CNQ186" s="65"/>
      <c r="CNR186" s="65"/>
      <c r="CNS186" s="65"/>
      <c r="CNT186" s="65"/>
      <c r="CNU186" s="65"/>
      <c r="CNV186" s="65"/>
      <c r="CNW186" s="65"/>
      <c r="CNX186" s="65"/>
      <c r="CNY186" s="65"/>
      <c r="CNZ186" s="65"/>
      <c r="COA186" s="65"/>
      <c r="COB186" s="65"/>
      <c r="COC186" s="65"/>
      <c r="COD186" s="65"/>
      <c r="COE186" s="65"/>
      <c r="COF186" s="65"/>
      <c r="COG186" s="65"/>
      <c r="COH186" s="65"/>
      <c r="COI186" s="65"/>
      <c r="COJ186" s="65"/>
      <c r="COK186" s="65"/>
      <c r="COL186" s="65"/>
      <c r="COM186" s="65"/>
      <c r="CON186" s="65"/>
      <c r="COO186" s="65"/>
      <c r="COP186" s="65"/>
      <c r="COQ186" s="65"/>
      <c r="COR186" s="65"/>
      <c r="COS186" s="65"/>
      <c r="COT186" s="65"/>
      <c r="COU186" s="65"/>
      <c r="COV186" s="65"/>
      <c r="COW186" s="65"/>
      <c r="COX186" s="65"/>
      <c r="COY186" s="65"/>
      <c r="COZ186" s="65"/>
      <c r="CPA186" s="65"/>
      <c r="CPB186" s="65"/>
      <c r="CPC186" s="65"/>
      <c r="CPD186" s="65"/>
      <c r="CPE186" s="65"/>
      <c r="CPF186" s="65"/>
      <c r="CPG186" s="65"/>
      <c r="CPH186" s="65"/>
      <c r="CPI186" s="65"/>
      <c r="CPJ186" s="65"/>
      <c r="CPK186" s="65"/>
      <c r="CPL186" s="65"/>
      <c r="CPM186" s="65"/>
      <c r="CPN186" s="65"/>
      <c r="CPO186" s="65"/>
      <c r="CPP186" s="65"/>
      <c r="CPQ186" s="65"/>
      <c r="CPR186" s="65"/>
      <c r="CPS186" s="65"/>
      <c r="CPT186" s="65"/>
      <c r="CPU186" s="65"/>
      <c r="CPV186" s="65"/>
      <c r="CPW186" s="65"/>
      <c r="CPX186" s="65"/>
      <c r="CPY186" s="65"/>
      <c r="CPZ186" s="65"/>
      <c r="CQA186" s="65"/>
      <c r="CQB186" s="65"/>
      <c r="CQC186" s="65"/>
      <c r="CQD186" s="65"/>
      <c r="CQE186" s="65"/>
      <c r="CQF186" s="65"/>
      <c r="CQG186" s="65"/>
      <c r="CQH186" s="65"/>
      <c r="CQI186" s="65"/>
      <c r="CQJ186" s="65"/>
      <c r="CQK186" s="65"/>
      <c r="CQL186" s="65"/>
      <c r="CQM186" s="65"/>
      <c r="CQN186" s="65"/>
      <c r="CQO186" s="65"/>
      <c r="CQP186" s="65"/>
      <c r="CQQ186" s="65"/>
      <c r="CQR186" s="65"/>
      <c r="CQS186" s="65"/>
      <c r="CQT186" s="65"/>
      <c r="CQU186" s="65"/>
      <c r="CQV186" s="65"/>
      <c r="CQW186" s="65"/>
      <c r="CQX186" s="65"/>
      <c r="CQY186" s="65"/>
      <c r="CQZ186" s="65"/>
      <c r="CRA186" s="65"/>
      <c r="CRB186" s="65"/>
      <c r="CRC186" s="65"/>
      <c r="CRD186" s="65"/>
      <c r="CRE186" s="65"/>
      <c r="CRF186" s="65"/>
      <c r="CRG186" s="65"/>
      <c r="CRH186" s="65"/>
      <c r="CRI186" s="65"/>
      <c r="CRJ186" s="65"/>
      <c r="CRK186" s="65"/>
      <c r="CRL186" s="65"/>
      <c r="CRM186" s="65"/>
      <c r="CRN186" s="65"/>
      <c r="CRO186" s="65"/>
      <c r="CRP186" s="65"/>
      <c r="CRQ186" s="65"/>
      <c r="CRR186" s="65"/>
      <c r="CRS186" s="65"/>
      <c r="CRT186" s="65"/>
      <c r="CRU186" s="65"/>
      <c r="CRV186" s="65"/>
      <c r="CRW186" s="65"/>
      <c r="CRX186" s="65"/>
      <c r="CRY186" s="65"/>
      <c r="CRZ186" s="65"/>
      <c r="CSA186" s="65"/>
      <c r="CSB186" s="65"/>
      <c r="CSC186" s="65"/>
      <c r="CSD186" s="65"/>
      <c r="CSE186" s="65"/>
      <c r="CSF186" s="65"/>
      <c r="CSG186" s="65"/>
      <c r="CSH186" s="65"/>
      <c r="CSI186" s="65"/>
      <c r="CSJ186" s="65"/>
      <c r="CSK186" s="65"/>
      <c r="CSL186" s="65"/>
      <c r="CSM186" s="65"/>
      <c r="CSN186" s="65"/>
      <c r="CSO186" s="65"/>
      <c r="CSP186" s="65"/>
      <c r="CSQ186" s="65"/>
      <c r="CSR186" s="65"/>
      <c r="CSS186" s="65"/>
      <c r="CST186" s="65"/>
      <c r="CSU186" s="65"/>
      <c r="CSV186" s="65"/>
      <c r="CSW186" s="65"/>
      <c r="CSX186" s="65"/>
      <c r="CSY186" s="65"/>
      <c r="CSZ186" s="65"/>
      <c r="CTA186" s="65"/>
      <c r="CTB186" s="65"/>
      <c r="CTC186" s="65"/>
      <c r="CTD186" s="65"/>
      <c r="CTE186" s="65"/>
      <c r="CTF186" s="65"/>
      <c r="CTG186" s="65"/>
      <c r="CTH186" s="65"/>
      <c r="CTI186" s="65"/>
      <c r="CTJ186" s="65"/>
      <c r="CTK186" s="65"/>
      <c r="CTL186" s="65"/>
      <c r="CTM186" s="65"/>
      <c r="CTN186" s="65"/>
      <c r="CTO186" s="65"/>
      <c r="CTP186" s="65"/>
      <c r="CTQ186" s="65"/>
      <c r="CTR186" s="65"/>
      <c r="CTS186" s="65"/>
      <c r="CTT186" s="65"/>
      <c r="CTU186" s="65"/>
      <c r="CTV186" s="65"/>
      <c r="CTW186" s="65"/>
      <c r="CTX186" s="65"/>
      <c r="CTY186" s="65"/>
      <c r="CTZ186" s="65"/>
      <c r="CUA186" s="65"/>
      <c r="CUB186" s="65"/>
      <c r="CUC186" s="65"/>
      <c r="CUD186" s="65"/>
      <c r="CUE186" s="65"/>
      <c r="CUF186" s="65"/>
      <c r="CUG186" s="65"/>
      <c r="CUH186" s="65"/>
      <c r="CUI186" s="65"/>
      <c r="CUJ186" s="65"/>
      <c r="CUK186" s="65"/>
      <c r="CUL186" s="65"/>
      <c r="CUM186" s="65"/>
      <c r="CUN186" s="65"/>
      <c r="CUO186" s="65"/>
      <c r="CUP186" s="65"/>
      <c r="CUQ186" s="65"/>
      <c r="CUR186" s="65"/>
      <c r="CUS186" s="65"/>
      <c r="CUT186" s="65"/>
      <c r="CUU186" s="65"/>
      <c r="CUV186" s="65"/>
      <c r="CUW186" s="65"/>
      <c r="CUX186" s="65"/>
      <c r="CUY186" s="65"/>
      <c r="CUZ186" s="65"/>
      <c r="CVA186" s="65"/>
      <c r="CVB186" s="65"/>
      <c r="CVC186" s="65"/>
      <c r="CVD186" s="65"/>
      <c r="CVE186" s="65"/>
      <c r="CVF186" s="65"/>
      <c r="CVG186" s="65"/>
      <c r="CVH186" s="65"/>
      <c r="CVI186" s="65"/>
      <c r="CVJ186" s="65"/>
      <c r="CVK186" s="65"/>
      <c r="CVL186" s="65"/>
      <c r="CVM186" s="65"/>
      <c r="CVN186" s="65"/>
      <c r="CVO186" s="65"/>
      <c r="CVP186" s="65"/>
      <c r="CVQ186" s="65"/>
      <c r="CVR186" s="65"/>
      <c r="CVS186" s="65"/>
      <c r="CVT186" s="65"/>
      <c r="CVU186" s="65"/>
      <c r="CVV186" s="65"/>
      <c r="CVW186" s="65"/>
      <c r="CVX186" s="65"/>
      <c r="CVY186" s="65"/>
      <c r="CVZ186" s="65"/>
      <c r="CWA186" s="65"/>
      <c r="CWB186" s="65"/>
      <c r="CWC186" s="65"/>
      <c r="CWD186" s="65"/>
      <c r="CWE186" s="65"/>
      <c r="CWF186" s="65"/>
      <c r="CWG186" s="65"/>
      <c r="CWH186" s="65"/>
      <c r="CWI186" s="65"/>
      <c r="CWJ186" s="65"/>
      <c r="CWK186" s="65"/>
      <c r="CWL186" s="65"/>
      <c r="CWM186" s="65"/>
      <c r="CWN186" s="65"/>
      <c r="CWO186" s="65"/>
      <c r="CWP186" s="65"/>
      <c r="CWQ186" s="65"/>
      <c r="CWR186" s="65"/>
      <c r="CWS186" s="65"/>
      <c r="CWT186" s="65"/>
      <c r="CWU186" s="65"/>
      <c r="CWV186" s="65"/>
      <c r="CWW186" s="65"/>
      <c r="CWX186" s="65"/>
      <c r="CWY186" s="65"/>
      <c r="CWZ186" s="65"/>
      <c r="CXA186" s="65"/>
      <c r="CXB186" s="65"/>
      <c r="CXC186" s="65"/>
      <c r="CXD186" s="65"/>
      <c r="CXE186" s="65"/>
      <c r="CXF186" s="65"/>
      <c r="CXG186" s="65"/>
      <c r="CXH186" s="65"/>
      <c r="CXI186" s="65"/>
      <c r="CXJ186" s="65"/>
      <c r="CXK186" s="65"/>
      <c r="CXL186" s="65"/>
      <c r="CXM186" s="65"/>
      <c r="CXN186" s="65"/>
      <c r="CXO186" s="65"/>
      <c r="CXP186" s="65"/>
      <c r="CXQ186" s="65"/>
      <c r="CXR186" s="65"/>
      <c r="CXS186" s="65"/>
      <c r="CXT186" s="65"/>
      <c r="CXU186" s="65"/>
      <c r="CXV186" s="65"/>
      <c r="CXW186" s="65"/>
      <c r="CXX186" s="65"/>
      <c r="CXY186" s="65"/>
      <c r="CXZ186" s="65"/>
      <c r="CYA186" s="65"/>
      <c r="CYB186" s="65"/>
      <c r="CYC186" s="65"/>
      <c r="CYD186" s="65"/>
      <c r="CYE186" s="65"/>
      <c r="CYF186" s="65"/>
      <c r="CYG186" s="65"/>
      <c r="CYH186" s="65"/>
      <c r="CYI186" s="65"/>
      <c r="CYJ186" s="65"/>
      <c r="CYK186" s="65"/>
      <c r="CYL186" s="65"/>
      <c r="CYM186" s="65"/>
      <c r="CYN186" s="65"/>
      <c r="CYO186" s="65"/>
      <c r="CYP186" s="65"/>
      <c r="CYQ186" s="65"/>
      <c r="CYR186" s="65"/>
      <c r="CYS186" s="65"/>
      <c r="CYT186" s="65"/>
      <c r="CYU186" s="65"/>
      <c r="CYV186" s="65"/>
      <c r="CYW186" s="65"/>
      <c r="CYX186" s="65"/>
      <c r="CYY186" s="65"/>
      <c r="CYZ186" s="65"/>
      <c r="CZA186" s="65"/>
      <c r="CZB186" s="65"/>
      <c r="CZC186" s="65"/>
      <c r="CZD186" s="65"/>
      <c r="CZE186" s="65"/>
      <c r="CZF186" s="65"/>
      <c r="CZG186" s="65"/>
      <c r="CZH186" s="65"/>
      <c r="CZI186" s="65"/>
      <c r="CZJ186" s="65"/>
      <c r="CZK186" s="65"/>
      <c r="CZL186" s="65"/>
      <c r="CZM186" s="65"/>
      <c r="CZN186" s="65"/>
      <c r="CZO186" s="65"/>
      <c r="CZP186" s="65"/>
      <c r="CZQ186" s="65"/>
      <c r="CZR186" s="65"/>
      <c r="CZS186" s="65"/>
      <c r="CZT186" s="65"/>
      <c r="CZU186" s="65"/>
      <c r="CZV186" s="65"/>
      <c r="CZW186" s="65"/>
      <c r="CZX186" s="65"/>
      <c r="CZY186" s="65"/>
      <c r="CZZ186" s="65"/>
      <c r="DAA186" s="65"/>
      <c r="DAB186" s="65"/>
      <c r="DAC186" s="65"/>
      <c r="DAD186" s="65"/>
      <c r="DAE186" s="65"/>
      <c r="DAF186" s="65"/>
      <c r="DAG186" s="65"/>
      <c r="DAH186" s="65"/>
      <c r="DAI186" s="65"/>
      <c r="DAJ186" s="65"/>
      <c r="DAK186" s="65"/>
      <c r="DAL186" s="65"/>
      <c r="DAM186" s="65"/>
      <c r="DAN186" s="65"/>
      <c r="DAO186" s="65"/>
      <c r="DAP186" s="65"/>
      <c r="DAQ186" s="65"/>
      <c r="DAR186" s="65"/>
      <c r="DAS186" s="65"/>
      <c r="DAT186" s="65"/>
      <c r="DAU186" s="65"/>
      <c r="DAV186" s="65"/>
      <c r="DAW186" s="65"/>
      <c r="DAX186" s="65"/>
      <c r="DAY186" s="65"/>
      <c r="DAZ186" s="65"/>
      <c r="DBA186" s="65"/>
      <c r="DBB186" s="65"/>
      <c r="DBC186" s="65"/>
      <c r="DBD186" s="65"/>
      <c r="DBE186" s="65"/>
      <c r="DBF186" s="65"/>
      <c r="DBG186" s="65"/>
      <c r="DBH186" s="65"/>
      <c r="DBI186" s="65"/>
      <c r="DBJ186" s="65"/>
      <c r="DBK186" s="65"/>
      <c r="DBL186" s="65"/>
      <c r="DBM186" s="65"/>
      <c r="DBN186" s="65"/>
      <c r="DBO186" s="65"/>
      <c r="DBP186" s="65"/>
      <c r="DBQ186" s="65"/>
      <c r="DBR186" s="65"/>
      <c r="DBS186" s="65"/>
      <c r="DBT186" s="65"/>
      <c r="DBU186" s="65"/>
      <c r="DBV186" s="65"/>
      <c r="DBW186" s="65"/>
      <c r="DBX186" s="65"/>
      <c r="DBY186" s="65"/>
      <c r="DBZ186" s="65"/>
      <c r="DCA186" s="65"/>
      <c r="DCB186" s="65"/>
      <c r="DCC186" s="65"/>
      <c r="DCD186" s="65"/>
      <c r="DCE186" s="65"/>
      <c r="DCF186" s="65"/>
      <c r="DCG186" s="65"/>
      <c r="DCH186" s="65"/>
      <c r="DCI186" s="65"/>
      <c r="DCJ186" s="65"/>
      <c r="DCK186" s="65"/>
      <c r="DCL186" s="65"/>
      <c r="DCM186" s="65"/>
      <c r="DCN186" s="65"/>
      <c r="DCO186" s="65"/>
      <c r="DCP186" s="65"/>
      <c r="DCQ186" s="65"/>
      <c r="DCR186" s="65"/>
      <c r="DCS186" s="65"/>
      <c r="DCT186" s="65"/>
      <c r="DCU186" s="65"/>
      <c r="DCV186" s="65"/>
      <c r="DCW186" s="65"/>
      <c r="DCX186" s="65"/>
      <c r="DCY186" s="65"/>
      <c r="DCZ186" s="65"/>
      <c r="DDA186" s="65"/>
      <c r="DDB186" s="65"/>
      <c r="DDC186" s="65"/>
      <c r="DDD186" s="65"/>
      <c r="DDE186" s="65"/>
      <c r="DDF186" s="65"/>
      <c r="DDG186" s="65"/>
      <c r="DDH186" s="65"/>
      <c r="DDI186" s="65"/>
      <c r="DDJ186" s="65"/>
      <c r="DDK186" s="65"/>
      <c r="DDL186" s="65"/>
      <c r="DDM186" s="65"/>
      <c r="DDN186" s="65"/>
      <c r="DDO186" s="65"/>
      <c r="DDP186" s="65"/>
      <c r="DDQ186" s="65"/>
      <c r="DDR186" s="65"/>
      <c r="DDS186" s="65"/>
      <c r="DDT186" s="65"/>
      <c r="DDU186" s="65"/>
      <c r="DDV186" s="65"/>
      <c r="DDW186" s="65"/>
      <c r="DDX186" s="65"/>
      <c r="DDY186" s="65"/>
      <c r="DDZ186" s="65"/>
      <c r="DEA186" s="65"/>
      <c r="DEB186" s="65"/>
      <c r="DEC186" s="65"/>
      <c r="DED186" s="65"/>
      <c r="DEE186" s="65"/>
      <c r="DEF186" s="65"/>
      <c r="DEG186" s="65"/>
      <c r="DEH186" s="65"/>
      <c r="DEI186" s="65"/>
      <c r="DEJ186" s="65"/>
      <c r="DEK186" s="65"/>
      <c r="DEL186" s="65"/>
      <c r="DEM186" s="65"/>
      <c r="DEN186" s="65"/>
      <c r="DEO186" s="65"/>
      <c r="DEP186" s="65"/>
      <c r="DEQ186" s="65"/>
      <c r="DER186" s="65"/>
      <c r="DES186" s="65"/>
      <c r="DET186" s="65"/>
      <c r="DEU186" s="65"/>
      <c r="DEV186" s="65"/>
      <c r="DEW186" s="65"/>
      <c r="DEX186" s="65"/>
      <c r="DEY186" s="65"/>
      <c r="DEZ186" s="65"/>
      <c r="DFA186" s="65"/>
      <c r="DFB186" s="65"/>
      <c r="DFC186" s="65"/>
      <c r="DFD186" s="65"/>
      <c r="DFE186" s="65"/>
      <c r="DFF186" s="65"/>
      <c r="DFG186" s="65"/>
      <c r="DFH186" s="65"/>
      <c r="DFI186" s="65"/>
      <c r="DFJ186" s="65"/>
      <c r="DFK186" s="65"/>
      <c r="DFL186" s="65"/>
      <c r="DFM186" s="65"/>
      <c r="DFN186" s="65"/>
      <c r="DFO186" s="65"/>
      <c r="DFP186" s="65"/>
      <c r="DFQ186" s="65"/>
      <c r="DFR186" s="65"/>
      <c r="DFS186" s="65"/>
      <c r="DFT186" s="65"/>
      <c r="DFU186" s="65"/>
      <c r="DFV186" s="65"/>
      <c r="DFW186" s="65"/>
      <c r="DFX186" s="65"/>
      <c r="DFY186" s="65"/>
      <c r="DFZ186" s="65"/>
      <c r="DGA186" s="65"/>
      <c r="DGB186" s="65"/>
      <c r="DGC186" s="65"/>
      <c r="DGD186" s="65"/>
      <c r="DGE186" s="65"/>
      <c r="DGF186" s="65"/>
      <c r="DGG186" s="65"/>
      <c r="DGH186" s="65"/>
      <c r="DGI186" s="65"/>
      <c r="DGJ186" s="65"/>
      <c r="DGK186" s="65"/>
      <c r="DGL186" s="65"/>
      <c r="DGM186" s="65"/>
      <c r="DGN186" s="65"/>
      <c r="DGO186" s="65"/>
      <c r="DGP186" s="65"/>
      <c r="DGQ186" s="65"/>
      <c r="DGR186" s="65"/>
      <c r="DGS186" s="65"/>
      <c r="DGT186" s="65"/>
      <c r="DGU186" s="65"/>
      <c r="DGV186" s="65"/>
      <c r="DGW186" s="65"/>
      <c r="DGX186" s="65"/>
      <c r="DGY186" s="65"/>
      <c r="DGZ186" s="65"/>
      <c r="DHA186" s="65"/>
      <c r="DHB186" s="65"/>
      <c r="DHC186" s="65"/>
      <c r="DHD186" s="65"/>
      <c r="DHE186" s="65"/>
      <c r="DHF186" s="65"/>
      <c r="DHG186" s="65"/>
      <c r="DHH186" s="65"/>
      <c r="DHI186" s="65"/>
      <c r="DHJ186" s="65"/>
      <c r="DHK186" s="65"/>
      <c r="DHL186" s="65"/>
      <c r="DHM186" s="65"/>
      <c r="DHN186" s="65"/>
      <c r="DHO186" s="65"/>
      <c r="DHP186" s="65"/>
      <c r="DHQ186" s="65"/>
      <c r="DHR186" s="65"/>
      <c r="DHS186" s="65"/>
      <c r="DHT186" s="65"/>
      <c r="DHU186" s="65"/>
      <c r="DHV186" s="65"/>
      <c r="DHW186" s="65"/>
      <c r="DHX186" s="65"/>
      <c r="DHY186" s="65"/>
      <c r="DHZ186" s="65"/>
      <c r="DIA186" s="65"/>
      <c r="DIB186" s="65"/>
      <c r="DIC186" s="65"/>
      <c r="DID186" s="65"/>
      <c r="DIE186" s="65"/>
      <c r="DIF186" s="65"/>
      <c r="DIG186" s="65"/>
      <c r="DIH186" s="65"/>
      <c r="DII186" s="65"/>
      <c r="DIJ186" s="65"/>
      <c r="DIK186" s="65"/>
      <c r="DIL186" s="65"/>
      <c r="DIM186" s="65"/>
      <c r="DIN186" s="65"/>
      <c r="DIO186" s="65"/>
      <c r="DIP186" s="65"/>
      <c r="DIQ186" s="65"/>
      <c r="DIR186" s="65"/>
      <c r="DIS186" s="65"/>
      <c r="DIT186" s="65"/>
      <c r="DIU186" s="65"/>
      <c r="DIV186" s="65"/>
      <c r="DIW186" s="65"/>
      <c r="DIX186" s="65"/>
      <c r="DIY186" s="65"/>
      <c r="DIZ186" s="65"/>
      <c r="DJA186" s="65"/>
      <c r="DJB186" s="65"/>
      <c r="DJC186" s="65"/>
      <c r="DJD186" s="65"/>
      <c r="DJE186" s="65"/>
      <c r="DJF186" s="65"/>
      <c r="DJG186" s="65"/>
      <c r="DJH186" s="65"/>
      <c r="DJI186" s="65"/>
      <c r="DJJ186" s="65"/>
      <c r="DJK186" s="65"/>
      <c r="DJL186" s="65"/>
      <c r="DJM186" s="65"/>
      <c r="DJN186" s="65"/>
      <c r="DJO186" s="65"/>
      <c r="DJP186" s="65"/>
      <c r="DJQ186" s="65"/>
      <c r="DJR186" s="65"/>
      <c r="DJS186" s="65"/>
      <c r="DJT186" s="65"/>
      <c r="DJU186" s="65"/>
      <c r="DJV186" s="65"/>
      <c r="DJW186" s="65"/>
      <c r="DJX186" s="65"/>
      <c r="DJY186" s="65"/>
      <c r="DJZ186" s="65"/>
      <c r="DKA186" s="65"/>
      <c r="DKB186" s="65"/>
      <c r="DKC186" s="65"/>
      <c r="DKD186" s="65"/>
      <c r="DKE186" s="65"/>
      <c r="DKF186" s="65"/>
      <c r="DKG186" s="65"/>
      <c r="DKH186" s="65"/>
      <c r="DKI186" s="65"/>
      <c r="DKJ186" s="65"/>
      <c r="DKK186" s="65"/>
      <c r="DKL186" s="65"/>
      <c r="DKM186" s="65"/>
      <c r="DKN186" s="65"/>
      <c r="DKO186" s="65"/>
      <c r="DKP186" s="65"/>
      <c r="DKQ186" s="65"/>
      <c r="DKR186" s="65"/>
      <c r="DKS186" s="65"/>
      <c r="DKT186" s="65"/>
      <c r="DKU186" s="65"/>
      <c r="DKV186" s="65"/>
      <c r="DKW186" s="65"/>
      <c r="DKX186" s="65"/>
      <c r="DKY186" s="65"/>
      <c r="DKZ186" s="65"/>
      <c r="DLA186" s="65"/>
      <c r="DLB186" s="65"/>
      <c r="DLC186" s="65"/>
      <c r="DLD186" s="65"/>
      <c r="DLE186" s="65"/>
      <c r="DLF186" s="65"/>
      <c r="DLG186" s="65"/>
      <c r="DLH186" s="65"/>
      <c r="DLI186" s="65"/>
      <c r="DLJ186" s="65"/>
      <c r="DLK186" s="65"/>
      <c r="DLL186" s="65"/>
      <c r="DLM186" s="65"/>
      <c r="DLN186" s="65"/>
      <c r="DLO186" s="65"/>
      <c r="DLP186" s="65"/>
      <c r="DLQ186" s="65"/>
      <c r="DLR186" s="65"/>
      <c r="DLS186" s="65"/>
      <c r="DLT186" s="65"/>
      <c r="DLU186" s="65"/>
      <c r="DLV186" s="65"/>
      <c r="DLW186" s="65"/>
      <c r="DLX186" s="65"/>
      <c r="DLY186" s="65"/>
      <c r="DLZ186" s="65"/>
      <c r="DMA186" s="65"/>
      <c r="DMB186" s="65"/>
      <c r="DMC186" s="65"/>
      <c r="DMD186" s="65"/>
      <c r="DME186" s="65"/>
      <c r="DMF186" s="65"/>
      <c r="DMG186" s="65"/>
      <c r="DMH186" s="65"/>
      <c r="DMI186" s="65"/>
      <c r="DMJ186" s="65"/>
      <c r="DMK186" s="65"/>
      <c r="DML186" s="65"/>
      <c r="DMM186" s="65"/>
      <c r="DMN186" s="65"/>
      <c r="DMO186" s="65"/>
      <c r="DMP186" s="65"/>
      <c r="DMQ186" s="65"/>
      <c r="DMR186" s="65"/>
      <c r="DMS186" s="65"/>
      <c r="DMT186" s="65"/>
      <c r="DMU186" s="65"/>
      <c r="DMV186" s="65"/>
      <c r="DMW186" s="65"/>
      <c r="DMX186" s="65"/>
      <c r="DMY186" s="65"/>
      <c r="DMZ186" s="65"/>
      <c r="DNA186" s="65"/>
      <c r="DNB186" s="65"/>
      <c r="DNC186" s="65"/>
      <c r="DND186" s="65"/>
      <c r="DNE186" s="65"/>
      <c r="DNF186" s="65"/>
      <c r="DNG186" s="65"/>
      <c r="DNH186" s="65"/>
      <c r="DNI186" s="65"/>
      <c r="DNJ186" s="65"/>
      <c r="DNK186" s="65"/>
      <c r="DNL186" s="65"/>
      <c r="DNM186" s="65"/>
      <c r="DNN186" s="65"/>
      <c r="DNO186" s="65"/>
      <c r="DNP186" s="65"/>
      <c r="DNQ186" s="65"/>
      <c r="DNR186" s="65"/>
      <c r="DNS186" s="65"/>
      <c r="DNT186" s="65"/>
      <c r="DNU186" s="65"/>
      <c r="DNV186" s="65"/>
      <c r="DNW186" s="65"/>
      <c r="DNX186" s="65"/>
      <c r="DNY186" s="65"/>
      <c r="DNZ186" s="65"/>
    </row>
    <row r="187" spans="1:3094" s="77" customFormat="1" x14ac:dyDescent="0.2">
      <c r="A187" s="66">
        <f>A186+1</f>
        <v>180</v>
      </c>
      <c r="B187" s="54">
        <v>57</v>
      </c>
      <c r="C187" s="208" t="s">
        <v>279</v>
      </c>
      <c r="D187" s="55">
        <v>626578.08333333337</v>
      </c>
      <c r="E187" s="209" t="str">
        <f>'Exh CTM-7 (Tariff Rates Y1)'!G177</f>
        <v>per watt</v>
      </c>
      <c r="F187" s="208" t="s">
        <v>56</v>
      </c>
      <c r="G187" s="209">
        <v>1</v>
      </c>
      <c r="H187" s="210" t="s">
        <v>61</v>
      </c>
      <c r="J187" s="212"/>
      <c r="K187" s="211"/>
      <c r="L187" s="209">
        <v>5488824.0099999998</v>
      </c>
      <c r="M187" s="213">
        <f>IF(F187="Company", 'Exh CTM-7 (Unitized Costs)'!$D$18*H187/K187, 0)</f>
        <v>0</v>
      </c>
      <c r="N187" s="11">
        <f>(IFERROR(('Exh CTM-7 (Unitized Costs)'!D59+'Exh CTM-7 (Unitized Costs)'!D43),0))</f>
        <v>6.8884944148430313E-2</v>
      </c>
      <c r="O187" s="214">
        <f>SUM(M187:N187)</f>
        <v>6.8884944148430313E-2</v>
      </c>
      <c r="P187" s="215"/>
      <c r="Q187" s="215"/>
      <c r="R187" s="214"/>
      <c r="S187" s="214">
        <v>7.7331939437523728E-2</v>
      </c>
      <c r="T187" s="214">
        <f>S187*K187</f>
        <v>0</v>
      </c>
      <c r="U187" s="153">
        <f>($U$192*(V187/$V$192))</f>
        <v>270373.39087686088</v>
      </c>
      <c r="V187" s="153">
        <f>O187*L187</f>
        <v>378097.33536941331</v>
      </c>
      <c r="W187" s="153">
        <f>S187*L187</f>
        <v>424461.40592454612</v>
      </c>
      <c r="X187" s="65"/>
      <c r="Y187" s="65"/>
      <c r="Z187" s="65"/>
      <c r="AA187" s="65"/>
      <c r="AB187" s="65"/>
      <c r="AC187" s="65"/>
      <c r="AD187" s="65"/>
      <c r="AE187" s="65"/>
      <c r="AF187" s="65"/>
      <c r="AG187" s="65"/>
      <c r="AH187" s="65"/>
      <c r="AI187" s="65"/>
      <c r="AJ187" s="65"/>
      <c r="AK187" s="65"/>
      <c r="AL187" s="65"/>
      <c r="AM187" s="65"/>
      <c r="AN187" s="65"/>
      <c r="AO187" s="65"/>
      <c r="AP187" s="65"/>
      <c r="AQ187" s="65"/>
      <c r="AR187" s="65"/>
      <c r="AS187" s="65"/>
      <c r="AT187" s="65"/>
      <c r="AU187" s="65"/>
      <c r="AV187" s="65"/>
      <c r="AW187" s="65"/>
      <c r="AX187" s="65"/>
      <c r="AY187" s="65"/>
      <c r="AZ187" s="65"/>
      <c r="BA187" s="65"/>
      <c r="BB187" s="65"/>
      <c r="BC187" s="65"/>
      <c r="BD187" s="65"/>
      <c r="BE187" s="65"/>
      <c r="BF187" s="65"/>
      <c r="BG187" s="65"/>
      <c r="BH187" s="65"/>
      <c r="BI187" s="65"/>
      <c r="BJ187" s="65"/>
      <c r="BK187" s="65"/>
      <c r="BL187" s="65"/>
      <c r="BM187" s="65"/>
      <c r="BN187" s="65"/>
      <c r="BO187" s="65"/>
      <c r="BP187" s="65"/>
      <c r="BQ187" s="65"/>
      <c r="BR187" s="65"/>
      <c r="BS187" s="65"/>
      <c r="BT187" s="65"/>
      <c r="BU187" s="65"/>
      <c r="BV187" s="65"/>
      <c r="BW187" s="65"/>
      <c r="BX187" s="65"/>
      <c r="BY187" s="65"/>
      <c r="BZ187" s="65"/>
      <c r="CA187" s="65"/>
      <c r="CB187" s="65"/>
      <c r="CC187" s="65"/>
      <c r="CD187" s="65"/>
      <c r="CE187" s="65"/>
      <c r="CF187" s="65"/>
      <c r="CG187" s="65"/>
      <c r="CH187" s="65"/>
      <c r="CI187" s="65"/>
      <c r="CJ187" s="65"/>
      <c r="CK187" s="65"/>
      <c r="CL187" s="65"/>
      <c r="CM187" s="65"/>
      <c r="CN187" s="65"/>
      <c r="CO187" s="65"/>
      <c r="CP187" s="65"/>
      <c r="CQ187" s="65"/>
      <c r="CR187" s="65"/>
      <c r="CS187" s="65"/>
      <c r="CT187" s="65"/>
      <c r="CU187" s="65"/>
      <c r="CV187" s="65"/>
      <c r="CW187" s="65"/>
      <c r="CX187" s="65"/>
      <c r="CY187" s="65"/>
      <c r="CZ187" s="65"/>
      <c r="DA187" s="65"/>
      <c r="DB187" s="65"/>
      <c r="DC187" s="65"/>
      <c r="DD187" s="65"/>
      <c r="DE187" s="65"/>
      <c r="DF187" s="65"/>
      <c r="DG187" s="65"/>
      <c r="DH187" s="65"/>
      <c r="DI187" s="65"/>
      <c r="DJ187" s="65"/>
      <c r="DK187" s="65"/>
      <c r="DL187" s="65"/>
      <c r="DM187" s="65"/>
      <c r="DN187" s="65"/>
      <c r="DO187" s="65"/>
      <c r="DP187" s="65"/>
      <c r="DQ187" s="65"/>
      <c r="DR187" s="65"/>
      <c r="DS187" s="65"/>
      <c r="DT187" s="65"/>
      <c r="DU187" s="65"/>
      <c r="DV187" s="65"/>
      <c r="DW187" s="65"/>
      <c r="DX187" s="65"/>
      <c r="DY187" s="65"/>
      <c r="DZ187" s="65"/>
      <c r="EA187" s="65"/>
      <c r="EB187" s="65"/>
      <c r="EC187" s="65"/>
      <c r="ED187" s="65"/>
      <c r="EE187" s="65"/>
      <c r="EF187" s="65"/>
      <c r="EG187" s="65"/>
      <c r="EH187" s="65"/>
      <c r="EI187" s="65"/>
      <c r="EJ187" s="65"/>
      <c r="EK187" s="65"/>
      <c r="EL187" s="65"/>
      <c r="EM187" s="65"/>
      <c r="EN187" s="65"/>
      <c r="EO187" s="65"/>
      <c r="EP187" s="65"/>
      <c r="EQ187" s="65"/>
      <c r="ER187" s="65"/>
      <c r="ES187" s="65"/>
      <c r="ET187" s="65"/>
      <c r="EU187" s="65"/>
      <c r="EV187" s="65"/>
      <c r="EW187" s="65"/>
      <c r="EX187" s="65"/>
      <c r="EY187" s="65"/>
      <c r="EZ187" s="65"/>
      <c r="FA187" s="65"/>
      <c r="FB187" s="65"/>
      <c r="FC187" s="65"/>
      <c r="FD187" s="65"/>
      <c r="FE187" s="65"/>
      <c r="FF187" s="65"/>
      <c r="FG187" s="65"/>
      <c r="FH187" s="65"/>
      <c r="FI187" s="65"/>
      <c r="FJ187" s="65"/>
      <c r="FK187" s="65"/>
      <c r="FL187" s="65"/>
      <c r="FM187" s="65"/>
      <c r="FN187" s="65"/>
      <c r="FO187" s="65"/>
      <c r="FP187" s="65"/>
      <c r="FQ187" s="65"/>
      <c r="FR187" s="65"/>
      <c r="FS187" s="65"/>
      <c r="FT187" s="65"/>
      <c r="FU187" s="65"/>
      <c r="FV187" s="65"/>
      <c r="FW187" s="65"/>
      <c r="FX187" s="65"/>
      <c r="FY187" s="65"/>
      <c r="FZ187" s="65"/>
      <c r="GA187" s="65"/>
      <c r="GB187" s="65"/>
      <c r="GC187" s="65"/>
      <c r="GD187" s="65"/>
      <c r="GE187" s="65"/>
      <c r="GF187" s="65"/>
      <c r="GG187" s="65"/>
      <c r="GH187" s="65"/>
      <c r="GI187" s="65"/>
      <c r="GJ187" s="65"/>
      <c r="GK187" s="65"/>
      <c r="GL187" s="65"/>
      <c r="GM187" s="65"/>
      <c r="GN187" s="65"/>
      <c r="GO187" s="65"/>
      <c r="GP187" s="65"/>
      <c r="GQ187" s="65"/>
      <c r="GR187" s="65"/>
      <c r="GS187" s="65"/>
      <c r="GT187" s="65"/>
      <c r="GU187" s="65"/>
      <c r="GV187" s="65"/>
      <c r="GW187" s="65"/>
      <c r="GX187" s="65"/>
      <c r="GY187" s="65"/>
      <c r="GZ187" s="65"/>
      <c r="HA187" s="65"/>
      <c r="HB187" s="65"/>
      <c r="HC187" s="65"/>
      <c r="HD187" s="65"/>
      <c r="HE187" s="65"/>
      <c r="HF187" s="65"/>
      <c r="HG187" s="65"/>
      <c r="HH187" s="65"/>
      <c r="HI187" s="65"/>
      <c r="HJ187" s="65"/>
      <c r="HK187" s="65"/>
      <c r="HL187" s="65"/>
      <c r="HM187" s="65"/>
      <c r="HN187" s="65"/>
      <c r="HO187" s="65"/>
      <c r="HP187" s="65"/>
      <c r="HQ187" s="65"/>
      <c r="HR187" s="65"/>
      <c r="HS187" s="65"/>
      <c r="HT187" s="65"/>
      <c r="HU187" s="65"/>
      <c r="HV187" s="65"/>
      <c r="HW187" s="65"/>
      <c r="HX187" s="65"/>
      <c r="HY187" s="65"/>
      <c r="HZ187" s="65"/>
      <c r="IA187" s="65"/>
      <c r="IB187" s="65"/>
      <c r="IC187" s="65"/>
      <c r="ID187" s="65"/>
      <c r="IE187" s="65"/>
      <c r="IF187" s="65"/>
      <c r="IG187" s="65"/>
      <c r="IH187" s="65"/>
      <c r="II187" s="65"/>
      <c r="IJ187" s="65"/>
      <c r="IK187" s="65"/>
      <c r="IL187" s="65"/>
      <c r="IM187" s="65"/>
      <c r="IN187" s="65"/>
      <c r="IO187" s="65"/>
      <c r="IP187" s="65"/>
      <c r="IQ187" s="65"/>
      <c r="IR187" s="65"/>
      <c r="IS187" s="65"/>
      <c r="IT187" s="65"/>
      <c r="IU187" s="65"/>
      <c r="IV187" s="65"/>
      <c r="IW187" s="65"/>
      <c r="IX187" s="65"/>
      <c r="IY187" s="65"/>
      <c r="IZ187" s="65"/>
      <c r="JA187" s="65"/>
      <c r="JB187" s="65"/>
      <c r="JC187" s="65"/>
      <c r="JD187" s="65"/>
      <c r="JE187" s="65"/>
      <c r="JF187" s="65"/>
      <c r="JG187" s="65"/>
      <c r="JH187" s="65"/>
      <c r="JI187" s="65"/>
      <c r="JJ187" s="65"/>
      <c r="JK187" s="65"/>
      <c r="JL187" s="65"/>
      <c r="JM187" s="65"/>
      <c r="JN187" s="65"/>
      <c r="JO187" s="65"/>
      <c r="JP187" s="65"/>
      <c r="JQ187" s="65"/>
      <c r="JR187" s="65"/>
      <c r="JS187" s="65"/>
      <c r="JT187" s="65"/>
      <c r="JU187" s="65"/>
      <c r="JV187" s="65"/>
      <c r="JW187" s="65"/>
      <c r="JX187" s="65"/>
      <c r="JY187" s="65"/>
      <c r="JZ187" s="65"/>
      <c r="KA187" s="65"/>
      <c r="KB187" s="65"/>
      <c r="KC187" s="65"/>
      <c r="KD187" s="65"/>
      <c r="KE187" s="65"/>
      <c r="KF187" s="65"/>
      <c r="KG187" s="65"/>
      <c r="KH187" s="65"/>
      <c r="KI187" s="65"/>
      <c r="KJ187" s="65"/>
      <c r="KK187" s="65"/>
      <c r="KL187" s="65"/>
      <c r="KM187" s="65"/>
      <c r="KN187" s="65"/>
      <c r="KO187" s="65"/>
      <c r="KP187" s="65"/>
      <c r="KQ187" s="65"/>
      <c r="KR187" s="65"/>
      <c r="KS187" s="65"/>
      <c r="KT187" s="65"/>
      <c r="KU187" s="65"/>
      <c r="KV187" s="65"/>
      <c r="KW187" s="65"/>
      <c r="KX187" s="65"/>
      <c r="KY187" s="65"/>
      <c r="KZ187" s="65"/>
      <c r="LA187" s="65"/>
      <c r="LB187" s="65"/>
      <c r="LC187" s="65"/>
      <c r="LD187" s="65"/>
      <c r="LE187" s="65"/>
      <c r="LF187" s="65"/>
      <c r="LG187" s="65"/>
      <c r="LH187" s="65"/>
      <c r="LI187" s="65"/>
      <c r="LJ187" s="65"/>
      <c r="LK187" s="65"/>
      <c r="LL187" s="65"/>
      <c r="LM187" s="65"/>
      <c r="LN187" s="65"/>
      <c r="LO187" s="65"/>
      <c r="LP187" s="65"/>
      <c r="LQ187" s="65"/>
      <c r="LR187" s="65"/>
      <c r="LS187" s="65"/>
      <c r="LT187" s="65"/>
      <c r="LU187" s="65"/>
      <c r="LV187" s="65"/>
      <c r="LW187" s="65"/>
      <c r="LX187" s="65"/>
      <c r="LY187" s="65"/>
      <c r="LZ187" s="65"/>
      <c r="MA187" s="65"/>
      <c r="MB187" s="65"/>
      <c r="MC187" s="65"/>
      <c r="MD187" s="65"/>
      <c r="ME187" s="65"/>
      <c r="MF187" s="65"/>
      <c r="MG187" s="65"/>
      <c r="MH187" s="65"/>
      <c r="MI187" s="65"/>
      <c r="MJ187" s="65"/>
      <c r="MK187" s="65"/>
      <c r="ML187" s="65"/>
      <c r="MM187" s="65"/>
      <c r="MN187" s="65"/>
      <c r="MO187" s="65"/>
      <c r="MP187" s="65"/>
      <c r="MQ187" s="65"/>
      <c r="MR187" s="65"/>
      <c r="MS187" s="65"/>
      <c r="MT187" s="65"/>
      <c r="MU187" s="65"/>
      <c r="MV187" s="65"/>
      <c r="MW187" s="65"/>
      <c r="MX187" s="65"/>
      <c r="MY187" s="65"/>
      <c r="MZ187" s="65"/>
      <c r="NA187" s="65"/>
      <c r="NB187" s="65"/>
      <c r="NC187" s="65"/>
      <c r="ND187" s="65"/>
      <c r="NE187" s="65"/>
      <c r="NF187" s="65"/>
      <c r="NG187" s="65"/>
      <c r="NH187" s="65"/>
      <c r="NI187" s="65"/>
      <c r="NJ187" s="65"/>
      <c r="NK187" s="65"/>
      <c r="NL187" s="65"/>
      <c r="NM187" s="65"/>
      <c r="NN187" s="65"/>
      <c r="NO187" s="65"/>
      <c r="NP187" s="65"/>
      <c r="NQ187" s="65"/>
      <c r="NR187" s="65"/>
      <c r="NS187" s="65"/>
      <c r="NT187" s="65"/>
      <c r="NU187" s="65"/>
      <c r="NV187" s="65"/>
      <c r="NW187" s="65"/>
      <c r="NX187" s="65"/>
      <c r="NY187" s="65"/>
      <c r="NZ187" s="65"/>
      <c r="OA187" s="65"/>
      <c r="OB187" s="65"/>
      <c r="OC187" s="65"/>
      <c r="OD187" s="65"/>
      <c r="OE187" s="65"/>
      <c r="OF187" s="65"/>
      <c r="OG187" s="65"/>
      <c r="OH187" s="65"/>
      <c r="OI187" s="65"/>
      <c r="OJ187" s="65"/>
      <c r="OK187" s="65"/>
      <c r="OL187" s="65"/>
      <c r="OM187" s="65"/>
      <c r="ON187" s="65"/>
      <c r="OO187" s="65"/>
      <c r="OP187" s="65"/>
      <c r="OQ187" s="65"/>
      <c r="OR187" s="65"/>
      <c r="OS187" s="65"/>
      <c r="OT187" s="65"/>
      <c r="OU187" s="65"/>
      <c r="OV187" s="65"/>
      <c r="OW187" s="65"/>
      <c r="OX187" s="65"/>
      <c r="OY187" s="65"/>
      <c r="OZ187" s="65"/>
      <c r="PA187" s="65"/>
      <c r="PB187" s="65"/>
      <c r="PC187" s="65"/>
      <c r="PD187" s="65"/>
      <c r="PE187" s="65"/>
      <c r="PF187" s="65"/>
      <c r="PG187" s="65"/>
      <c r="PH187" s="65"/>
      <c r="PI187" s="65"/>
      <c r="PJ187" s="65"/>
      <c r="PK187" s="65"/>
      <c r="PL187" s="65"/>
      <c r="PM187" s="65"/>
      <c r="PN187" s="65"/>
      <c r="PO187" s="65"/>
      <c r="PP187" s="65"/>
      <c r="PQ187" s="65"/>
      <c r="PR187" s="65"/>
      <c r="PS187" s="65"/>
      <c r="PT187" s="65"/>
      <c r="PU187" s="65"/>
      <c r="PV187" s="65"/>
      <c r="PW187" s="65"/>
      <c r="PX187" s="65"/>
      <c r="PY187" s="65"/>
      <c r="PZ187" s="65"/>
      <c r="QA187" s="65"/>
      <c r="QB187" s="65"/>
      <c r="QC187" s="65"/>
      <c r="QD187" s="65"/>
      <c r="QE187" s="65"/>
      <c r="QF187" s="65"/>
      <c r="QG187" s="65"/>
      <c r="QH187" s="65"/>
      <c r="QI187" s="65"/>
      <c r="QJ187" s="65"/>
      <c r="QK187" s="65"/>
      <c r="QL187" s="65"/>
      <c r="QM187" s="65"/>
      <c r="QN187" s="65"/>
      <c r="QO187" s="65"/>
      <c r="QP187" s="65"/>
      <c r="QQ187" s="65"/>
      <c r="QR187" s="65"/>
      <c r="QS187" s="65"/>
      <c r="QT187" s="65"/>
      <c r="QU187" s="65"/>
      <c r="QV187" s="65"/>
      <c r="QW187" s="65"/>
      <c r="QX187" s="65"/>
      <c r="QY187" s="65"/>
      <c r="QZ187" s="65"/>
      <c r="RA187" s="65"/>
      <c r="RB187" s="65"/>
      <c r="RC187" s="65"/>
      <c r="RD187" s="65"/>
      <c r="RE187" s="65"/>
      <c r="RF187" s="65"/>
      <c r="RG187" s="65"/>
      <c r="RH187" s="65"/>
      <c r="RI187" s="65"/>
      <c r="RJ187" s="65"/>
      <c r="RK187" s="65"/>
      <c r="RL187" s="65"/>
      <c r="RM187" s="65"/>
      <c r="RN187" s="65"/>
      <c r="RO187" s="65"/>
      <c r="RP187" s="65"/>
      <c r="RQ187" s="65"/>
      <c r="RR187" s="65"/>
      <c r="RS187" s="65"/>
      <c r="RT187" s="65"/>
      <c r="RU187" s="65"/>
      <c r="RV187" s="65"/>
      <c r="RW187" s="65"/>
      <c r="RX187" s="65"/>
      <c r="RY187" s="65"/>
      <c r="RZ187" s="65"/>
      <c r="SA187" s="65"/>
      <c r="SB187" s="65"/>
      <c r="SC187" s="65"/>
      <c r="SD187" s="65"/>
      <c r="SE187" s="65"/>
      <c r="SF187" s="65"/>
      <c r="SG187" s="65"/>
      <c r="SH187" s="65"/>
      <c r="SI187" s="65"/>
      <c r="SJ187" s="65"/>
      <c r="SK187" s="65"/>
      <c r="SL187" s="65"/>
      <c r="SM187" s="65"/>
      <c r="SN187" s="65"/>
      <c r="SO187" s="65"/>
      <c r="SP187" s="65"/>
      <c r="SQ187" s="65"/>
      <c r="SR187" s="65"/>
      <c r="SS187" s="65"/>
      <c r="ST187" s="65"/>
      <c r="SU187" s="65"/>
      <c r="SV187" s="65"/>
      <c r="SW187" s="65"/>
      <c r="SX187" s="65"/>
      <c r="SY187" s="65"/>
      <c r="SZ187" s="65"/>
      <c r="TA187" s="65"/>
      <c r="TB187" s="65"/>
      <c r="TC187" s="65"/>
      <c r="TD187" s="65"/>
      <c r="TE187" s="65"/>
      <c r="TF187" s="65"/>
      <c r="TG187" s="65"/>
      <c r="TH187" s="65"/>
      <c r="TI187" s="65"/>
      <c r="TJ187" s="65"/>
      <c r="TK187" s="65"/>
      <c r="TL187" s="65"/>
      <c r="TM187" s="65"/>
      <c r="TN187" s="65"/>
      <c r="TO187" s="65"/>
      <c r="TP187" s="65"/>
      <c r="TQ187" s="65"/>
      <c r="TR187" s="65"/>
      <c r="TS187" s="65"/>
      <c r="TT187" s="65"/>
      <c r="TU187" s="65"/>
      <c r="TV187" s="65"/>
      <c r="TW187" s="65"/>
      <c r="TX187" s="65"/>
      <c r="TY187" s="65"/>
      <c r="TZ187" s="65"/>
      <c r="UA187" s="65"/>
      <c r="UB187" s="65"/>
      <c r="UC187" s="65"/>
      <c r="UD187" s="65"/>
      <c r="UE187" s="65"/>
      <c r="UF187" s="65"/>
      <c r="UG187" s="65"/>
      <c r="UH187" s="65"/>
      <c r="UI187" s="65"/>
      <c r="UJ187" s="65"/>
      <c r="UK187" s="65"/>
      <c r="UL187" s="65"/>
      <c r="UM187" s="65"/>
      <c r="UN187" s="65"/>
      <c r="UO187" s="65"/>
      <c r="UP187" s="65"/>
      <c r="UQ187" s="65"/>
      <c r="UR187" s="65"/>
      <c r="US187" s="65"/>
      <c r="UT187" s="65"/>
      <c r="UU187" s="65"/>
      <c r="UV187" s="65"/>
      <c r="UW187" s="65"/>
      <c r="UX187" s="65"/>
      <c r="UY187" s="65"/>
      <c r="UZ187" s="65"/>
      <c r="VA187" s="65"/>
      <c r="VB187" s="65"/>
      <c r="VC187" s="65"/>
      <c r="VD187" s="65"/>
      <c r="VE187" s="65"/>
      <c r="VF187" s="65"/>
      <c r="VG187" s="65"/>
      <c r="VH187" s="65"/>
      <c r="VI187" s="65"/>
      <c r="VJ187" s="65"/>
      <c r="VK187" s="65"/>
      <c r="VL187" s="65"/>
      <c r="VM187" s="65"/>
      <c r="VN187" s="65"/>
      <c r="VO187" s="65"/>
      <c r="VP187" s="65"/>
      <c r="VQ187" s="65"/>
      <c r="VR187" s="65"/>
      <c r="VS187" s="65"/>
      <c r="VT187" s="65"/>
      <c r="VU187" s="65"/>
      <c r="VV187" s="65"/>
      <c r="VW187" s="65"/>
      <c r="VX187" s="65"/>
      <c r="VY187" s="65"/>
      <c r="VZ187" s="65"/>
      <c r="WA187" s="65"/>
      <c r="WB187" s="65"/>
      <c r="WC187" s="65"/>
      <c r="WD187" s="65"/>
      <c r="WE187" s="65"/>
      <c r="WF187" s="65"/>
      <c r="WG187" s="65"/>
      <c r="WH187" s="65"/>
      <c r="WI187" s="65"/>
      <c r="WJ187" s="65"/>
      <c r="WK187" s="65"/>
      <c r="WL187" s="65"/>
      <c r="WM187" s="65"/>
      <c r="WN187" s="65"/>
      <c r="WO187" s="65"/>
      <c r="WP187" s="65"/>
      <c r="WQ187" s="65"/>
      <c r="WR187" s="65"/>
      <c r="WS187" s="65"/>
      <c r="WT187" s="65"/>
      <c r="WU187" s="65"/>
      <c r="WV187" s="65"/>
      <c r="WW187" s="65"/>
      <c r="WX187" s="65"/>
      <c r="WY187" s="65"/>
      <c r="WZ187" s="65"/>
      <c r="XA187" s="65"/>
      <c r="XB187" s="65"/>
      <c r="XC187" s="65"/>
      <c r="XD187" s="65"/>
      <c r="XE187" s="65"/>
      <c r="XF187" s="65"/>
      <c r="XG187" s="65"/>
      <c r="XH187" s="65"/>
      <c r="XI187" s="65"/>
      <c r="XJ187" s="65"/>
      <c r="XK187" s="65"/>
      <c r="XL187" s="65"/>
      <c r="XM187" s="65"/>
      <c r="XN187" s="65"/>
      <c r="XO187" s="65"/>
      <c r="XP187" s="65"/>
      <c r="XQ187" s="65"/>
      <c r="XR187" s="65"/>
      <c r="XS187" s="65"/>
      <c r="XT187" s="65"/>
      <c r="XU187" s="65"/>
      <c r="XV187" s="65"/>
      <c r="XW187" s="65"/>
      <c r="XX187" s="65"/>
      <c r="XY187" s="65"/>
      <c r="XZ187" s="65"/>
      <c r="YA187" s="65"/>
      <c r="YB187" s="65"/>
      <c r="YC187" s="65"/>
      <c r="YD187" s="65"/>
      <c r="YE187" s="65"/>
      <c r="YF187" s="65"/>
      <c r="YG187" s="65"/>
      <c r="YH187" s="65"/>
      <c r="YI187" s="65"/>
      <c r="YJ187" s="65"/>
      <c r="YK187" s="65"/>
      <c r="YL187" s="65"/>
      <c r="YM187" s="65"/>
      <c r="YN187" s="65"/>
      <c r="YO187" s="65"/>
      <c r="YP187" s="65"/>
      <c r="YQ187" s="65"/>
      <c r="YR187" s="65"/>
      <c r="YS187" s="65"/>
      <c r="YT187" s="65"/>
      <c r="YU187" s="65"/>
      <c r="YV187" s="65"/>
      <c r="YW187" s="65"/>
      <c r="YX187" s="65"/>
      <c r="YY187" s="65"/>
      <c r="YZ187" s="65"/>
      <c r="ZA187" s="65"/>
      <c r="ZB187" s="65"/>
      <c r="ZC187" s="65"/>
      <c r="ZD187" s="65"/>
      <c r="ZE187" s="65"/>
      <c r="ZF187" s="65"/>
      <c r="ZG187" s="65"/>
      <c r="ZH187" s="65"/>
      <c r="ZI187" s="65"/>
      <c r="ZJ187" s="65"/>
      <c r="ZK187" s="65"/>
      <c r="ZL187" s="65"/>
      <c r="ZM187" s="65"/>
      <c r="ZN187" s="65"/>
      <c r="ZO187" s="65"/>
      <c r="ZP187" s="65"/>
      <c r="ZQ187" s="65"/>
      <c r="ZR187" s="65"/>
      <c r="ZS187" s="65"/>
      <c r="ZT187" s="65"/>
      <c r="ZU187" s="65"/>
      <c r="ZV187" s="65"/>
      <c r="ZW187" s="65"/>
      <c r="ZX187" s="65"/>
      <c r="ZY187" s="65"/>
      <c r="ZZ187" s="65"/>
      <c r="AAA187" s="65"/>
      <c r="AAB187" s="65"/>
      <c r="AAC187" s="65"/>
      <c r="AAD187" s="65"/>
      <c r="AAE187" s="65"/>
      <c r="AAF187" s="65"/>
      <c r="AAG187" s="65"/>
      <c r="AAH187" s="65"/>
      <c r="AAI187" s="65"/>
      <c r="AAJ187" s="65"/>
      <c r="AAK187" s="65"/>
      <c r="AAL187" s="65"/>
      <c r="AAM187" s="65"/>
      <c r="AAN187" s="65"/>
      <c r="AAO187" s="65"/>
      <c r="AAP187" s="65"/>
      <c r="AAQ187" s="65"/>
      <c r="AAR187" s="65"/>
      <c r="AAS187" s="65"/>
      <c r="AAT187" s="65"/>
      <c r="AAU187" s="65"/>
      <c r="AAV187" s="65"/>
      <c r="AAW187" s="65"/>
      <c r="AAX187" s="65"/>
      <c r="AAY187" s="65"/>
      <c r="AAZ187" s="65"/>
      <c r="ABA187" s="65"/>
      <c r="ABB187" s="65"/>
      <c r="ABC187" s="65"/>
      <c r="ABD187" s="65"/>
      <c r="ABE187" s="65"/>
      <c r="ABF187" s="65"/>
      <c r="ABG187" s="65"/>
      <c r="ABH187" s="65"/>
      <c r="ABI187" s="65"/>
      <c r="ABJ187" s="65"/>
      <c r="ABK187" s="65"/>
      <c r="ABL187" s="65"/>
      <c r="ABM187" s="65"/>
      <c r="ABN187" s="65"/>
      <c r="ABO187" s="65"/>
      <c r="ABP187" s="65"/>
      <c r="ABQ187" s="65"/>
      <c r="ABR187" s="65"/>
      <c r="ABS187" s="65"/>
      <c r="ABT187" s="65"/>
      <c r="ABU187" s="65"/>
      <c r="ABV187" s="65"/>
      <c r="ABW187" s="65"/>
      <c r="ABX187" s="65"/>
      <c r="ABY187" s="65"/>
      <c r="ABZ187" s="65"/>
      <c r="ACA187" s="65"/>
      <c r="ACB187" s="65"/>
      <c r="ACC187" s="65"/>
      <c r="ACD187" s="65"/>
      <c r="ACE187" s="65"/>
      <c r="ACF187" s="65"/>
      <c r="ACG187" s="65"/>
      <c r="ACH187" s="65"/>
      <c r="ACI187" s="65"/>
      <c r="ACJ187" s="65"/>
      <c r="ACK187" s="65"/>
      <c r="ACL187" s="65"/>
      <c r="ACM187" s="65"/>
      <c r="ACN187" s="65"/>
      <c r="ACO187" s="65"/>
      <c r="ACP187" s="65"/>
      <c r="ACQ187" s="65"/>
      <c r="ACR187" s="65"/>
      <c r="ACS187" s="65"/>
      <c r="ACT187" s="65"/>
      <c r="ACU187" s="65"/>
      <c r="ACV187" s="65"/>
      <c r="ACW187" s="65"/>
      <c r="ACX187" s="65"/>
      <c r="ACY187" s="65"/>
      <c r="ACZ187" s="65"/>
      <c r="ADA187" s="65"/>
      <c r="ADB187" s="65"/>
      <c r="ADC187" s="65"/>
      <c r="ADD187" s="65"/>
      <c r="ADE187" s="65"/>
      <c r="ADF187" s="65"/>
      <c r="ADG187" s="65"/>
      <c r="ADH187" s="65"/>
      <c r="ADI187" s="65"/>
      <c r="ADJ187" s="65"/>
      <c r="ADK187" s="65"/>
      <c r="ADL187" s="65"/>
      <c r="ADM187" s="65"/>
      <c r="ADN187" s="65"/>
      <c r="ADO187" s="65"/>
      <c r="ADP187" s="65"/>
      <c r="ADQ187" s="65"/>
      <c r="ADR187" s="65"/>
      <c r="ADS187" s="65"/>
      <c r="ADT187" s="65"/>
      <c r="ADU187" s="65"/>
      <c r="ADV187" s="65"/>
      <c r="ADW187" s="65"/>
      <c r="ADX187" s="65"/>
      <c r="ADY187" s="65"/>
      <c r="ADZ187" s="65"/>
      <c r="AEA187" s="65"/>
      <c r="AEB187" s="65"/>
      <c r="AEC187" s="65"/>
      <c r="AED187" s="65"/>
      <c r="AEE187" s="65"/>
      <c r="AEF187" s="65"/>
      <c r="AEG187" s="65"/>
      <c r="AEH187" s="65"/>
      <c r="AEI187" s="65"/>
      <c r="AEJ187" s="65"/>
      <c r="AEK187" s="65"/>
      <c r="AEL187" s="65"/>
      <c r="AEM187" s="65"/>
      <c r="AEN187" s="65"/>
      <c r="AEO187" s="65"/>
      <c r="AEP187" s="65"/>
      <c r="AEQ187" s="65"/>
      <c r="AER187" s="65"/>
      <c r="AES187" s="65"/>
      <c r="AET187" s="65"/>
      <c r="AEU187" s="65"/>
      <c r="AEV187" s="65"/>
      <c r="AEW187" s="65"/>
      <c r="AEX187" s="65"/>
      <c r="AEY187" s="65"/>
      <c r="AEZ187" s="65"/>
      <c r="AFA187" s="65"/>
      <c r="AFB187" s="65"/>
      <c r="AFC187" s="65"/>
      <c r="AFD187" s="65"/>
      <c r="AFE187" s="65"/>
      <c r="AFF187" s="65"/>
      <c r="AFG187" s="65"/>
      <c r="AFH187" s="65"/>
      <c r="AFI187" s="65"/>
      <c r="AFJ187" s="65"/>
      <c r="AFK187" s="65"/>
      <c r="AFL187" s="65"/>
      <c r="AFM187" s="65"/>
      <c r="AFN187" s="65"/>
      <c r="AFO187" s="65"/>
      <c r="AFP187" s="65"/>
      <c r="AFQ187" s="65"/>
      <c r="AFR187" s="65"/>
      <c r="AFS187" s="65"/>
      <c r="AFT187" s="65"/>
      <c r="AFU187" s="65"/>
      <c r="AFV187" s="65"/>
      <c r="AFW187" s="65"/>
      <c r="AFX187" s="65"/>
      <c r="AFY187" s="65"/>
      <c r="AFZ187" s="65"/>
      <c r="AGA187" s="65"/>
      <c r="AGB187" s="65"/>
      <c r="AGC187" s="65"/>
      <c r="AGD187" s="65"/>
      <c r="AGE187" s="65"/>
      <c r="AGF187" s="65"/>
      <c r="AGG187" s="65"/>
      <c r="AGH187" s="65"/>
      <c r="AGI187" s="65"/>
      <c r="AGJ187" s="65"/>
      <c r="AGK187" s="65"/>
      <c r="AGL187" s="65"/>
      <c r="AGM187" s="65"/>
      <c r="AGN187" s="65"/>
      <c r="AGO187" s="65"/>
      <c r="AGP187" s="65"/>
      <c r="AGQ187" s="65"/>
      <c r="AGR187" s="65"/>
      <c r="AGS187" s="65"/>
      <c r="AGT187" s="65"/>
      <c r="AGU187" s="65"/>
      <c r="AGV187" s="65"/>
      <c r="AGW187" s="65"/>
      <c r="AGX187" s="65"/>
      <c r="AGY187" s="65"/>
      <c r="AGZ187" s="65"/>
      <c r="AHA187" s="65"/>
      <c r="AHB187" s="65"/>
      <c r="AHC187" s="65"/>
      <c r="AHD187" s="65"/>
      <c r="AHE187" s="65"/>
      <c r="AHF187" s="65"/>
      <c r="AHG187" s="65"/>
      <c r="AHH187" s="65"/>
      <c r="AHI187" s="65"/>
      <c r="AHJ187" s="65"/>
      <c r="AHK187" s="65"/>
      <c r="AHL187" s="65"/>
      <c r="AHM187" s="65"/>
      <c r="AHN187" s="65"/>
      <c r="AHO187" s="65"/>
      <c r="AHP187" s="65"/>
      <c r="AHQ187" s="65"/>
      <c r="AHR187" s="65"/>
      <c r="AHS187" s="65"/>
      <c r="AHT187" s="65"/>
      <c r="AHU187" s="65"/>
      <c r="AHV187" s="65"/>
      <c r="AHW187" s="65"/>
      <c r="AHX187" s="65"/>
      <c r="AHY187" s="65"/>
      <c r="AHZ187" s="65"/>
      <c r="AIA187" s="65"/>
      <c r="AIB187" s="65"/>
      <c r="AIC187" s="65"/>
      <c r="AID187" s="65"/>
      <c r="AIE187" s="65"/>
      <c r="AIF187" s="65"/>
      <c r="AIG187" s="65"/>
      <c r="AIH187" s="65"/>
      <c r="AII187" s="65"/>
      <c r="AIJ187" s="65"/>
      <c r="AIK187" s="65"/>
      <c r="AIL187" s="65"/>
      <c r="AIM187" s="65"/>
      <c r="AIN187" s="65"/>
      <c r="AIO187" s="65"/>
      <c r="AIP187" s="65"/>
      <c r="AIQ187" s="65"/>
      <c r="AIR187" s="65"/>
      <c r="AIS187" s="65"/>
      <c r="AIT187" s="65"/>
      <c r="AIU187" s="65"/>
      <c r="AIV187" s="65"/>
      <c r="AIW187" s="65"/>
      <c r="AIX187" s="65"/>
      <c r="AIY187" s="65"/>
      <c r="AIZ187" s="65"/>
      <c r="AJA187" s="65"/>
      <c r="AJB187" s="65"/>
      <c r="AJC187" s="65"/>
      <c r="AJD187" s="65"/>
      <c r="AJE187" s="65"/>
      <c r="AJF187" s="65"/>
      <c r="AJG187" s="65"/>
      <c r="AJH187" s="65"/>
      <c r="AJI187" s="65"/>
      <c r="AJJ187" s="65"/>
      <c r="AJK187" s="65"/>
      <c r="AJL187" s="65"/>
      <c r="AJM187" s="65"/>
      <c r="AJN187" s="65"/>
      <c r="AJO187" s="65"/>
      <c r="AJP187" s="65"/>
      <c r="AJQ187" s="65"/>
      <c r="AJR187" s="65"/>
      <c r="AJS187" s="65"/>
      <c r="AJT187" s="65"/>
      <c r="AJU187" s="65"/>
      <c r="AJV187" s="65"/>
      <c r="AJW187" s="65"/>
      <c r="AJX187" s="65"/>
      <c r="AJY187" s="65"/>
      <c r="AJZ187" s="65"/>
      <c r="AKA187" s="65"/>
      <c r="AKB187" s="65"/>
      <c r="AKC187" s="65"/>
      <c r="AKD187" s="65"/>
      <c r="AKE187" s="65"/>
      <c r="AKF187" s="65"/>
      <c r="AKG187" s="65"/>
      <c r="AKH187" s="65"/>
      <c r="AKI187" s="65"/>
      <c r="AKJ187" s="65"/>
      <c r="AKK187" s="65"/>
      <c r="AKL187" s="65"/>
      <c r="AKM187" s="65"/>
      <c r="AKN187" s="65"/>
      <c r="AKO187" s="65"/>
      <c r="AKP187" s="65"/>
      <c r="AKQ187" s="65"/>
      <c r="AKR187" s="65"/>
      <c r="AKS187" s="65"/>
      <c r="AKT187" s="65"/>
      <c r="AKU187" s="65"/>
      <c r="AKV187" s="65"/>
      <c r="AKW187" s="65"/>
      <c r="AKX187" s="65"/>
      <c r="AKY187" s="65"/>
      <c r="AKZ187" s="65"/>
      <c r="ALA187" s="65"/>
      <c r="ALB187" s="65"/>
      <c r="ALC187" s="65"/>
      <c r="ALD187" s="65"/>
      <c r="ALE187" s="65"/>
      <c r="ALF187" s="65"/>
      <c r="ALG187" s="65"/>
      <c r="ALH187" s="65"/>
      <c r="ALI187" s="65"/>
      <c r="ALJ187" s="65"/>
      <c r="ALK187" s="65"/>
      <c r="ALL187" s="65"/>
      <c r="ALM187" s="65"/>
      <c r="ALN187" s="65"/>
      <c r="ALO187" s="65"/>
      <c r="ALP187" s="65"/>
      <c r="ALQ187" s="65"/>
      <c r="ALR187" s="65"/>
      <c r="ALS187" s="65"/>
      <c r="ALT187" s="65"/>
      <c r="ALU187" s="65"/>
      <c r="ALV187" s="65"/>
      <c r="ALW187" s="65"/>
      <c r="ALX187" s="65"/>
      <c r="ALY187" s="65"/>
      <c r="ALZ187" s="65"/>
      <c r="AMA187" s="65"/>
      <c r="AMB187" s="65"/>
      <c r="AMC187" s="65"/>
      <c r="AMD187" s="65"/>
      <c r="AME187" s="65"/>
      <c r="AMF187" s="65"/>
      <c r="AMG187" s="65"/>
      <c r="AMH187" s="65"/>
      <c r="AMI187" s="65"/>
      <c r="AMJ187" s="65"/>
      <c r="AMK187" s="65"/>
      <c r="AML187" s="65"/>
      <c r="AMM187" s="65"/>
      <c r="AMN187" s="65"/>
      <c r="AMO187" s="65"/>
      <c r="AMP187" s="65"/>
      <c r="AMQ187" s="65"/>
      <c r="AMR187" s="65"/>
      <c r="AMS187" s="65"/>
      <c r="AMT187" s="65"/>
      <c r="AMU187" s="65"/>
      <c r="AMV187" s="65"/>
      <c r="AMW187" s="65"/>
      <c r="AMX187" s="65"/>
      <c r="AMY187" s="65"/>
      <c r="AMZ187" s="65"/>
      <c r="ANA187" s="65"/>
      <c r="ANB187" s="65"/>
      <c r="ANC187" s="65"/>
      <c r="AND187" s="65"/>
      <c r="ANE187" s="65"/>
      <c r="ANF187" s="65"/>
      <c r="ANG187" s="65"/>
      <c r="ANH187" s="65"/>
      <c r="ANI187" s="65"/>
      <c r="ANJ187" s="65"/>
      <c r="ANK187" s="65"/>
      <c r="ANL187" s="65"/>
      <c r="ANM187" s="65"/>
      <c r="ANN187" s="65"/>
      <c r="ANO187" s="65"/>
      <c r="ANP187" s="65"/>
      <c r="ANQ187" s="65"/>
      <c r="ANR187" s="65"/>
      <c r="ANS187" s="65"/>
      <c r="ANT187" s="65"/>
      <c r="ANU187" s="65"/>
      <c r="ANV187" s="65"/>
      <c r="ANW187" s="65"/>
      <c r="ANX187" s="65"/>
      <c r="ANY187" s="65"/>
      <c r="ANZ187" s="65"/>
      <c r="AOA187" s="65"/>
      <c r="AOB187" s="65"/>
      <c r="AOC187" s="65"/>
      <c r="AOD187" s="65"/>
      <c r="AOE187" s="65"/>
      <c r="AOF187" s="65"/>
      <c r="AOG187" s="65"/>
      <c r="AOH187" s="65"/>
      <c r="AOI187" s="65"/>
      <c r="AOJ187" s="65"/>
      <c r="AOK187" s="65"/>
      <c r="AOL187" s="65"/>
      <c r="AOM187" s="65"/>
      <c r="AON187" s="65"/>
      <c r="AOO187" s="65"/>
      <c r="AOP187" s="65"/>
      <c r="AOQ187" s="65"/>
      <c r="AOR187" s="65"/>
      <c r="AOS187" s="65"/>
      <c r="AOT187" s="65"/>
      <c r="AOU187" s="65"/>
      <c r="AOV187" s="65"/>
      <c r="AOW187" s="65"/>
      <c r="AOX187" s="65"/>
      <c r="AOY187" s="65"/>
      <c r="AOZ187" s="65"/>
      <c r="APA187" s="65"/>
      <c r="APB187" s="65"/>
      <c r="APC187" s="65"/>
      <c r="APD187" s="65"/>
      <c r="APE187" s="65"/>
      <c r="APF187" s="65"/>
      <c r="APG187" s="65"/>
      <c r="APH187" s="65"/>
      <c r="API187" s="65"/>
      <c r="APJ187" s="65"/>
      <c r="APK187" s="65"/>
      <c r="APL187" s="65"/>
      <c r="APM187" s="65"/>
      <c r="APN187" s="65"/>
      <c r="APO187" s="65"/>
      <c r="APP187" s="65"/>
      <c r="APQ187" s="65"/>
      <c r="APR187" s="65"/>
      <c r="APS187" s="65"/>
      <c r="APT187" s="65"/>
      <c r="APU187" s="65"/>
      <c r="APV187" s="65"/>
      <c r="APW187" s="65"/>
      <c r="APX187" s="65"/>
      <c r="APY187" s="65"/>
      <c r="APZ187" s="65"/>
      <c r="AQA187" s="65"/>
      <c r="AQB187" s="65"/>
      <c r="AQC187" s="65"/>
      <c r="AQD187" s="65"/>
      <c r="AQE187" s="65"/>
      <c r="AQF187" s="65"/>
      <c r="AQG187" s="65"/>
      <c r="AQH187" s="65"/>
      <c r="AQI187" s="65"/>
      <c r="AQJ187" s="65"/>
      <c r="AQK187" s="65"/>
      <c r="AQL187" s="65"/>
      <c r="AQM187" s="65"/>
      <c r="AQN187" s="65"/>
      <c r="AQO187" s="65"/>
      <c r="AQP187" s="65"/>
      <c r="AQQ187" s="65"/>
      <c r="AQR187" s="65"/>
      <c r="AQS187" s="65"/>
      <c r="AQT187" s="65"/>
      <c r="AQU187" s="65"/>
      <c r="AQV187" s="65"/>
      <c r="AQW187" s="65"/>
      <c r="AQX187" s="65"/>
      <c r="AQY187" s="65"/>
      <c r="AQZ187" s="65"/>
      <c r="ARA187" s="65"/>
      <c r="ARB187" s="65"/>
      <c r="ARC187" s="65"/>
      <c r="ARD187" s="65"/>
      <c r="ARE187" s="65"/>
      <c r="ARF187" s="65"/>
      <c r="ARG187" s="65"/>
      <c r="ARH187" s="65"/>
      <c r="ARI187" s="65"/>
      <c r="ARJ187" s="65"/>
      <c r="ARK187" s="65"/>
      <c r="ARL187" s="65"/>
      <c r="ARM187" s="65"/>
      <c r="ARN187" s="65"/>
      <c r="ARO187" s="65"/>
      <c r="ARP187" s="65"/>
      <c r="ARQ187" s="65"/>
      <c r="ARR187" s="65"/>
      <c r="ARS187" s="65"/>
      <c r="ART187" s="65"/>
      <c r="ARU187" s="65"/>
      <c r="ARV187" s="65"/>
      <c r="ARW187" s="65"/>
      <c r="ARX187" s="65"/>
      <c r="ARY187" s="65"/>
      <c r="ARZ187" s="65"/>
      <c r="ASA187" s="65"/>
      <c r="ASB187" s="65"/>
      <c r="ASC187" s="65"/>
      <c r="ASD187" s="65"/>
      <c r="ASE187" s="65"/>
      <c r="ASF187" s="65"/>
      <c r="ASG187" s="65"/>
      <c r="ASH187" s="65"/>
      <c r="ASI187" s="65"/>
      <c r="ASJ187" s="65"/>
      <c r="ASK187" s="65"/>
      <c r="ASL187" s="65"/>
      <c r="ASM187" s="65"/>
      <c r="ASN187" s="65"/>
      <c r="ASO187" s="65"/>
      <c r="ASP187" s="65"/>
      <c r="ASQ187" s="65"/>
      <c r="ASR187" s="65"/>
      <c r="ASS187" s="65"/>
      <c r="AST187" s="65"/>
      <c r="ASU187" s="65"/>
      <c r="ASV187" s="65"/>
      <c r="ASW187" s="65"/>
      <c r="ASX187" s="65"/>
      <c r="ASY187" s="65"/>
      <c r="ASZ187" s="65"/>
      <c r="ATA187" s="65"/>
      <c r="ATB187" s="65"/>
      <c r="ATC187" s="65"/>
      <c r="ATD187" s="65"/>
      <c r="ATE187" s="65"/>
      <c r="ATF187" s="65"/>
      <c r="ATG187" s="65"/>
      <c r="ATH187" s="65"/>
      <c r="ATI187" s="65"/>
      <c r="ATJ187" s="65"/>
      <c r="ATK187" s="65"/>
      <c r="ATL187" s="65"/>
      <c r="ATM187" s="65"/>
      <c r="ATN187" s="65"/>
      <c r="ATO187" s="65"/>
      <c r="ATP187" s="65"/>
      <c r="ATQ187" s="65"/>
      <c r="ATR187" s="65"/>
      <c r="ATS187" s="65"/>
      <c r="ATT187" s="65"/>
      <c r="ATU187" s="65"/>
      <c r="ATV187" s="65"/>
      <c r="ATW187" s="65"/>
      <c r="ATX187" s="65"/>
      <c r="ATY187" s="65"/>
      <c r="ATZ187" s="65"/>
      <c r="AUA187" s="65"/>
      <c r="AUB187" s="65"/>
      <c r="AUC187" s="65"/>
      <c r="AUD187" s="65"/>
      <c r="AUE187" s="65"/>
      <c r="AUF187" s="65"/>
      <c r="AUG187" s="65"/>
      <c r="AUH187" s="65"/>
      <c r="AUI187" s="65"/>
      <c r="AUJ187" s="65"/>
      <c r="AUK187" s="65"/>
      <c r="AUL187" s="65"/>
      <c r="AUM187" s="65"/>
      <c r="AUN187" s="65"/>
      <c r="AUO187" s="65"/>
      <c r="AUP187" s="65"/>
      <c r="AUQ187" s="65"/>
      <c r="AUR187" s="65"/>
      <c r="AUS187" s="65"/>
      <c r="AUT187" s="65"/>
      <c r="AUU187" s="65"/>
      <c r="AUV187" s="65"/>
      <c r="AUW187" s="65"/>
      <c r="AUX187" s="65"/>
      <c r="AUY187" s="65"/>
      <c r="AUZ187" s="65"/>
      <c r="AVA187" s="65"/>
      <c r="AVB187" s="65"/>
      <c r="AVC187" s="65"/>
      <c r="AVD187" s="65"/>
      <c r="AVE187" s="65"/>
      <c r="AVF187" s="65"/>
      <c r="AVG187" s="65"/>
      <c r="AVH187" s="65"/>
      <c r="AVI187" s="65"/>
      <c r="AVJ187" s="65"/>
      <c r="AVK187" s="65"/>
      <c r="AVL187" s="65"/>
      <c r="AVM187" s="65"/>
      <c r="AVN187" s="65"/>
      <c r="AVO187" s="65"/>
      <c r="AVP187" s="65"/>
      <c r="AVQ187" s="65"/>
      <c r="AVR187" s="65"/>
      <c r="AVS187" s="65"/>
      <c r="AVT187" s="65"/>
      <c r="AVU187" s="65"/>
      <c r="AVV187" s="65"/>
      <c r="AVW187" s="65"/>
      <c r="AVX187" s="65"/>
      <c r="AVY187" s="65"/>
      <c r="AVZ187" s="65"/>
      <c r="AWA187" s="65"/>
      <c r="AWB187" s="65"/>
      <c r="AWC187" s="65"/>
      <c r="AWD187" s="65"/>
      <c r="AWE187" s="65"/>
      <c r="AWF187" s="65"/>
      <c r="AWG187" s="65"/>
      <c r="AWH187" s="65"/>
      <c r="AWI187" s="65"/>
      <c r="AWJ187" s="65"/>
      <c r="AWK187" s="65"/>
      <c r="AWL187" s="65"/>
      <c r="AWM187" s="65"/>
      <c r="AWN187" s="65"/>
      <c r="AWO187" s="65"/>
      <c r="AWP187" s="65"/>
      <c r="AWQ187" s="65"/>
      <c r="AWR187" s="65"/>
      <c r="AWS187" s="65"/>
      <c r="AWT187" s="65"/>
      <c r="AWU187" s="65"/>
      <c r="AWV187" s="65"/>
      <c r="AWW187" s="65"/>
      <c r="AWX187" s="65"/>
      <c r="AWY187" s="65"/>
      <c r="AWZ187" s="65"/>
      <c r="AXA187" s="65"/>
      <c r="AXB187" s="65"/>
      <c r="AXC187" s="65"/>
      <c r="AXD187" s="65"/>
      <c r="AXE187" s="65"/>
      <c r="AXF187" s="65"/>
      <c r="AXG187" s="65"/>
      <c r="AXH187" s="65"/>
      <c r="AXI187" s="65"/>
      <c r="AXJ187" s="65"/>
      <c r="AXK187" s="65"/>
      <c r="AXL187" s="65"/>
      <c r="AXM187" s="65"/>
      <c r="AXN187" s="65"/>
      <c r="AXO187" s="65"/>
      <c r="AXP187" s="65"/>
      <c r="AXQ187" s="65"/>
      <c r="AXR187" s="65"/>
      <c r="AXS187" s="65"/>
      <c r="AXT187" s="65"/>
      <c r="AXU187" s="65"/>
      <c r="AXV187" s="65"/>
      <c r="AXW187" s="65"/>
      <c r="AXX187" s="65"/>
      <c r="AXY187" s="65"/>
      <c r="AXZ187" s="65"/>
      <c r="AYA187" s="65"/>
      <c r="AYB187" s="65"/>
      <c r="AYC187" s="65"/>
      <c r="AYD187" s="65"/>
      <c r="AYE187" s="65"/>
      <c r="AYF187" s="65"/>
      <c r="AYG187" s="65"/>
      <c r="AYH187" s="65"/>
      <c r="AYI187" s="65"/>
      <c r="AYJ187" s="65"/>
      <c r="AYK187" s="65"/>
      <c r="AYL187" s="65"/>
      <c r="AYM187" s="65"/>
      <c r="AYN187" s="65"/>
      <c r="AYO187" s="65"/>
      <c r="AYP187" s="65"/>
      <c r="AYQ187" s="65"/>
      <c r="AYR187" s="65"/>
      <c r="AYS187" s="65"/>
      <c r="AYT187" s="65"/>
      <c r="AYU187" s="65"/>
      <c r="AYV187" s="65"/>
      <c r="AYW187" s="65"/>
      <c r="AYX187" s="65"/>
      <c r="AYY187" s="65"/>
      <c r="AYZ187" s="65"/>
      <c r="AZA187" s="65"/>
      <c r="AZB187" s="65"/>
      <c r="AZC187" s="65"/>
      <c r="AZD187" s="65"/>
      <c r="AZE187" s="65"/>
      <c r="AZF187" s="65"/>
      <c r="AZG187" s="65"/>
      <c r="AZH187" s="65"/>
      <c r="AZI187" s="65"/>
      <c r="AZJ187" s="65"/>
      <c r="AZK187" s="65"/>
      <c r="AZL187" s="65"/>
      <c r="AZM187" s="65"/>
      <c r="AZN187" s="65"/>
      <c r="AZO187" s="65"/>
      <c r="AZP187" s="65"/>
      <c r="AZQ187" s="65"/>
      <c r="AZR187" s="65"/>
      <c r="AZS187" s="65"/>
      <c r="AZT187" s="65"/>
      <c r="AZU187" s="65"/>
      <c r="AZV187" s="65"/>
      <c r="AZW187" s="65"/>
      <c r="AZX187" s="65"/>
      <c r="AZY187" s="65"/>
      <c r="AZZ187" s="65"/>
      <c r="BAA187" s="65"/>
      <c r="BAB187" s="65"/>
      <c r="BAC187" s="65"/>
      <c r="BAD187" s="65"/>
      <c r="BAE187" s="65"/>
      <c r="BAF187" s="65"/>
      <c r="BAG187" s="65"/>
      <c r="BAH187" s="65"/>
      <c r="BAI187" s="65"/>
      <c r="BAJ187" s="65"/>
      <c r="BAK187" s="65"/>
      <c r="BAL187" s="65"/>
      <c r="BAM187" s="65"/>
      <c r="BAN187" s="65"/>
      <c r="BAO187" s="65"/>
      <c r="BAP187" s="65"/>
      <c r="BAQ187" s="65"/>
      <c r="BAR187" s="65"/>
      <c r="BAS187" s="65"/>
      <c r="BAT187" s="65"/>
      <c r="BAU187" s="65"/>
      <c r="BAV187" s="65"/>
      <c r="BAW187" s="65"/>
      <c r="BAX187" s="65"/>
      <c r="BAY187" s="65"/>
      <c r="BAZ187" s="65"/>
      <c r="BBA187" s="65"/>
      <c r="BBB187" s="65"/>
      <c r="BBC187" s="65"/>
      <c r="BBD187" s="65"/>
      <c r="BBE187" s="65"/>
      <c r="BBF187" s="65"/>
      <c r="BBG187" s="65"/>
      <c r="BBH187" s="65"/>
      <c r="BBI187" s="65"/>
      <c r="BBJ187" s="65"/>
      <c r="BBK187" s="65"/>
      <c r="BBL187" s="65"/>
      <c r="BBM187" s="65"/>
      <c r="BBN187" s="65"/>
      <c r="BBO187" s="65"/>
      <c r="BBP187" s="65"/>
      <c r="BBQ187" s="65"/>
      <c r="BBR187" s="65"/>
      <c r="BBS187" s="65"/>
      <c r="BBT187" s="65"/>
      <c r="BBU187" s="65"/>
      <c r="BBV187" s="65"/>
      <c r="BBW187" s="65"/>
      <c r="BBX187" s="65"/>
      <c r="BBY187" s="65"/>
      <c r="BBZ187" s="65"/>
      <c r="BCA187" s="65"/>
      <c r="BCB187" s="65"/>
      <c r="BCC187" s="65"/>
      <c r="BCD187" s="65"/>
      <c r="BCE187" s="65"/>
      <c r="BCF187" s="65"/>
      <c r="BCG187" s="65"/>
      <c r="BCH187" s="65"/>
      <c r="BCI187" s="65"/>
      <c r="BCJ187" s="65"/>
      <c r="BCK187" s="65"/>
      <c r="BCL187" s="65"/>
      <c r="BCM187" s="65"/>
      <c r="BCN187" s="65"/>
      <c r="BCO187" s="65"/>
      <c r="BCP187" s="65"/>
      <c r="BCQ187" s="65"/>
      <c r="BCR187" s="65"/>
      <c r="BCS187" s="65"/>
      <c r="BCT187" s="65"/>
      <c r="BCU187" s="65"/>
      <c r="BCV187" s="65"/>
      <c r="BCW187" s="65"/>
      <c r="BCX187" s="65"/>
      <c r="BCY187" s="65"/>
      <c r="BCZ187" s="65"/>
      <c r="BDA187" s="65"/>
      <c r="BDB187" s="65"/>
      <c r="BDC187" s="65"/>
      <c r="BDD187" s="65"/>
      <c r="BDE187" s="65"/>
      <c r="BDF187" s="65"/>
      <c r="BDG187" s="65"/>
      <c r="BDH187" s="65"/>
      <c r="BDI187" s="65"/>
      <c r="BDJ187" s="65"/>
      <c r="BDK187" s="65"/>
      <c r="BDL187" s="65"/>
      <c r="BDM187" s="65"/>
      <c r="BDN187" s="65"/>
      <c r="BDO187" s="65"/>
      <c r="BDP187" s="65"/>
      <c r="BDQ187" s="65"/>
      <c r="BDR187" s="65"/>
      <c r="BDS187" s="65"/>
      <c r="BDT187" s="65"/>
      <c r="BDU187" s="65"/>
      <c r="BDV187" s="65"/>
      <c r="BDW187" s="65"/>
      <c r="BDX187" s="65"/>
      <c r="BDY187" s="65"/>
      <c r="BDZ187" s="65"/>
      <c r="BEA187" s="65"/>
      <c r="BEB187" s="65"/>
      <c r="BEC187" s="65"/>
      <c r="BED187" s="65"/>
      <c r="BEE187" s="65"/>
      <c r="BEF187" s="65"/>
      <c r="BEG187" s="65"/>
      <c r="BEH187" s="65"/>
      <c r="BEI187" s="65"/>
      <c r="BEJ187" s="65"/>
      <c r="BEK187" s="65"/>
      <c r="BEL187" s="65"/>
      <c r="BEM187" s="65"/>
      <c r="BEN187" s="65"/>
      <c r="BEO187" s="65"/>
      <c r="BEP187" s="65"/>
      <c r="BEQ187" s="65"/>
      <c r="BER187" s="65"/>
      <c r="BES187" s="65"/>
      <c r="BET187" s="65"/>
      <c r="BEU187" s="65"/>
      <c r="BEV187" s="65"/>
      <c r="BEW187" s="65"/>
      <c r="BEX187" s="65"/>
      <c r="BEY187" s="65"/>
      <c r="BEZ187" s="65"/>
      <c r="BFA187" s="65"/>
      <c r="BFB187" s="65"/>
      <c r="BFC187" s="65"/>
      <c r="BFD187" s="65"/>
      <c r="BFE187" s="65"/>
      <c r="BFF187" s="65"/>
      <c r="BFG187" s="65"/>
      <c r="BFH187" s="65"/>
      <c r="BFI187" s="65"/>
      <c r="BFJ187" s="65"/>
      <c r="BFK187" s="65"/>
      <c r="BFL187" s="65"/>
      <c r="BFM187" s="65"/>
      <c r="BFN187" s="65"/>
      <c r="BFO187" s="65"/>
      <c r="BFP187" s="65"/>
      <c r="BFQ187" s="65"/>
      <c r="BFR187" s="65"/>
      <c r="BFS187" s="65"/>
      <c r="BFT187" s="65"/>
      <c r="BFU187" s="65"/>
      <c r="BFV187" s="65"/>
      <c r="BFW187" s="65"/>
      <c r="BFX187" s="65"/>
      <c r="BFY187" s="65"/>
      <c r="BFZ187" s="65"/>
      <c r="BGA187" s="65"/>
      <c r="BGB187" s="65"/>
      <c r="BGC187" s="65"/>
      <c r="BGD187" s="65"/>
      <c r="BGE187" s="65"/>
      <c r="BGF187" s="65"/>
      <c r="BGG187" s="65"/>
      <c r="BGH187" s="65"/>
      <c r="BGI187" s="65"/>
      <c r="BGJ187" s="65"/>
      <c r="BGK187" s="65"/>
      <c r="BGL187" s="65"/>
      <c r="BGM187" s="65"/>
      <c r="BGN187" s="65"/>
      <c r="BGO187" s="65"/>
      <c r="BGP187" s="65"/>
      <c r="BGQ187" s="65"/>
      <c r="BGR187" s="65"/>
      <c r="BGS187" s="65"/>
      <c r="BGT187" s="65"/>
      <c r="BGU187" s="65"/>
      <c r="BGV187" s="65"/>
      <c r="BGW187" s="65"/>
      <c r="BGX187" s="65"/>
      <c r="BGY187" s="65"/>
      <c r="BGZ187" s="65"/>
      <c r="BHA187" s="65"/>
      <c r="BHB187" s="65"/>
      <c r="BHC187" s="65"/>
      <c r="BHD187" s="65"/>
      <c r="BHE187" s="65"/>
      <c r="BHF187" s="65"/>
      <c r="BHG187" s="65"/>
      <c r="BHH187" s="65"/>
      <c r="BHI187" s="65"/>
      <c r="BHJ187" s="65"/>
      <c r="BHK187" s="65"/>
      <c r="BHL187" s="65"/>
      <c r="BHM187" s="65"/>
      <c r="BHN187" s="65"/>
      <c r="BHO187" s="65"/>
      <c r="BHP187" s="65"/>
      <c r="BHQ187" s="65"/>
      <c r="BHR187" s="65"/>
      <c r="BHS187" s="65"/>
      <c r="BHT187" s="65"/>
      <c r="BHU187" s="65"/>
      <c r="BHV187" s="65"/>
      <c r="BHW187" s="65"/>
      <c r="BHX187" s="65"/>
      <c r="BHY187" s="65"/>
      <c r="BHZ187" s="65"/>
      <c r="BIA187" s="65"/>
      <c r="BIB187" s="65"/>
      <c r="BIC187" s="65"/>
      <c r="BID187" s="65"/>
      <c r="BIE187" s="65"/>
      <c r="BIF187" s="65"/>
      <c r="BIG187" s="65"/>
      <c r="BIH187" s="65"/>
      <c r="BII187" s="65"/>
      <c r="BIJ187" s="65"/>
      <c r="BIK187" s="65"/>
      <c r="BIL187" s="65"/>
      <c r="BIM187" s="65"/>
      <c r="BIN187" s="65"/>
      <c r="BIO187" s="65"/>
      <c r="BIP187" s="65"/>
      <c r="BIQ187" s="65"/>
      <c r="BIR187" s="65"/>
      <c r="BIS187" s="65"/>
      <c r="BIT187" s="65"/>
      <c r="BIU187" s="65"/>
      <c r="BIV187" s="65"/>
      <c r="BIW187" s="65"/>
      <c r="BIX187" s="65"/>
      <c r="BIY187" s="65"/>
      <c r="BIZ187" s="65"/>
      <c r="BJA187" s="65"/>
      <c r="BJB187" s="65"/>
      <c r="BJC187" s="65"/>
      <c r="BJD187" s="65"/>
      <c r="BJE187" s="65"/>
      <c r="BJF187" s="65"/>
      <c r="BJG187" s="65"/>
      <c r="BJH187" s="65"/>
      <c r="BJI187" s="65"/>
      <c r="BJJ187" s="65"/>
      <c r="BJK187" s="65"/>
      <c r="BJL187" s="65"/>
      <c r="BJM187" s="65"/>
      <c r="BJN187" s="65"/>
      <c r="BJO187" s="65"/>
      <c r="BJP187" s="65"/>
      <c r="BJQ187" s="65"/>
      <c r="BJR187" s="65"/>
      <c r="BJS187" s="65"/>
      <c r="BJT187" s="65"/>
      <c r="BJU187" s="65"/>
      <c r="BJV187" s="65"/>
      <c r="BJW187" s="65"/>
      <c r="BJX187" s="65"/>
      <c r="BJY187" s="65"/>
      <c r="BJZ187" s="65"/>
      <c r="BKA187" s="65"/>
      <c r="BKB187" s="65"/>
      <c r="BKC187" s="65"/>
      <c r="BKD187" s="65"/>
      <c r="BKE187" s="65"/>
      <c r="BKF187" s="65"/>
      <c r="BKG187" s="65"/>
      <c r="BKH187" s="65"/>
      <c r="BKI187" s="65"/>
      <c r="BKJ187" s="65"/>
      <c r="BKK187" s="65"/>
      <c r="BKL187" s="65"/>
      <c r="BKM187" s="65"/>
      <c r="BKN187" s="65"/>
      <c r="BKO187" s="65"/>
      <c r="BKP187" s="65"/>
      <c r="BKQ187" s="65"/>
      <c r="BKR187" s="65"/>
      <c r="BKS187" s="65"/>
      <c r="BKT187" s="65"/>
      <c r="BKU187" s="65"/>
      <c r="BKV187" s="65"/>
      <c r="BKW187" s="65"/>
      <c r="BKX187" s="65"/>
      <c r="BKY187" s="65"/>
      <c r="BKZ187" s="65"/>
      <c r="BLA187" s="65"/>
      <c r="BLB187" s="65"/>
      <c r="BLC187" s="65"/>
      <c r="BLD187" s="65"/>
      <c r="BLE187" s="65"/>
      <c r="BLF187" s="65"/>
      <c r="BLG187" s="65"/>
      <c r="BLH187" s="65"/>
      <c r="BLI187" s="65"/>
      <c r="BLJ187" s="65"/>
      <c r="BLK187" s="65"/>
      <c r="BLL187" s="65"/>
      <c r="BLM187" s="65"/>
      <c r="BLN187" s="65"/>
      <c r="BLO187" s="65"/>
      <c r="BLP187" s="65"/>
      <c r="BLQ187" s="65"/>
      <c r="BLR187" s="65"/>
      <c r="BLS187" s="65"/>
      <c r="BLT187" s="65"/>
      <c r="BLU187" s="65"/>
      <c r="BLV187" s="65"/>
      <c r="BLW187" s="65"/>
      <c r="BLX187" s="65"/>
      <c r="BLY187" s="65"/>
      <c r="BLZ187" s="65"/>
      <c r="BMA187" s="65"/>
      <c r="BMB187" s="65"/>
      <c r="BMC187" s="65"/>
      <c r="BMD187" s="65"/>
      <c r="BME187" s="65"/>
      <c r="BMF187" s="65"/>
      <c r="BMG187" s="65"/>
      <c r="BMH187" s="65"/>
      <c r="BMI187" s="65"/>
      <c r="BMJ187" s="65"/>
      <c r="BMK187" s="65"/>
      <c r="BML187" s="65"/>
      <c r="BMM187" s="65"/>
      <c r="BMN187" s="65"/>
      <c r="BMO187" s="65"/>
      <c r="BMP187" s="65"/>
      <c r="BMQ187" s="65"/>
      <c r="BMR187" s="65"/>
      <c r="BMS187" s="65"/>
      <c r="BMT187" s="65"/>
      <c r="BMU187" s="65"/>
      <c r="BMV187" s="65"/>
      <c r="BMW187" s="65"/>
      <c r="BMX187" s="65"/>
      <c r="BMY187" s="65"/>
      <c r="BMZ187" s="65"/>
      <c r="BNA187" s="65"/>
      <c r="BNB187" s="65"/>
      <c r="BNC187" s="65"/>
      <c r="BND187" s="65"/>
      <c r="BNE187" s="65"/>
      <c r="BNF187" s="65"/>
      <c r="BNG187" s="65"/>
      <c r="BNH187" s="65"/>
      <c r="BNI187" s="65"/>
      <c r="BNJ187" s="65"/>
      <c r="BNK187" s="65"/>
      <c r="BNL187" s="65"/>
      <c r="BNM187" s="65"/>
      <c r="BNN187" s="65"/>
      <c r="BNO187" s="65"/>
      <c r="BNP187" s="65"/>
      <c r="BNQ187" s="65"/>
      <c r="BNR187" s="65"/>
      <c r="BNS187" s="65"/>
      <c r="BNT187" s="65"/>
      <c r="BNU187" s="65"/>
      <c r="BNV187" s="65"/>
      <c r="BNW187" s="65"/>
      <c r="BNX187" s="65"/>
      <c r="BNY187" s="65"/>
      <c r="BNZ187" s="65"/>
      <c r="BOA187" s="65"/>
      <c r="BOB187" s="65"/>
      <c r="BOC187" s="65"/>
      <c r="BOD187" s="65"/>
      <c r="BOE187" s="65"/>
      <c r="BOF187" s="65"/>
      <c r="BOG187" s="65"/>
      <c r="BOH187" s="65"/>
      <c r="BOI187" s="65"/>
      <c r="BOJ187" s="65"/>
      <c r="BOK187" s="65"/>
      <c r="BOL187" s="65"/>
      <c r="BOM187" s="65"/>
      <c r="BON187" s="65"/>
      <c r="BOO187" s="65"/>
      <c r="BOP187" s="65"/>
      <c r="BOQ187" s="65"/>
      <c r="BOR187" s="65"/>
      <c r="BOS187" s="65"/>
      <c r="BOT187" s="65"/>
      <c r="BOU187" s="65"/>
      <c r="BOV187" s="65"/>
      <c r="BOW187" s="65"/>
      <c r="BOX187" s="65"/>
      <c r="BOY187" s="65"/>
      <c r="BOZ187" s="65"/>
      <c r="BPA187" s="65"/>
      <c r="BPB187" s="65"/>
      <c r="BPC187" s="65"/>
      <c r="BPD187" s="65"/>
      <c r="BPE187" s="65"/>
      <c r="BPF187" s="65"/>
      <c r="BPG187" s="65"/>
      <c r="BPH187" s="65"/>
      <c r="BPI187" s="65"/>
      <c r="BPJ187" s="65"/>
      <c r="BPK187" s="65"/>
      <c r="BPL187" s="65"/>
      <c r="BPM187" s="65"/>
      <c r="BPN187" s="65"/>
      <c r="BPO187" s="65"/>
      <c r="BPP187" s="65"/>
      <c r="BPQ187" s="65"/>
      <c r="BPR187" s="65"/>
      <c r="BPS187" s="65"/>
      <c r="BPT187" s="65"/>
      <c r="BPU187" s="65"/>
      <c r="BPV187" s="65"/>
      <c r="BPW187" s="65"/>
      <c r="BPX187" s="65"/>
      <c r="BPY187" s="65"/>
      <c r="BPZ187" s="65"/>
      <c r="BQA187" s="65"/>
      <c r="BQB187" s="65"/>
      <c r="BQC187" s="65"/>
      <c r="BQD187" s="65"/>
      <c r="BQE187" s="65"/>
      <c r="BQF187" s="65"/>
      <c r="BQG187" s="65"/>
      <c r="BQH187" s="65"/>
      <c r="BQI187" s="65"/>
      <c r="BQJ187" s="65"/>
      <c r="BQK187" s="65"/>
      <c r="BQL187" s="65"/>
      <c r="BQM187" s="65"/>
      <c r="BQN187" s="65"/>
      <c r="BQO187" s="65"/>
      <c r="BQP187" s="65"/>
      <c r="BQQ187" s="65"/>
      <c r="BQR187" s="65"/>
      <c r="BQS187" s="65"/>
      <c r="BQT187" s="65"/>
      <c r="BQU187" s="65"/>
      <c r="BQV187" s="65"/>
      <c r="BQW187" s="65"/>
      <c r="BQX187" s="65"/>
      <c r="BQY187" s="65"/>
      <c r="BQZ187" s="65"/>
      <c r="BRA187" s="65"/>
      <c r="BRB187" s="65"/>
      <c r="BRC187" s="65"/>
      <c r="BRD187" s="65"/>
      <c r="BRE187" s="65"/>
      <c r="BRF187" s="65"/>
      <c r="BRG187" s="65"/>
      <c r="BRH187" s="65"/>
      <c r="BRI187" s="65"/>
      <c r="BRJ187" s="65"/>
      <c r="BRK187" s="65"/>
      <c r="BRL187" s="65"/>
      <c r="BRM187" s="65"/>
      <c r="BRN187" s="65"/>
      <c r="BRO187" s="65"/>
      <c r="BRP187" s="65"/>
      <c r="BRQ187" s="65"/>
      <c r="BRR187" s="65"/>
      <c r="BRS187" s="65"/>
      <c r="BRT187" s="65"/>
      <c r="BRU187" s="65"/>
      <c r="BRV187" s="65"/>
      <c r="BRW187" s="65"/>
      <c r="BRX187" s="65"/>
      <c r="BRY187" s="65"/>
      <c r="BRZ187" s="65"/>
      <c r="BSA187" s="65"/>
      <c r="BSB187" s="65"/>
      <c r="BSC187" s="65"/>
      <c r="BSD187" s="65"/>
      <c r="BSE187" s="65"/>
      <c r="BSF187" s="65"/>
      <c r="BSG187" s="65"/>
      <c r="BSH187" s="65"/>
      <c r="BSI187" s="65"/>
      <c r="BSJ187" s="65"/>
      <c r="BSK187" s="65"/>
      <c r="BSL187" s="65"/>
      <c r="BSM187" s="65"/>
      <c r="BSN187" s="65"/>
      <c r="BSO187" s="65"/>
      <c r="BSP187" s="65"/>
      <c r="BSQ187" s="65"/>
      <c r="BSR187" s="65"/>
      <c r="BSS187" s="65"/>
      <c r="BST187" s="65"/>
      <c r="BSU187" s="65"/>
      <c r="BSV187" s="65"/>
      <c r="BSW187" s="65"/>
      <c r="BSX187" s="65"/>
      <c r="BSY187" s="65"/>
      <c r="BSZ187" s="65"/>
      <c r="BTA187" s="65"/>
      <c r="BTB187" s="65"/>
      <c r="BTC187" s="65"/>
      <c r="BTD187" s="65"/>
      <c r="BTE187" s="65"/>
      <c r="BTF187" s="65"/>
      <c r="BTG187" s="65"/>
      <c r="BTH187" s="65"/>
      <c r="BTI187" s="65"/>
      <c r="BTJ187" s="65"/>
      <c r="BTK187" s="65"/>
      <c r="BTL187" s="65"/>
      <c r="BTM187" s="65"/>
      <c r="BTN187" s="65"/>
      <c r="BTO187" s="65"/>
      <c r="BTP187" s="65"/>
      <c r="BTQ187" s="65"/>
      <c r="BTR187" s="65"/>
      <c r="BTS187" s="65"/>
      <c r="BTT187" s="65"/>
      <c r="BTU187" s="65"/>
      <c r="BTV187" s="65"/>
      <c r="BTW187" s="65"/>
      <c r="BTX187" s="65"/>
      <c r="BTY187" s="65"/>
      <c r="BTZ187" s="65"/>
      <c r="BUA187" s="65"/>
      <c r="BUB187" s="65"/>
      <c r="BUC187" s="65"/>
      <c r="BUD187" s="65"/>
      <c r="BUE187" s="65"/>
      <c r="BUF187" s="65"/>
      <c r="BUG187" s="65"/>
      <c r="BUH187" s="65"/>
      <c r="BUI187" s="65"/>
      <c r="BUJ187" s="65"/>
      <c r="BUK187" s="65"/>
      <c r="BUL187" s="65"/>
      <c r="BUM187" s="65"/>
      <c r="BUN187" s="65"/>
      <c r="BUO187" s="65"/>
      <c r="BUP187" s="65"/>
      <c r="BUQ187" s="65"/>
      <c r="BUR187" s="65"/>
      <c r="BUS187" s="65"/>
      <c r="BUT187" s="65"/>
      <c r="BUU187" s="65"/>
      <c r="BUV187" s="65"/>
      <c r="BUW187" s="65"/>
      <c r="BUX187" s="65"/>
      <c r="BUY187" s="65"/>
      <c r="BUZ187" s="65"/>
      <c r="BVA187" s="65"/>
      <c r="BVB187" s="65"/>
      <c r="BVC187" s="65"/>
      <c r="BVD187" s="65"/>
      <c r="BVE187" s="65"/>
      <c r="BVF187" s="65"/>
      <c r="BVG187" s="65"/>
      <c r="BVH187" s="65"/>
      <c r="BVI187" s="65"/>
      <c r="BVJ187" s="65"/>
      <c r="BVK187" s="65"/>
      <c r="BVL187" s="65"/>
      <c r="BVM187" s="65"/>
      <c r="BVN187" s="65"/>
      <c r="BVO187" s="65"/>
      <c r="BVP187" s="65"/>
      <c r="BVQ187" s="65"/>
      <c r="BVR187" s="65"/>
      <c r="BVS187" s="65"/>
      <c r="BVT187" s="65"/>
      <c r="BVU187" s="65"/>
      <c r="BVV187" s="65"/>
      <c r="BVW187" s="65"/>
      <c r="BVX187" s="65"/>
      <c r="BVY187" s="65"/>
      <c r="BVZ187" s="65"/>
      <c r="BWA187" s="65"/>
      <c r="BWB187" s="65"/>
      <c r="BWC187" s="65"/>
      <c r="BWD187" s="65"/>
      <c r="BWE187" s="65"/>
      <c r="BWF187" s="65"/>
      <c r="BWG187" s="65"/>
      <c r="BWH187" s="65"/>
      <c r="BWI187" s="65"/>
      <c r="BWJ187" s="65"/>
      <c r="BWK187" s="65"/>
      <c r="BWL187" s="65"/>
      <c r="BWM187" s="65"/>
      <c r="BWN187" s="65"/>
      <c r="BWO187" s="65"/>
      <c r="BWP187" s="65"/>
      <c r="BWQ187" s="65"/>
      <c r="BWR187" s="65"/>
      <c r="BWS187" s="65"/>
      <c r="BWT187" s="65"/>
      <c r="BWU187" s="65"/>
      <c r="BWV187" s="65"/>
      <c r="BWW187" s="65"/>
      <c r="BWX187" s="65"/>
      <c r="BWY187" s="65"/>
      <c r="BWZ187" s="65"/>
      <c r="BXA187" s="65"/>
      <c r="BXB187" s="65"/>
      <c r="BXC187" s="65"/>
      <c r="BXD187" s="65"/>
      <c r="BXE187" s="65"/>
      <c r="BXF187" s="65"/>
      <c r="BXG187" s="65"/>
      <c r="BXH187" s="65"/>
      <c r="BXI187" s="65"/>
      <c r="BXJ187" s="65"/>
      <c r="BXK187" s="65"/>
      <c r="BXL187" s="65"/>
      <c r="BXM187" s="65"/>
      <c r="BXN187" s="65"/>
      <c r="BXO187" s="65"/>
      <c r="BXP187" s="65"/>
      <c r="BXQ187" s="65"/>
      <c r="BXR187" s="65"/>
      <c r="BXS187" s="65"/>
      <c r="BXT187" s="65"/>
      <c r="BXU187" s="65"/>
      <c r="BXV187" s="65"/>
      <c r="BXW187" s="65"/>
      <c r="BXX187" s="65"/>
      <c r="BXY187" s="65"/>
      <c r="BXZ187" s="65"/>
      <c r="BYA187" s="65"/>
      <c r="BYB187" s="65"/>
      <c r="BYC187" s="65"/>
      <c r="BYD187" s="65"/>
      <c r="BYE187" s="65"/>
      <c r="BYF187" s="65"/>
      <c r="BYG187" s="65"/>
      <c r="BYH187" s="65"/>
      <c r="BYI187" s="65"/>
      <c r="BYJ187" s="65"/>
      <c r="BYK187" s="65"/>
      <c r="BYL187" s="65"/>
      <c r="BYM187" s="65"/>
      <c r="BYN187" s="65"/>
      <c r="BYO187" s="65"/>
      <c r="BYP187" s="65"/>
      <c r="BYQ187" s="65"/>
      <c r="BYR187" s="65"/>
      <c r="BYS187" s="65"/>
      <c r="BYT187" s="65"/>
      <c r="BYU187" s="65"/>
      <c r="BYV187" s="65"/>
      <c r="BYW187" s="65"/>
      <c r="BYX187" s="65"/>
      <c r="BYY187" s="65"/>
      <c r="BYZ187" s="65"/>
      <c r="BZA187" s="65"/>
      <c r="BZB187" s="65"/>
      <c r="BZC187" s="65"/>
      <c r="BZD187" s="65"/>
      <c r="BZE187" s="65"/>
      <c r="BZF187" s="65"/>
      <c r="BZG187" s="65"/>
      <c r="BZH187" s="65"/>
      <c r="BZI187" s="65"/>
      <c r="BZJ187" s="65"/>
      <c r="BZK187" s="65"/>
      <c r="BZL187" s="65"/>
      <c r="BZM187" s="65"/>
      <c r="BZN187" s="65"/>
      <c r="BZO187" s="65"/>
      <c r="BZP187" s="65"/>
      <c r="BZQ187" s="65"/>
      <c r="BZR187" s="65"/>
      <c r="BZS187" s="65"/>
      <c r="BZT187" s="65"/>
      <c r="BZU187" s="65"/>
      <c r="BZV187" s="65"/>
      <c r="BZW187" s="65"/>
      <c r="BZX187" s="65"/>
      <c r="BZY187" s="65"/>
      <c r="BZZ187" s="65"/>
      <c r="CAA187" s="65"/>
      <c r="CAB187" s="65"/>
      <c r="CAC187" s="65"/>
      <c r="CAD187" s="65"/>
      <c r="CAE187" s="65"/>
      <c r="CAF187" s="65"/>
      <c r="CAG187" s="65"/>
      <c r="CAH187" s="65"/>
      <c r="CAI187" s="65"/>
      <c r="CAJ187" s="65"/>
      <c r="CAK187" s="65"/>
      <c r="CAL187" s="65"/>
      <c r="CAM187" s="65"/>
      <c r="CAN187" s="65"/>
      <c r="CAO187" s="65"/>
      <c r="CAP187" s="65"/>
      <c r="CAQ187" s="65"/>
      <c r="CAR187" s="65"/>
      <c r="CAS187" s="65"/>
      <c r="CAT187" s="65"/>
      <c r="CAU187" s="65"/>
      <c r="CAV187" s="65"/>
      <c r="CAW187" s="65"/>
      <c r="CAX187" s="65"/>
      <c r="CAY187" s="65"/>
      <c r="CAZ187" s="65"/>
      <c r="CBA187" s="65"/>
      <c r="CBB187" s="65"/>
      <c r="CBC187" s="65"/>
      <c r="CBD187" s="65"/>
      <c r="CBE187" s="65"/>
      <c r="CBF187" s="65"/>
      <c r="CBG187" s="65"/>
      <c r="CBH187" s="65"/>
      <c r="CBI187" s="65"/>
      <c r="CBJ187" s="65"/>
      <c r="CBK187" s="65"/>
      <c r="CBL187" s="65"/>
      <c r="CBM187" s="65"/>
      <c r="CBN187" s="65"/>
      <c r="CBO187" s="65"/>
      <c r="CBP187" s="65"/>
      <c r="CBQ187" s="65"/>
      <c r="CBR187" s="65"/>
      <c r="CBS187" s="65"/>
      <c r="CBT187" s="65"/>
      <c r="CBU187" s="65"/>
      <c r="CBV187" s="65"/>
      <c r="CBW187" s="65"/>
      <c r="CBX187" s="65"/>
      <c r="CBY187" s="65"/>
      <c r="CBZ187" s="65"/>
      <c r="CCA187" s="65"/>
      <c r="CCB187" s="65"/>
      <c r="CCC187" s="65"/>
      <c r="CCD187" s="65"/>
      <c r="CCE187" s="65"/>
      <c r="CCF187" s="65"/>
      <c r="CCG187" s="65"/>
      <c r="CCH187" s="65"/>
      <c r="CCI187" s="65"/>
      <c r="CCJ187" s="65"/>
      <c r="CCK187" s="65"/>
      <c r="CCL187" s="65"/>
      <c r="CCM187" s="65"/>
      <c r="CCN187" s="65"/>
      <c r="CCO187" s="65"/>
      <c r="CCP187" s="65"/>
      <c r="CCQ187" s="65"/>
      <c r="CCR187" s="65"/>
      <c r="CCS187" s="65"/>
      <c r="CCT187" s="65"/>
      <c r="CCU187" s="65"/>
      <c r="CCV187" s="65"/>
      <c r="CCW187" s="65"/>
      <c r="CCX187" s="65"/>
      <c r="CCY187" s="65"/>
      <c r="CCZ187" s="65"/>
      <c r="CDA187" s="65"/>
      <c r="CDB187" s="65"/>
      <c r="CDC187" s="65"/>
      <c r="CDD187" s="65"/>
      <c r="CDE187" s="65"/>
      <c r="CDF187" s="65"/>
      <c r="CDG187" s="65"/>
      <c r="CDH187" s="65"/>
      <c r="CDI187" s="65"/>
      <c r="CDJ187" s="65"/>
      <c r="CDK187" s="65"/>
      <c r="CDL187" s="65"/>
      <c r="CDM187" s="65"/>
      <c r="CDN187" s="65"/>
      <c r="CDO187" s="65"/>
      <c r="CDP187" s="65"/>
      <c r="CDQ187" s="65"/>
      <c r="CDR187" s="65"/>
      <c r="CDS187" s="65"/>
      <c r="CDT187" s="65"/>
      <c r="CDU187" s="65"/>
      <c r="CDV187" s="65"/>
      <c r="CDW187" s="65"/>
      <c r="CDX187" s="65"/>
      <c r="CDY187" s="65"/>
      <c r="CDZ187" s="65"/>
      <c r="CEA187" s="65"/>
      <c r="CEB187" s="65"/>
      <c r="CEC187" s="65"/>
      <c r="CED187" s="65"/>
      <c r="CEE187" s="65"/>
      <c r="CEF187" s="65"/>
      <c r="CEG187" s="65"/>
      <c r="CEH187" s="65"/>
      <c r="CEI187" s="65"/>
      <c r="CEJ187" s="65"/>
      <c r="CEK187" s="65"/>
      <c r="CEL187" s="65"/>
      <c r="CEM187" s="65"/>
      <c r="CEN187" s="65"/>
      <c r="CEO187" s="65"/>
      <c r="CEP187" s="65"/>
      <c r="CEQ187" s="65"/>
      <c r="CER187" s="65"/>
      <c r="CES187" s="65"/>
      <c r="CET187" s="65"/>
      <c r="CEU187" s="65"/>
      <c r="CEV187" s="65"/>
      <c r="CEW187" s="65"/>
      <c r="CEX187" s="65"/>
      <c r="CEY187" s="65"/>
      <c r="CEZ187" s="65"/>
      <c r="CFA187" s="65"/>
      <c r="CFB187" s="65"/>
      <c r="CFC187" s="65"/>
      <c r="CFD187" s="65"/>
      <c r="CFE187" s="65"/>
      <c r="CFF187" s="65"/>
      <c r="CFG187" s="65"/>
      <c r="CFH187" s="65"/>
      <c r="CFI187" s="65"/>
      <c r="CFJ187" s="65"/>
      <c r="CFK187" s="65"/>
      <c r="CFL187" s="65"/>
      <c r="CFM187" s="65"/>
      <c r="CFN187" s="65"/>
      <c r="CFO187" s="65"/>
      <c r="CFP187" s="65"/>
      <c r="CFQ187" s="65"/>
      <c r="CFR187" s="65"/>
      <c r="CFS187" s="65"/>
      <c r="CFT187" s="65"/>
      <c r="CFU187" s="65"/>
      <c r="CFV187" s="65"/>
      <c r="CFW187" s="65"/>
      <c r="CFX187" s="65"/>
      <c r="CFY187" s="65"/>
      <c r="CFZ187" s="65"/>
      <c r="CGA187" s="65"/>
      <c r="CGB187" s="65"/>
      <c r="CGC187" s="65"/>
      <c r="CGD187" s="65"/>
      <c r="CGE187" s="65"/>
      <c r="CGF187" s="65"/>
      <c r="CGG187" s="65"/>
      <c r="CGH187" s="65"/>
      <c r="CGI187" s="65"/>
      <c r="CGJ187" s="65"/>
      <c r="CGK187" s="65"/>
      <c r="CGL187" s="65"/>
      <c r="CGM187" s="65"/>
      <c r="CGN187" s="65"/>
      <c r="CGO187" s="65"/>
      <c r="CGP187" s="65"/>
      <c r="CGQ187" s="65"/>
      <c r="CGR187" s="65"/>
      <c r="CGS187" s="65"/>
      <c r="CGT187" s="65"/>
      <c r="CGU187" s="65"/>
      <c r="CGV187" s="65"/>
      <c r="CGW187" s="65"/>
      <c r="CGX187" s="65"/>
      <c r="CGY187" s="65"/>
      <c r="CGZ187" s="65"/>
      <c r="CHA187" s="65"/>
      <c r="CHB187" s="65"/>
      <c r="CHC187" s="65"/>
      <c r="CHD187" s="65"/>
      <c r="CHE187" s="65"/>
      <c r="CHF187" s="65"/>
      <c r="CHG187" s="65"/>
      <c r="CHH187" s="65"/>
      <c r="CHI187" s="65"/>
      <c r="CHJ187" s="65"/>
      <c r="CHK187" s="65"/>
      <c r="CHL187" s="65"/>
      <c r="CHM187" s="65"/>
      <c r="CHN187" s="65"/>
      <c r="CHO187" s="65"/>
      <c r="CHP187" s="65"/>
      <c r="CHQ187" s="65"/>
      <c r="CHR187" s="65"/>
      <c r="CHS187" s="65"/>
      <c r="CHT187" s="65"/>
      <c r="CHU187" s="65"/>
      <c r="CHV187" s="65"/>
      <c r="CHW187" s="65"/>
      <c r="CHX187" s="65"/>
      <c r="CHY187" s="65"/>
      <c r="CHZ187" s="65"/>
      <c r="CIA187" s="65"/>
      <c r="CIB187" s="65"/>
      <c r="CIC187" s="65"/>
      <c r="CID187" s="65"/>
      <c r="CIE187" s="65"/>
      <c r="CIF187" s="65"/>
      <c r="CIG187" s="65"/>
      <c r="CIH187" s="65"/>
      <c r="CII187" s="65"/>
      <c r="CIJ187" s="65"/>
      <c r="CIK187" s="65"/>
      <c r="CIL187" s="65"/>
      <c r="CIM187" s="65"/>
      <c r="CIN187" s="65"/>
      <c r="CIO187" s="65"/>
      <c r="CIP187" s="65"/>
      <c r="CIQ187" s="65"/>
      <c r="CIR187" s="65"/>
      <c r="CIS187" s="65"/>
      <c r="CIT187" s="65"/>
      <c r="CIU187" s="65"/>
      <c r="CIV187" s="65"/>
      <c r="CIW187" s="65"/>
      <c r="CIX187" s="65"/>
      <c r="CIY187" s="65"/>
      <c r="CIZ187" s="65"/>
      <c r="CJA187" s="65"/>
      <c r="CJB187" s="65"/>
      <c r="CJC187" s="65"/>
      <c r="CJD187" s="65"/>
      <c r="CJE187" s="65"/>
      <c r="CJF187" s="65"/>
      <c r="CJG187" s="65"/>
      <c r="CJH187" s="65"/>
      <c r="CJI187" s="65"/>
      <c r="CJJ187" s="65"/>
      <c r="CJK187" s="65"/>
      <c r="CJL187" s="65"/>
      <c r="CJM187" s="65"/>
      <c r="CJN187" s="65"/>
      <c r="CJO187" s="65"/>
      <c r="CJP187" s="65"/>
      <c r="CJQ187" s="65"/>
      <c r="CJR187" s="65"/>
      <c r="CJS187" s="65"/>
      <c r="CJT187" s="65"/>
      <c r="CJU187" s="65"/>
      <c r="CJV187" s="65"/>
      <c r="CJW187" s="65"/>
      <c r="CJX187" s="65"/>
      <c r="CJY187" s="65"/>
      <c r="CJZ187" s="65"/>
      <c r="CKA187" s="65"/>
      <c r="CKB187" s="65"/>
      <c r="CKC187" s="65"/>
      <c r="CKD187" s="65"/>
      <c r="CKE187" s="65"/>
      <c r="CKF187" s="65"/>
      <c r="CKG187" s="65"/>
      <c r="CKH187" s="65"/>
      <c r="CKI187" s="65"/>
      <c r="CKJ187" s="65"/>
      <c r="CKK187" s="65"/>
      <c r="CKL187" s="65"/>
      <c r="CKM187" s="65"/>
      <c r="CKN187" s="65"/>
      <c r="CKO187" s="65"/>
      <c r="CKP187" s="65"/>
      <c r="CKQ187" s="65"/>
      <c r="CKR187" s="65"/>
      <c r="CKS187" s="65"/>
      <c r="CKT187" s="65"/>
      <c r="CKU187" s="65"/>
      <c r="CKV187" s="65"/>
      <c r="CKW187" s="65"/>
      <c r="CKX187" s="65"/>
      <c r="CKY187" s="65"/>
      <c r="CKZ187" s="65"/>
      <c r="CLA187" s="65"/>
      <c r="CLB187" s="65"/>
      <c r="CLC187" s="65"/>
      <c r="CLD187" s="65"/>
      <c r="CLE187" s="65"/>
      <c r="CLF187" s="65"/>
      <c r="CLG187" s="65"/>
      <c r="CLH187" s="65"/>
      <c r="CLI187" s="65"/>
      <c r="CLJ187" s="65"/>
      <c r="CLK187" s="65"/>
      <c r="CLL187" s="65"/>
      <c r="CLM187" s="65"/>
      <c r="CLN187" s="65"/>
      <c r="CLO187" s="65"/>
      <c r="CLP187" s="65"/>
      <c r="CLQ187" s="65"/>
      <c r="CLR187" s="65"/>
      <c r="CLS187" s="65"/>
      <c r="CLT187" s="65"/>
      <c r="CLU187" s="65"/>
      <c r="CLV187" s="65"/>
      <c r="CLW187" s="65"/>
      <c r="CLX187" s="65"/>
      <c r="CLY187" s="65"/>
      <c r="CLZ187" s="65"/>
      <c r="CMA187" s="65"/>
      <c r="CMB187" s="65"/>
      <c r="CMC187" s="65"/>
      <c r="CMD187" s="65"/>
      <c r="CME187" s="65"/>
      <c r="CMF187" s="65"/>
      <c r="CMG187" s="65"/>
      <c r="CMH187" s="65"/>
      <c r="CMI187" s="65"/>
      <c r="CMJ187" s="65"/>
      <c r="CMK187" s="65"/>
      <c r="CML187" s="65"/>
      <c r="CMM187" s="65"/>
      <c r="CMN187" s="65"/>
      <c r="CMO187" s="65"/>
      <c r="CMP187" s="65"/>
      <c r="CMQ187" s="65"/>
      <c r="CMR187" s="65"/>
      <c r="CMS187" s="65"/>
      <c r="CMT187" s="65"/>
      <c r="CMU187" s="65"/>
      <c r="CMV187" s="65"/>
      <c r="CMW187" s="65"/>
      <c r="CMX187" s="65"/>
      <c r="CMY187" s="65"/>
      <c r="CMZ187" s="65"/>
      <c r="CNA187" s="65"/>
      <c r="CNB187" s="65"/>
      <c r="CNC187" s="65"/>
      <c r="CND187" s="65"/>
      <c r="CNE187" s="65"/>
      <c r="CNF187" s="65"/>
      <c r="CNG187" s="65"/>
      <c r="CNH187" s="65"/>
      <c r="CNI187" s="65"/>
      <c r="CNJ187" s="65"/>
      <c r="CNK187" s="65"/>
      <c r="CNL187" s="65"/>
      <c r="CNM187" s="65"/>
      <c r="CNN187" s="65"/>
      <c r="CNO187" s="65"/>
      <c r="CNP187" s="65"/>
      <c r="CNQ187" s="65"/>
      <c r="CNR187" s="65"/>
      <c r="CNS187" s="65"/>
      <c r="CNT187" s="65"/>
      <c r="CNU187" s="65"/>
      <c r="CNV187" s="65"/>
      <c r="CNW187" s="65"/>
      <c r="CNX187" s="65"/>
      <c r="CNY187" s="65"/>
      <c r="CNZ187" s="65"/>
      <c r="COA187" s="65"/>
      <c r="COB187" s="65"/>
      <c r="COC187" s="65"/>
      <c r="COD187" s="65"/>
      <c r="COE187" s="65"/>
      <c r="COF187" s="65"/>
      <c r="COG187" s="65"/>
      <c r="COH187" s="65"/>
      <c r="COI187" s="65"/>
      <c r="COJ187" s="65"/>
      <c r="COK187" s="65"/>
      <c r="COL187" s="65"/>
      <c r="COM187" s="65"/>
      <c r="CON187" s="65"/>
      <c r="COO187" s="65"/>
      <c r="COP187" s="65"/>
      <c r="COQ187" s="65"/>
      <c r="COR187" s="65"/>
      <c r="COS187" s="65"/>
      <c r="COT187" s="65"/>
      <c r="COU187" s="65"/>
      <c r="COV187" s="65"/>
      <c r="COW187" s="65"/>
      <c r="COX187" s="65"/>
      <c r="COY187" s="65"/>
      <c r="COZ187" s="65"/>
      <c r="CPA187" s="65"/>
      <c r="CPB187" s="65"/>
      <c r="CPC187" s="65"/>
      <c r="CPD187" s="65"/>
      <c r="CPE187" s="65"/>
      <c r="CPF187" s="65"/>
      <c r="CPG187" s="65"/>
      <c r="CPH187" s="65"/>
      <c r="CPI187" s="65"/>
      <c r="CPJ187" s="65"/>
      <c r="CPK187" s="65"/>
      <c r="CPL187" s="65"/>
      <c r="CPM187" s="65"/>
      <c r="CPN187" s="65"/>
      <c r="CPO187" s="65"/>
      <c r="CPP187" s="65"/>
      <c r="CPQ187" s="65"/>
      <c r="CPR187" s="65"/>
      <c r="CPS187" s="65"/>
      <c r="CPT187" s="65"/>
      <c r="CPU187" s="65"/>
      <c r="CPV187" s="65"/>
      <c r="CPW187" s="65"/>
      <c r="CPX187" s="65"/>
      <c r="CPY187" s="65"/>
      <c r="CPZ187" s="65"/>
      <c r="CQA187" s="65"/>
      <c r="CQB187" s="65"/>
      <c r="CQC187" s="65"/>
      <c r="CQD187" s="65"/>
      <c r="CQE187" s="65"/>
      <c r="CQF187" s="65"/>
      <c r="CQG187" s="65"/>
      <c r="CQH187" s="65"/>
      <c r="CQI187" s="65"/>
      <c r="CQJ187" s="65"/>
      <c r="CQK187" s="65"/>
      <c r="CQL187" s="65"/>
      <c r="CQM187" s="65"/>
      <c r="CQN187" s="65"/>
      <c r="CQO187" s="65"/>
      <c r="CQP187" s="65"/>
      <c r="CQQ187" s="65"/>
      <c r="CQR187" s="65"/>
      <c r="CQS187" s="65"/>
      <c r="CQT187" s="65"/>
      <c r="CQU187" s="65"/>
      <c r="CQV187" s="65"/>
      <c r="CQW187" s="65"/>
      <c r="CQX187" s="65"/>
      <c r="CQY187" s="65"/>
      <c r="CQZ187" s="65"/>
      <c r="CRA187" s="65"/>
      <c r="CRB187" s="65"/>
      <c r="CRC187" s="65"/>
      <c r="CRD187" s="65"/>
      <c r="CRE187" s="65"/>
      <c r="CRF187" s="65"/>
      <c r="CRG187" s="65"/>
      <c r="CRH187" s="65"/>
      <c r="CRI187" s="65"/>
      <c r="CRJ187" s="65"/>
      <c r="CRK187" s="65"/>
      <c r="CRL187" s="65"/>
      <c r="CRM187" s="65"/>
      <c r="CRN187" s="65"/>
      <c r="CRO187" s="65"/>
      <c r="CRP187" s="65"/>
      <c r="CRQ187" s="65"/>
      <c r="CRR187" s="65"/>
      <c r="CRS187" s="65"/>
      <c r="CRT187" s="65"/>
      <c r="CRU187" s="65"/>
      <c r="CRV187" s="65"/>
      <c r="CRW187" s="65"/>
      <c r="CRX187" s="65"/>
      <c r="CRY187" s="65"/>
      <c r="CRZ187" s="65"/>
      <c r="CSA187" s="65"/>
      <c r="CSB187" s="65"/>
      <c r="CSC187" s="65"/>
      <c r="CSD187" s="65"/>
      <c r="CSE187" s="65"/>
      <c r="CSF187" s="65"/>
      <c r="CSG187" s="65"/>
      <c r="CSH187" s="65"/>
      <c r="CSI187" s="65"/>
      <c r="CSJ187" s="65"/>
      <c r="CSK187" s="65"/>
      <c r="CSL187" s="65"/>
      <c r="CSM187" s="65"/>
      <c r="CSN187" s="65"/>
      <c r="CSO187" s="65"/>
      <c r="CSP187" s="65"/>
      <c r="CSQ187" s="65"/>
      <c r="CSR187" s="65"/>
      <c r="CSS187" s="65"/>
      <c r="CST187" s="65"/>
      <c r="CSU187" s="65"/>
      <c r="CSV187" s="65"/>
      <c r="CSW187" s="65"/>
      <c r="CSX187" s="65"/>
      <c r="CSY187" s="65"/>
      <c r="CSZ187" s="65"/>
      <c r="CTA187" s="65"/>
      <c r="CTB187" s="65"/>
      <c r="CTC187" s="65"/>
      <c r="CTD187" s="65"/>
      <c r="CTE187" s="65"/>
      <c r="CTF187" s="65"/>
      <c r="CTG187" s="65"/>
      <c r="CTH187" s="65"/>
      <c r="CTI187" s="65"/>
      <c r="CTJ187" s="65"/>
      <c r="CTK187" s="65"/>
      <c r="CTL187" s="65"/>
      <c r="CTM187" s="65"/>
      <c r="CTN187" s="65"/>
      <c r="CTO187" s="65"/>
      <c r="CTP187" s="65"/>
      <c r="CTQ187" s="65"/>
      <c r="CTR187" s="65"/>
      <c r="CTS187" s="65"/>
      <c r="CTT187" s="65"/>
      <c r="CTU187" s="65"/>
      <c r="CTV187" s="65"/>
      <c r="CTW187" s="65"/>
      <c r="CTX187" s="65"/>
      <c r="CTY187" s="65"/>
      <c r="CTZ187" s="65"/>
      <c r="CUA187" s="65"/>
      <c r="CUB187" s="65"/>
      <c r="CUC187" s="65"/>
      <c r="CUD187" s="65"/>
      <c r="CUE187" s="65"/>
      <c r="CUF187" s="65"/>
      <c r="CUG187" s="65"/>
      <c r="CUH187" s="65"/>
      <c r="CUI187" s="65"/>
      <c r="CUJ187" s="65"/>
      <c r="CUK187" s="65"/>
      <c r="CUL187" s="65"/>
      <c r="CUM187" s="65"/>
      <c r="CUN187" s="65"/>
      <c r="CUO187" s="65"/>
      <c r="CUP187" s="65"/>
      <c r="CUQ187" s="65"/>
      <c r="CUR187" s="65"/>
      <c r="CUS187" s="65"/>
      <c r="CUT187" s="65"/>
      <c r="CUU187" s="65"/>
      <c r="CUV187" s="65"/>
      <c r="CUW187" s="65"/>
      <c r="CUX187" s="65"/>
      <c r="CUY187" s="65"/>
      <c r="CUZ187" s="65"/>
      <c r="CVA187" s="65"/>
      <c r="CVB187" s="65"/>
      <c r="CVC187" s="65"/>
      <c r="CVD187" s="65"/>
      <c r="CVE187" s="65"/>
      <c r="CVF187" s="65"/>
      <c r="CVG187" s="65"/>
      <c r="CVH187" s="65"/>
      <c r="CVI187" s="65"/>
      <c r="CVJ187" s="65"/>
      <c r="CVK187" s="65"/>
      <c r="CVL187" s="65"/>
      <c r="CVM187" s="65"/>
      <c r="CVN187" s="65"/>
      <c r="CVO187" s="65"/>
      <c r="CVP187" s="65"/>
      <c r="CVQ187" s="65"/>
      <c r="CVR187" s="65"/>
      <c r="CVS187" s="65"/>
      <c r="CVT187" s="65"/>
      <c r="CVU187" s="65"/>
      <c r="CVV187" s="65"/>
      <c r="CVW187" s="65"/>
      <c r="CVX187" s="65"/>
      <c r="CVY187" s="65"/>
      <c r="CVZ187" s="65"/>
      <c r="CWA187" s="65"/>
      <c r="CWB187" s="65"/>
      <c r="CWC187" s="65"/>
      <c r="CWD187" s="65"/>
      <c r="CWE187" s="65"/>
      <c r="CWF187" s="65"/>
      <c r="CWG187" s="65"/>
      <c r="CWH187" s="65"/>
      <c r="CWI187" s="65"/>
      <c r="CWJ187" s="65"/>
      <c r="CWK187" s="65"/>
      <c r="CWL187" s="65"/>
      <c r="CWM187" s="65"/>
      <c r="CWN187" s="65"/>
      <c r="CWO187" s="65"/>
      <c r="CWP187" s="65"/>
      <c r="CWQ187" s="65"/>
      <c r="CWR187" s="65"/>
      <c r="CWS187" s="65"/>
      <c r="CWT187" s="65"/>
      <c r="CWU187" s="65"/>
      <c r="CWV187" s="65"/>
      <c r="CWW187" s="65"/>
      <c r="CWX187" s="65"/>
      <c r="CWY187" s="65"/>
      <c r="CWZ187" s="65"/>
      <c r="CXA187" s="65"/>
      <c r="CXB187" s="65"/>
      <c r="CXC187" s="65"/>
      <c r="CXD187" s="65"/>
      <c r="CXE187" s="65"/>
      <c r="CXF187" s="65"/>
      <c r="CXG187" s="65"/>
      <c r="CXH187" s="65"/>
      <c r="CXI187" s="65"/>
      <c r="CXJ187" s="65"/>
      <c r="CXK187" s="65"/>
      <c r="CXL187" s="65"/>
      <c r="CXM187" s="65"/>
      <c r="CXN187" s="65"/>
      <c r="CXO187" s="65"/>
      <c r="CXP187" s="65"/>
      <c r="CXQ187" s="65"/>
      <c r="CXR187" s="65"/>
      <c r="CXS187" s="65"/>
      <c r="CXT187" s="65"/>
      <c r="CXU187" s="65"/>
      <c r="CXV187" s="65"/>
      <c r="CXW187" s="65"/>
      <c r="CXX187" s="65"/>
      <c r="CXY187" s="65"/>
      <c r="CXZ187" s="65"/>
      <c r="CYA187" s="65"/>
      <c r="CYB187" s="65"/>
      <c r="CYC187" s="65"/>
      <c r="CYD187" s="65"/>
      <c r="CYE187" s="65"/>
      <c r="CYF187" s="65"/>
      <c r="CYG187" s="65"/>
      <c r="CYH187" s="65"/>
      <c r="CYI187" s="65"/>
      <c r="CYJ187" s="65"/>
      <c r="CYK187" s="65"/>
      <c r="CYL187" s="65"/>
      <c r="CYM187" s="65"/>
      <c r="CYN187" s="65"/>
      <c r="CYO187" s="65"/>
      <c r="CYP187" s="65"/>
      <c r="CYQ187" s="65"/>
      <c r="CYR187" s="65"/>
      <c r="CYS187" s="65"/>
      <c r="CYT187" s="65"/>
      <c r="CYU187" s="65"/>
      <c r="CYV187" s="65"/>
      <c r="CYW187" s="65"/>
      <c r="CYX187" s="65"/>
      <c r="CYY187" s="65"/>
      <c r="CYZ187" s="65"/>
      <c r="CZA187" s="65"/>
      <c r="CZB187" s="65"/>
      <c r="CZC187" s="65"/>
      <c r="CZD187" s="65"/>
      <c r="CZE187" s="65"/>
      <c r="CZF187" s="65"/>
      <c r="CZG187" s="65"/>
      <c r="CZH187" s="65"/>
      <c r="CZI187" s="65"/>
      <c r="CZJ187" s="65"/>
      <c r="CZK187" s="65"/>
      <c r="CZL187" s="65"/>
      <c r="CZM187" s="65"/>
      <c r="CZN187" s="65"/>
      <c r="CZO187" s="65"/>
      <c r="CZP187" s="65"/>
      <c r="CZQ187" s="65"/>
      <c r="CZR187" s="65"/>
      <c r="CZS187" s="65"/>
      <c r="CZT187" s="65"/>
      <c r="CZU187" s="65"/>
      <c r="CZV187" s="65"/>
      <c r="CZW187" s="65"/>
      <c r="CZX187" s="65"/>
      <c r="CZY187" s="65"/>
      <c r="CZZ187" s="65"/>
      <c r="DAA187" s="65"/>
      <c r="DAB187" s="65"/>
      <c r="DAC187" s="65"/>
      <c r="DAD187" s="65"/>
      <c r="DAE187" s="65"/>
      <c r="DAF187" s="65"/>
      <c r="DAG187" s="65"/>
      <c r="DAH187" s="65"/>
      <c r="DAI187" s="65"/>
      <c r="DAJ187" s="65"/>
      <c r="DAK187" s="65"/>
      <c r="DAL187" s="65"/>
      <c r="DAM187" s="65"/>
      <c r="DAN187" s="65"/>
      <c r="DAO187" s="65"/>
      <c r="DAP187" s="65"/>
      <c r="DAQ187" s="65"/>
      <c r="DAR187" s="65"/>
      <c r="DAS187" s="65"/>
      <c r="DAT187" s="65"/>
      <c r="DAU187" s="65"/>
      <c r="DAV187" s="65"/>
      <c r="DAW187" s="65"/>
      <c r="DAX187" s="65"/>
      <c r="DAY187" s="65"/>
      <c r="DAZ187" s="65"/>
      <c r="DBA187" s="65"/>
      <c r="DBB187" s="65"/>
      <c r="DBC187" s="65"/>
      <c r="DBD187" s="65"/>
      <c r="DBE187" s="65"/>
      <c r="DBF187" s="65"/>
      <c r="DBG187" s="65"/>
      <c r="DBH187" s="65"/>
      <c r="DBI187" s="65"/>
      <c r="DBJ187" s="65"/>
      <c r="DBK187" s="65"/>
      <c r="DBL187" s="65"/>
      <c r="DBM187" s="65"/>
      <c r="DBN187" s="65"/>
      <c r="DBO187" s="65"/>
      <c r="DBP187" s="65"/>
      <c r="DBQ187" s="65"/>
      <c r="DBR187" s="65"/>
      <c r="DBS187" s="65"/>
      <c r="DBT187" s="65"/>
      <c r="DBU187" s="65"/>
      <c r="DBV187" s="65"/>
      <c r="DBW187" s="65"/>
      <c r="DBX187" s="65"/>
      <c r="DBY187" s="65"/>
      <c r="DBZ187" s="65"/>
      <c r="DCA187" s="65"/>
      <c r="DCB187" s="65"/>
      <c r="DCC187" s="65"/>
      <c r="DCD187" s="65"/>
      <c r="DCE187" s="65"/>
      <c r="DCF187" s="65"/>
      <c r="DCG187" s="65"/>
      <c r="DCH187" s="65"/>
      <c r="DCI187" s="65"/>
      <c r="DCJ187" s="65"/>
      <c r="DCK187" s="65"/>
      <c r="DCL187" s="65"/>
      <c r="DCM187" s="65"/>
      <c r="DCN187" s="65"/>
      <c r="DCO187" s="65"/>
      <c r="DCP187" s="65"/>
      <c r="DCQ187" s="65"/>
      <c r="DCR187" s="65"/>
      <c r="DCS187" s="65"/>
      <c r="DCT187" s="65"/>
      <c r="DCU187" s="65"/>
      <c r="DCV187" s="65"/>
      <c r="DCW187" s="65"/>
      <c r="DCX187" s="65"/>
      <c r="DCY187" s="65"/>
      <c r="DCZ187" s="65"/>
      <c r="DDA187" s="65"/>
      <c r="DDB187" s="65"/>
      <c r="DDC187" s="65"/>
      <c r="DDD187" s="65"/>
      <c r="DDE187" s="65"/>
      <c r="DDF187" s="65"/>
      <c r="DDG187" s="65"/>
      <c r="DDH187" s="65"/>
      <c r="DDI187" s="65"/>
      <c r="DDJ187" s="65"/>
      <c r="DDK187" s="65"/>
      <c r="DDL187" s="65"/>
      <c r="DDM187" s="65"/>
      <c r="DDN187" s="65"/>
      <c r="DDO187" s="65"/>
      <c r="DDP187" s="65"/>
      <c r="DDQ187" s="65"/>
      <c r="DDR187" s="65"/>
      <c r="DDS187" s="65"/>
      <c r="DDT187" s="65"/>
      <c r="DDU187" s="65"/>
      <c r="DDV187" s="65"/>
      <c r="DDW187" s="65"/>
      <c r="DDX187" s="65"/>
      <c r="DDY187" s="65"/>
      <c r="DDZ187" s="65"/>
      <c r="DEA187" s="65"/>
      <c r="DEB187" s="65"/>
      <c r="DEC187" s="65"/>
      <c r="DED187" s="65"/>
      <c r="DEE187" s="65"/>
      <c r="DEF187" s="65"/>
      <c r="DEG187" s="65"/>
      <c r="DEH187" s="65"/>
      <c r="DEI187" s="65"/>
      <c r="DEJ187" s="65"/>
      <c r="DEK187" s="65"/>
      <c r="DEL187" s="65"/>
      <c r="DEM187" s="65"/>
      <c r="DEN187" s="65"/>
      <c r="DEO187" s="65"/>
      <c r="DEP187" s="65"/>
      <c r="DEQ187" s="65"/>
      <c r="DER187" s="65"/>
      <c r="DES187" s="65"/>
      <c r="DET187" s="65"/>
      <c r="DEU187" s="65"/>
      <c r="DEV187" s="65"/>
      <c r="DEW187" s="65"/>
      <c r="DEX187" s="65"/>
      <c r="DEY187" s="65"/>
      <c r="DEZ187" s="65"/>
      <c r="DFA187" s="65"/>
      <c r="DFB187" s="65"/>
      <c r="DFC187" s="65"/>
      <c r="DFD187" s="65"/>
      <c r="DFE187" s="65"/>
      <c r="DFF187" s="65"/>
      <c r="DFG187" s="65"/>
      <c r="DFH187" s="65"/>
      <c r="DFI187" s="65"/>
      <c r="DFJ187" s="65"/>
      <c r="DFK187" s="65"/>
      <c r="DFL187" s="65"/>
      <c r="DFM187" s="65"/>
      <c r="DFN187" s="65"/>
      <c r="DFO187" s="65"/>
      <c r="DFP187" s="65"/>
      <c r="DFQ187" s="65"/>
      <c r="DFR187" s="65"/>
      <c r="DFS187" s="65"/>
      <c r="DFT187" s="65"/>
      <c r="DFU187" s="65"/>
      <c r="DFV187" s="65"/>
      <c r="DFW187" s="65"/>
      <c r="DFX187" s="65"/>
      <c r="DFY187" s="65"/>
      <c r="DFZ187" s="65"/>
      <c r="DGA187" s="65"/>
      <c r="DGB187" s="65"/>
      <c r="DGC187" s="65"/>
      <c r="DGD187" s="65"/>
      <c r="DGE187" s="65"/>
      <c r="DGF187" s="65"/>
      <c r="DGG187" s="65"/>
      <c r="DGH187" s="65"/>
      <c r="DGI187" s="65"/>
      <c r="DGJ187" s="65"/>
      <c r="DGK187" s="65"/>
      <c r="DGL187" s="65"/>
      <c r="DGM187" s="65"/>
      <c r="DGN187" s="65"/>
      <c r="DGO187" s="65"/>
      <c r="DGP187" s="65"/>
      <c r="DGQ187" s="65"/>
      <c r="DGR187" s="65"/>
      <c r="DGS187" s="65"/>
      <c r="DGT187" s="65"/>
      <c r="DGU187" s="65"/>
      <c r="DGV187" s="65"/>
      <c r="DGW187" s="65"/>
      <c r="DGX187" s="65"/>
      <c r="DGY187" s="65"/>
      <c r="DGZ187" s="65"/>
      <c r="DHA187" s="65"/>
      <c r="DHB187" s="65"/>
      <c r="DHC187" s="65"/>
      <c r="DHD187" s="65"/>
      <c r="DHE187" s="65"/>
      <c r="DHF187" s="65"/>
      <c r="DHG187" s="65"/>
      <c r="DHH187" s="65"/>
      <c r="DHI187" s="65"/>
      <c r="DHJ187" s="65"/>
      <c r="DHK187" s="65"/>
      <c r="DHL187" s="65"/>
      <c r="DHM187" s="65"/>
      <c r="DHN187" s="65"/>
      <c r="DHO187" s="65"/>
      <c r="DHP187" s="65"/>
      <c r="DHQ187" s="65"/>
      <c r="DHR187" s="65"/>
      <c r="DHS187" s="65"/>
      <c r="DHT187" s="65"/>
      <c r="DHU187" s="65"/>
      <c r="DHV187" s="65"/>
      <c r="DHW187" s="65"/>
      <c r="DHX187" s="65"/>
      <c r="DHY187" s="65"/>
      <c r="DHZ187" s="65"/>
      <c r="DIA187" s="65"/>
      <c r="DIB187" s="65"/>
      <c r="DIC187" s="65"/>
      <c r="DID187" s="65"/>
      <c r="DIE187" s="65"/>
      <c r="DIF187" s="65"/>
      <c r="DIG187" s="65"/>
      <c r="DIH187" s="65"/>
      <c r="DII187" s="65"/>
      <c r="DIJ187" s="65"/>
      <c r="DIK187" s="65"/>
      <c r="DIL187" s="65"/>
      <c r="DIM187" s="65"/>
      <c r="DIN187" s="65"/>
      <c r="DIO187" s="65"/>
      <c r="DIP187" s="65"/>
      <c r="DIQ187" s="65"/>
      <c r="DIR187" s="65"/>
      <c r="DIS187" s="65"/>
      <c r="DIT187" s="65"/>
      <c r="DIU187" s="65"/>
      <c r="DIV187" s="65"/>
      <c r="DIW187" s="65"/>
      <c r="DIX187" s="65"/>
      <c r="DIY187" s="65"/>
      <c r="DIZ187" s="65"/>
      <c r="DJA187" s="65"/>
      <c r="DJB187" s="65"/>
      <c r="DJC187" s="65"/>
      <c r="DJD187" s="65"/>
      <c r="DJE187" s="65"/>
      <c r="DJF187" s="65"/>
      <c r="DJG187" s="65"/>
      <c r="DJH187" s="65"/>
      <c r="DJI187" s="65"/>
      <c r="DJJ187" s="65"/>
      <c r="DJK187" s="65"/>
      <c r="DJL187" s="65"/>
      <c r="DJM187" s="65"/>
      <c r="DJN187" s="65"/>
      <c r="DJO187" s="65"/>
      <c r="DJP187" s="65"/>
      <c r="DJQ187" s="65"/>
      <c r="DJR187" s="65"/>
      <c r="DJS187" s="65"/>
      <c r="DJT187" s="65"/>
      <c r="DJU187" s="65"/>
      <c r="DJV187" s="65"/>
      <c r="DJW187" s="65"/>
      <c r="DJX187" s="65"/>
      <c r="DJY187" s="65"/>
      <c r="DJZ187" s="65"/>
      <c r="DKA187" s="65"/>
      <c r="DKB187" s="65"/>
      <c r="DKC187" s="65"/>
      <c r="DKD187" s="65"/>
      <c r="DKE187" s="65"/>
      <c r="DKF187" s="65"/>
      <c r="DKG187" s="65"/>
      <c r="DKH187" s="65"/>
      <c r="DKI187" s="65"/>
      <c r="DKJ187" s="65"/>
      <c r="DKK187" s="65"/>
      <c r="DKL187" s="65"/>
      <c r="DKM187" s="65"/>
      <c r="DKN187" s="65"/>
      <c r="DKO187" s="65"/>
      <c r="DKP187" s="65"/>
      <c r="DKQ187" s="65"/>
      <c r="DKR187" s="65"/>
      <c r="DKS187" s="65"/>
      <c r="DKT187" s="65"/>
      <c r="DKU187" s="65"/>
      <c r="DKV187" s="65"/>
      <c r="DKW187" s="65"/>
      <c r="DKX187" s="65"/>
      <c r="DKY187" s="65"/>
      <c r="DKZ187" s="65"/>
      <c r="DLA187" s="65"/>
      <c r="DLB187" s="65"/>
      <c r="DLC187" s="65"/>
      <c r="DLD187" s="65"/>
      <c r="DLE187" s="65"/>
      <c r="DLF187" s="65"/>
      <c r="DLG187" s="65"/>
      <c r="DLH187" s="65"/>
      <c r="DLI187" s="65"/>
      <c r="DLJ187" s="65"/>
      <c r="DLK187" s="65"/>
      <c r="DLL187" s="65"/>
      <c r="DLM187" s="65"/>
      <c r="DLN187" s="65"/>
      <c r="DLO187" s="65"/>
      <c r="DLP187" s="65"/>
      <c r="DLQ187" s="65"/>
      <c r="DLR187" s="65"/>
      <c r="DLS187" s="65"/>
      <c r="DLT187" s="65"/>
      <c r="DLU187" s="65"/>
      <c r="DLV187" s="65"/>
      <c r="DLW187" s="65"/>
      <c r="DLX187" s="65"/>
      <c r="DLY187" s="65"/>
      <c r="DLZ187" s="65"/>
      <c r="DMA187" s="65"/>
      <c r="DMB187" s="65"/>
      <c r="DMC187" s="65"/>
      <c r="DMD187" s="65"/>
      <c r="DME187" s="65"/>
      <c r="DMF187" s="65"/>
      <c r="DMG187" s="65"/>
      <c r="DMH187" s="65"/>
      <c r="DMI187" s="65"/>
      <c r="DMJ187" s="65"/>
      <c r="DMK187" s="65"/>
      <c r="DML187" s="65"/>
      <c r="DMM187" s="65"/>
      <c r="DMN187" s="65"/>
      <c r="DMO187" s="65"/>
      <c r="DMP187" s="65"/>
      <c r="DMQ187" s="65"/>
      <c r="DMR187" s="65"/>
      <c r="DMS187" s="65"/>
      <c r="DMT187" s="65"/>
      <c r="DMU187" s="65"/>
      <c r="DMV187" s="65"/>
      <c r="DMW187" s="65"/>
      <c r="DMX187" s="65"/>
      <c r="DMY187" s="65"/>
      <c r="DMZ187" s="65"/>
      <c r="DNA187" s="65"/>
      <c r="DNB187" s="65"/>
      <c r="DNC187" s="65"/>
      <c r="DND187" s="65"/>
      <c r="DNE187" s="65"/>
      <c r="DNF187" s="65"/>
      <c r="DNG187" s="65"/>
      <c r="DNH187" s="65"/>
      <c r="DNI187" s="65"/>
      <c r="DNJ187" s="65"/>
      <c r="DNK187" s="65"/>
      <c r="DNL187" s="65"/>
      <c r="DNM187" s="65"/>
      <c r="DNN187" s="65"/>
      <c r="DNO187" s="65"/>
      <c r="DNP187" s="65"/>
      <c r="DNQ187" s="65"/>
      <c r="DNR187" s="65"/>
      <c r="DNS187" s="65"/>
      <c r="DNT187" s="65"/>
      <c r="DNU187" s="65"/>
      <c r="DNV187" s="65"/>
      <c r="DNW187" s="65"/>
      <c r="DNX187" s="65"/>
      <c r="DNY187" s="65"/>
      <c r="DNZ187" s="65"/>
    </row>
    <row r="188" spans="1:3094" x14ac:dyDescent="0.2">
      <c r="A188" s="66">
        <f>A187+1</f>
        <v>181</v>
      </c>
      <c r="B188" s="48">
        <v>55</v>
      </c>
      <c r="C188" s="107" t="s">
        <v>280</v>
      </c>
      <c r="D188" s="107"/>
      <c r="E188" s="107" t="str">
        <f>'Exh CTM-7 (Tariff Rates Y1)'!G218</f>
        <v>per pole</v>
      </c>
      <c r="F188" s="107" t="s">
        <v>57</v>
      </c>
      <c r="G188" s="200">
        <v>6953</v>
      </c>
      <c r="H188" s="183">
        <v>1088.4431493665115</v>
      </c>
      <c r="J188" s="65"/>
      <c r="K188" s="65"/>
      <c r="L188" s="65"/>
      <c r="M188" s="216">
        <f>'Exh CTM-7 (Unitized Costs)'!D$23</f>
        <v>2.6702890028098155E-3</v>
      </c>
      <c r="N188" s="84">
        <f>'Exh CTM-7 (Unitized Costs)'!D47</f>
        <v>2.2355126699285996</v>
      </c>
      <c r="O188" s="118"/>
      <c r="P188" s="84">
        <f>IF(F188="Company", H188*M188, 0)</f>
        <v>2.906457771937077</v>
      </c>
      <c r="Q188" s="84">
        <f>N188</f>
        <v>2.2355126699285996</v>
      </c>
      <c r="R188" s="199">
        <f>SUM(P188:Q188)</f>
        <v>5.1419704418656771</v>
      </c>
      <c r="S188" s="118"/>
      <c r="T188" s="199">
        <v>5.7622704370521873</v>
      </c>
      <c r="U188" s="82">
        <f>($U$192*(V188/$V$192))</f>
        <v>25565.961834644953</v>
      </c>
      <c r="V188" s="82">
        <f>(R188*$G188)</f>
        <v>35752.120482292055</v>
      </c>
      <c r="W188" s="82">
        <f>(T188*$G188)</f>
        <v>40065.066348823857</v>
      </c>
    </row>
    <row r="189" spans="1:3094" x14ac:dyDescent="0.2">
      <c r="A189" s="66">
        <f>A188+1</f>
        <v>182</v>
      </c>
      <c r="B189" s="48">
        <v>55</v>
      </c>
      <c r="C189" s="107" t="s">
        <v>281</v>
      </c>
      <c r="D189" s="107"/>
      <c r="E189" s="107" t="str">
        <f>E188</f>
        <v>per pole</v>
      </c>
      <c r="F189" s="107" t="s">
        <v>57</v>
      </c>
      <c r="G189" s="200">
        <v>4012</v>
      </c>
      <c r="H189" s="183">
        <f>H188</f>
        <v>1088.4431493665115</v>
      </c>
      <c r="J189" s="65"/>
      <c r="K189" s="65"/>
      <c r="L189" s="65"/>
      <c r="M189" s="216">
        <f>M188</f>
        <v>2.6702890028098155E-3</v>
      </c>
      <c r="N189" s="84">
        <f>N188</f>
        <v>2.2355126699285996</v>
      </c>
      <c r="O189" s="118"/>
      <c r="P189" s="84">
        <f>IF(F189="Company", H189*M189, 0)</f>
        <v>2.906457771937077</v>
      </c>
      <c r="Q189" s="84">
        <f>N189</f>
        <v>2.2355126699285996</v>
      </c>
      <c r="R189" s="199">
        <f>SUM(P189:Q189)</f>
        <v>5.1419704418656771</v>
      </c>
      <c r="S189" s="118"/>
      <c r="T189" s="199">
        <f>T188</f>
        <v>5.7622704370521873</v>
      </c>
      <c r="U189" s="82">
        <f>($U$192*(V189/$V$192))</f>
        <v>14751.997537839141</v>
      </c>
      <c r="V189" s="82">
        <f>(R189*$G189)</f>
        <v>20629.585412765096</v>
      </c>
      <c r="W189" s="82">
        <f>(T189*$G189)</f>
        <v>23118.228993453376</v>
      </c>
    </row>
    <row r="190" spans="1:3094" s="77" customFormat="1" ht="12" thickBot="1" x14ac:dyDescent="0.25">
      <c r="A190" s="66">
        <f>A189+1</f>
        <v>183</v>
      </c>
      <c r="B190" s="54" t="s">
        <v>285</v>
      </c>
      <c r="C190" s="208" t="s">
        <v>281</v>
      </c>
      <c r="D190" s="208"/>
      <c r="E190" s="208" t="str">
        <f>E189</f>
        <v>per pole</v>
      </c>
      <c r="F190" s="208" t="s">
        <v>57</v>
      </c>
      <c r="G190" s="209">
        <v>1836</v>
      </c>
      <c r="H190" s="210">
        <f>H189</f>
        <v>1088.4431493665115</v>
      </c>
      <c r="M190" s="213">
        <f>M189</f>
        <v>2.6702890028098155E-3</v>
      </c>
      <c r="N190" s="215">
        <f>N189</f>
        <v>2.2355126699285996</v>
      </c>
      <c r="O190" s="217"/>
      <c r="P190" s="215">
        <f>IF(F190="Company", H190*M190, 0)</f>
        <v>2.906457771937077</v>
      </c>
      <c r="Q190" s="215">
        <f>N190</f>
        <v>2.2355126699285996</v>
      </c>
      <c r="R190" s="218">
        <f>SUM(P190:Q190)</f>
        <v>5.1419704418656771</v>
      </c>
      <c r="S190" s="118"/>
      <c r="T190" s="218">
        <f>T189</f>
        <v>5.7622704370521873</v>
      </c>
      <c r="U190" s="153">
        <f>($U$192*(V190/$V$192))</f>
        <v>6750.9141274857084</v>
      </c>
      <c r="V190" s="153">
        <f>(R190*$G190)</f>
        <v>9440.6577312653826</v>
      </c>
      <c r="W190" s="153">
        <f>(T190*$G190)</f>
        <v>10579.528522427816</v>
      </c>
      <c r="X190" s="65"/>
      <c r="Y190" s="65"/>
      <c r="Z190" s="65"/>
      <c r="AA190" s="65"/>
      <c r="AB190" s="65"/>
      <c r="AC190" s="65"/>
      <c r="AD190" s="65"/>
      <c r="AE190" s="65"/>
      <c r="AF190" s="65"/>
      <c r="AG190" s="65"/>
      <c r="AH190" s="65"/>
      <c r="AI190" s="65"/>
      <c r="AJ190" s="65"/>
      <c r="AK190" s="65"/>
      <c r="AL190" s="65"/>
      <c r="AM190" s="65"/>
      <c r="AN190" s="65"/>
      <c r="AO190" s="65"/>
      <c r="AP190" s="65"/>
      <c r="AQ190" s="65"/>
      <c r="AR190" s="65"/>
      <c r="AS190" s="65"/>
      <c r="AT190" s="65"/>
      <c r="AU190" s="65"/>
      <c r="AV190" s="65"/>
      <c r="AW190" s="65"/>
      <c r="AX190" s="65"/>
      <c r="AY190" s="65"/>
      <c r="AZ190" s="65"/>
      <c r="BA190" s="65"/>
      <c r="BB190" s="65"/>
      <c r="BC190" s="65"/>
      <c r="BD190" s="65"/>
      <c r="BE190" s="65"/>
      <c r="BF190" s="65"/>
      <c r="BG190" s="65"/>
      <c r="BH190" s="65"/>
      <c r="BI190" s="65"/>
      <c r="BJ190" s="65"/>
      <c r="BK190" s="65"/>
      <c r="BL190" s="65"/>
      <c r="BM190" s="65"/>
      <c r="BN190" s="65"/>
      <c r="BO190" s="65"/>
      <c r="BP190" s="65"/>
      <c r="BQ190" s="65"/>
      <c r="BR190" s="65"/>
      <c r="BS190" s="65"/>
      <c r="BT190" s="65"/>
      <c r="BU190" s="65"/>
      <c r="BV190" s="65"/>
      <c r="BW190" s="65"/>
      <c r="BX190" s="65"/>
      <c r="BY190" s="65"/>
      <c r="BZ190" s="65"/>
      <c r="CA190" s="65"/>
      <c r="CB190" s="65"/>
      <c r="CC190" s="65"/>
      <c r="CD190" s="65"/>
      <c r="CE190" s="65"/>
      <c r="CF190" s="65"/>
      <c r="CG190" s="65"/>
      <c r="CH190" s="65"/>
      <c r="CI190" s="65"/>
      <c r="CJ190" s="65"/>
      <c r="CK190" s="65"/>
      <c r="CL190" s="65"/>
      <c r="CM190" s="65"/>
      <c r="CN190" s="65"/>
      <c r="CO190" s="65"/>
      <c r="CP190" s="65"/>
      <c r="CQ190" s="65"/>
      <c r="CR190" s="65"/>
      <c r="CS190" s="65"/>
      <c r="CT190" s="65"/>
      <c r="CU190" s="65"/>
      <c r="CV190" s="65"/>
      <c r="CW190" s="65"/>
      <c r="CX190" s="65"/>
      <c r="CY190" s="65"/>
      <c r="CZ190" s="65"/>
      <c r="DA190" s="65"/>
      <c r="DB190" s="65"/>
      <c r="DC190" s="65"/>
      <c r="DD190" s="65"/>
      <c r="DE190" s="65"/>
      <c r="DF190" s="65"/>
      <c r="DG190" s="65"/>
      <c r="DH190" s="65"/>
      <c r="DI190" s="65"/>
      <c r="DJ190" s="65"/>
      <c r="DK190" s="65"/>
      <c r="DL190" s="65"/>
      <c r="DM190" s="65"/>
      <c r="DN190" s="65"/>
      <c r="DO190" s="65"/>
      <c r="DP190" s="65"/>
      <c r="DQ190" s="65"/>
      <c r="DR190" s="65"/>
      <c r="DS190" s="65"/>
      <c r="DT190" s="65"/>
      <c r="DU190" s="65"/>
      <c r="DV190" s="65"/>
      <c r="DW190" s="65"/>
      <c r="DX190" s="65"/>
      <c r="DY190" s="65"/>
      <c r="DZ190" s="65"/>
      <c r="EA190" s="65"/>
      <c r="EB190" s="65"/>
      <c r="EC190" s="65"/>
      <c r="ED190" s="65"/>
      <c r="EE190" s="65"/>
      <c r="EF190" s="65"/>
      <c r="EG190" s="65"/>
      <c r="EH190" s="65"/>
      <c r="EI190" s="65"/>
      <c r="EJ190" s="65"/>
      <c r="EK190" s="65"/>
      <c r="EL190" s="65"/>
      <c r="EM190" s="65"/>
      <c r="EN190" s="65"/>
      <c r="EO190" s="65"/>
      <c r="EP190" s="65"/>
      <c r="EQ190" s="65"/>
      <c r="ER190" s="65"/>
      <c r="ES190" s="65"/>
      <c r="ET190" s="65"/>
      <c r="EU190" s="65"/>
      <c r="EV190" s="65"/>
      <c r="EW190" s="65"/>
      <c r="EX190" s="65"/>
      <c r="EY190" s="65"/>
      <c r="EZ190" s="65"/>
      <c r="FA190" s="65"/>
      <c r="FB190" s="65"/>
      <c r="FC190" s="65"/>
      <c r="FD190" s="65"/>
      <c r="FE190" s="65"/>
      <c r="FF190" s="65"/>
      <c r="FG190" s="65"/>
      <c r="FH190" s="65"/>
      <c r="FI190" s="65"/>
      <c r="FJ190" s="65"/>
      <c r="FK190" s="65"/>
      <c r="FL190" s="65"/>
      <c r="FM190" s="65"/>
      <c r="FN190" s="65"/>
      <c r="FO190" s="65"/>
      <c r="FP190" s="65"/>
      <c r="FQ190" s="65"/>
      <c r="FR190" s="65"/>
      <c r="FS190" s="65"/>
      <c r="FT190" s="65"/>
      <c r="FU190" s="65"/>
      <c r="FV190" s="65"/>
      <c r="FW190" s="65"/>
      <c r="FX190" s="65"/>
      <c r="FY190" s="65"/>
      <c r="FZ190" s="65"/>
      <c r="GA190" s="65"/>
      <c r="GB190" s="65"/>
      <c r="GC190" s="65"/>
      <c r="GD190" s="65"/>
      <c r="GE190" s="65"/>
      <c r="GF190" s="65"/>
      <c r="GG190" s="65"/>
      <c r="GH190" s="65"/>
      <c r="GI190" s="65"/>
      <c r="GJ190" s="65"/>
      <c r="GK190" s="65"/>
      <c r="GL190" s="65"/>
      <c r="GM190" s="65"/>
      <c r="GN190" s="65"/>
      <c r="GO190" s="65"/>
      <c r="GP190" s="65"/>
      <c r="GQ190" s="65"/>
      <c r="GR190" s="65"/>
      <c r="GS190" s="65"/>
      <c r="GT190" s="65"/>
      <c r="GU190" s="65"/>
      <c r="GV190" s="65"/>
      <c r="GW190" s="65"/>
      <c r="GX190" s="65"/>
      <c r="GY190" s="65"/>
      <c r="GZ190" s="65"/>
      <c r="HA190" s="65"/>
      <c r="HB190" s="65"/>
      <c r="HC190" s="65"/>
      <c r="HD190" s="65"/>
      <c r="HE190" s="65"/>
      <c r="HF190" s="65"/>
      <c r="HG190" s="65"/>
      <c r="HH190" s="65"/>
      <c r="HI190" s="65"/>
      <c r="HJ190" s="65"/>
      <c r="HK190" s="65"/>
      <c r="HL190" s="65"/>
      <c r="HM190" s="65"/>
      <c r="HN190" s="65"/>
      <c r="HO190" s="65"/>
      <c r="HP190" s="65"/>
      <c r="HQ190" s="65"/>
      <c r="HR190" s="65"/>
      <c r="HS190" s="65"/>
      <c r="HT190" s="65"/>
      <c r="HU190" s="65"/>
      <c r="HV190" s="65"/>
      <c r="HW190" s="65"/>
      <c r="HX190" s="65"/>
      <c r="HY190" s="65"/>
      <c r="HZ190" s="65"/>
      <c r="IA190" s="65"/>
      <c r="IB190" s="65"/>
      <c r="IC190" s="65"/>
      <c r="ID190" s="65"/>
      <c r="IE190" s="65"/>
      <c r="IF190" s="65"/>
      <c r="IG190" s="65"/>
      <c r="IH190" s="65"/>
      <c r="II190" s="65"/>
      <c r="IJ190" s="65"/>
      <c r="IK190" s="65"/>
      <c r="IL190" s="65"/>
      <c r="IM190" s="65"/>
      <c r="IN190" s="65"/>
      <c r="IO190" s="65"/>
      <c r="IP190" s="65"/>
      <c r="IQ190" s="65"/>
      <c r="IR190" s="65"/>
      <c r="IS190" s="65"/>
      <c r="IT190" s="65"/>
      <c r="IU190" s="65"/>
      <c r="IV190" s="65"/>
      <c r="IW190" s="65"/>
      <c r="IX190" s="65"/>
      <c r="IY190" s="65"/>
      <c r="IZ190" s="65"/>
      <c r="JA190" s="65"/>
      <c r="JB190" s="65"/>
      <c r="JC190" s="65"/>
      <c r="JD190" s="65"/>
      <c r="JE190" s="65"/>
      <c r="JF190" s="65"/>
      <c r="JG190" s="65"/>
      <c r="JH190" s="65"/>
      <c r="JI190" s="65"/>
      <c r="JJ190" s="65"/>
      <c r="JK190" s="65"/>
      <c r="JL190" s="65"/>
      <c r="JM190" s="65"/>
      <c r="JN190" s="65"/>
      <c r="JO190" s="65"/>
      <c r="JP190" s="65"/>
      <c r="JQ190" s="65"/>
      <c r="JR190" s="65"/>
      <c r="JS190" s="65"/>
      <c r="JT190" s="65"/>
      <c r="JU190" s="65"/>
      <c r="JV190" s="65"/>
      <c r="JW190" s="65"/>
      <c r="JX190" s="65"/>
      <c r="JY190" s="65"/>
      <c r="JZ190" s="65"/>
      <c r="KA190" s="65"/>
      <c r="KB190" s="65"/>
      <c r="KC190" s="65"/>
      <c r="KD190" s="65"/>
      <c r="KE190" s="65"/>
      <c r="KF190" s="65"/>
      <c r="KG190" s="65"/>
      <c r="KH190" s="65"/>
      <c r="KI190" s="65"/>
      <c r="KJ190" s="65"/>
      <c r="KK190" s="65"/>
      <c r="KL190" s="65"/>
      <c r="KM190" s="65"/>
      <c r="KN190" s="65"/>
      <c r="KO190" s="65"/>
      <c r="KP190" s="65"/>
      <c r="KQ190" s="65"/>
      <c r="KR190" s="65"/>
      <c r="KS190" s="65"/>
      <c r="KT190" s="65"/>
      <c r="KU190" s="65"/>
      <c r="KV190" s="65"/>
      <c r="KW190" s="65"/>
      <c r="KX190" s="65"/>
      <c r="KY190" s="65"/>
      <c r="KZ190" s="65"/>
      <c r="LA190" s="65"/>
      <c r="LB190" s="65"/>
      <c r="LC190" s="65"/>
      <c r="LD190" s="65"/>
      <c r="LE190" s="65"/>
      <c r="LF190" s="65"/>
      <c r="LG190" s="65"/>
      <c r="LH190" s="65"/>
      <c r="LI190" s="65"/>
      <c r="LJ190" s="65"/>
      <c r="LK190" s="65"/>
      <c r="LL190" s="65"/>
      <c r="LM190" s="65"/>
      <c r="LN190" s="65"/>
      <c r="LO190" s="65"/>
      <c r="LP190" s="65"/>
      <c r="LQ190" s="65"/>
      <c r="LR190" s="65"/>
      <c r="LS190" s="65"/>
      <c r="LT190" s="65"/>
      <c r="LU190" s="65"/>
      <c r="LV190" s="65"/>
      <c r="LW190" s="65"/>
      <c r="LX190" s="65"/>
      <c r="LY190" s="65"/>
      <c r="LZ190" s="65"/>
      <c r="MA190" s="65"/>
      <c r="MB190" s="65"/>
      <c r="MC190" s="65"/>
      <c r="MD190" s="65"/>
      <c r="ME190" s="65"/>
      <c r="MF190" s="65"/>
      <c r="MG190" s="65"/>
      <c r="MH190" s="65"/>
      <c r="MI190" s="65"/>
      <c r="MJ190" s="65"/>
      <c r="MK190" s="65"/>
      <c r="ML190" s="65"/>
      <c r="MM190" s="65"/>
      <c r="MN190" s="65"/>
      <c r="MO190" s="65"/>
      <c r="MP190" s="65"/>
      <c r="MQ190" s="65"/>
      <c r="MR190" s="65"/>
      <c r="MS190" s="65"/>
      <c r="MT190" s="65"/>
      <c r="MU190" s="65"/>
      <c r="MV190" s="65"/>
      <c r="MW190" s="65"/>
      <c r="MX190" s="65"/>
      <c r="MY190" s="65"/>
      <c r="MZ190" s="65"/>
      <c r="NA190" s="65"/>
      <c r="NB190" s="65"/>
      <c r="NC190" s="65"/>
      <c r="ND190" s="65"/>
      <c r="NE190" s="65"/>
      <c r="NF190" s="65"/>
      <c r="NG190" s="65"/>
      <c r="NH190" s="65"/>
      <c r="NI190" s="65"/>
      <c r="NJ190" s="65"/>
      <c r="NK190" s="65"/>
      <c r="NL190" s="65"/>
      <c r="NM190" s="65"/>
      <c r="NN190" s="65"/>
      <c r="NO190" s="65"/>
      <c r="NP190" s="65"/>
      <c r="NQ190" s="65"/>
      <c r="NR190" s="65"/>
      <c r="NS190" s="65"/>
      <c r="NT190" s="65"/>
      <c r="NU190" s="65"/>
      <c r="NV190" s="65"/>
      <c r="NW190" s="65"/>
      <c r="NX190" s="65"/>
      <c r="NY190" s="65"/>
      <c r="NZ190" s="65"/>
      <c r="OA190" s="65"/>
      <c r="OB190" s="65"/>
      <c r="OC190" s="65"/>
      <c r="OD190" s="65"/>
      <c r="OE190" s="65"/>
      <c r="OF190" s="65"/>
      <c r="OG190" s="65"/>
      <c r="OH190" s="65"/>
      <c r="OI190" s="65"/>
      <c r="OJ190" s="65"/>
      <c r="OK190" s="65"/>
      <c r="OL190" s="65"/>
      <c r="OM190" s="65"/>
      <c r="ON190" s="65"/>
      <c r="OO190" s="65"/>
      <c r="OP190" s="65"/>
      <c r="OQ190" s="65"/>
      <c r="OR190" s="65"/>
      <c r="OS190" s="65"/>
      <c r="OT190" s="65"/>
      <c r="OU190" s="65"/>
      <c r="OV190" s="65"/>
      <c r="OW190" s="65"/>
      <c r="OX190" s="65"/>
      <c r="OY190" s="65"/>
      <c r="OZ190" s="65"/>
      <c r="PA190" s="65"/>
      <c r="PB190" s="65"/>
      <c r="PC190" s="65"/>
      <c r="PD190" s="65"/>
      <c r="PE190" s="65"/>
      <c r="PF190" s="65"/>
      <c r="PG190" s="65"/>
      <c r="PH190" s="65"/>
      <c r="PI190" s="65"/>
      <c r="PJ190" s="65"/>
      <c r="PK190" s="65"/>
      <c r="PL190" s="65"/>
      <c r="PM190" s="65"/>
      <c r="PN190" s="65"/>
      <c r="PO190" s="65"/>
      <c r="PP190" s="65"/>
      <c r="PQ190" s="65"/>
      <c r="PR190" s="65"/>
      <c r="PS190" s="65"/>
      <c r="PT190" s="65"/>
      <c r="PU190" s="65"/>
      <c r="PV190" s="65"/>
      <c r="PW190" s="65"/>
      <c r="PX190" s="65"/>
      <c r="PY190" s="65"/>
      <c r="PZ190" s="65"/>
      <c r="QA190" s="65"/>
      <c r="QB190" s="65"/>
      <c r="QC190" s="65"/>
      <c r="QD190" s="65"/>
      <c r="QE190" s="65"/>
      <c r="QF190" s="65"/>
      <c r="QG190" s="65"/>
      <c r="QH190" s="65"/>
      <c r="QI190" s="65"/>
      <c r="QJ190" s="65"/>
      <c r="QK190" s="65"/>
      <c r="QL190" s="65"/>
      <c r="QM190" s="65"/>
      <c r="QN190" s="65"/>
      <c r="QO190" s="65"/>
      <c r="QP190" s="65"/>
      <c r="QQ190" s="65"/>
      <c r="QR190" s="65"/>
      <c r="QS190" s="65"/>
      <c r="QT190" s="65"/>
      <c r="QU190" s="65"/>
      <c r="QV190" s="65"/>
      <c r="QW190" s="65"/>
      <c r="QX190" s="65"/>
      <c r="QY190" s="65"/>
      <c r="QZ190" s="65"/>
      <c r="RA190" s="65"/>
      <c r="RB190" s="65"/>
      <c r="RC190" s="65"/>
      <c r="RD190" s="65"/>
      <c r="RE190" s="65"/>
      <c r="RF190" s="65"/>
      <c r="RG190" s="65"/>
      <c r="RH190" s="65"/>
      <c r="RI190" s="65"/>
      <c r="RJ190" s="65"/>
      <c r="RK190" s="65"/>
      <c r="RL190" s="65"/>
      <c r="RM190" s="65"/>
      <c r="RN190" s="65"/>
      <c r="RO190" s="65"/>
      <c r="RP190" s="65"/>
      <c r="RQ190" s="65"/>
      <c r="RR190" s="65"/>
      <c r="RS190" s="65"/>
      <c r="RT190" s="65"/>
      <c r="RU190" s="65"/>
      <c r="RV190" s="65"/>
      <c r="RW190" s="65"/>
      <c r="RX190" s="65"/>
      <c r="RY190" s="65"/>
      <c r="RZ190" s="65"/>
      <c r="SA190" s="65"/>
      <c r="SB190" s="65"/>
      <c r="SC190" s="65"/>
      <c r="SD190" s="65"/>
      <c r="SE190" s="65"/>
      <c r="SF190" s="65"/>
      <c r="SG190" s="65"/>
      <c r="SH190" s="65"/>
      <c r="SI190" s="65"/>
      <c r="SJ190" s="65"/>
      <c r="SK190" s="65"/>
      <c r="SL190" s="65"/>
      <c r="SM190" s="65"/>
      <c r="SN190" s="65"/>
      <c r="SO190" s="65"/>
      <c r="SP190" s="65"/>
      <c r="SQ190" s="65"/>
      <c r="SR190" s="65"/>
      <c r="SS190" s="65"/>
      <c r="ST190" s="65"/>
      <c r="SU190" s="65"/>
      <c r="SV190" s="65"/>
      <c r="SW190" s="65"/>
      <c r="SX190" s="65"/>
      <c r="SY190" s="65"/>
      <c r="SZ190" s="65"/>
      <c r="TA190" s="65"/>
      <c r="TB190" s="65"/>
      <c r="TC190" s="65"/>
      <c r="TD190" s="65"/>
      <c r="TE190" s="65"/>
      <c r="TF190" s="65"/>
      <c r="TG190" s="65"/>
      <c r="TH190" s="65"/>
      <c r="TI190" s="65"/>
      <c r="TJ190" s="65"/>
      <c r="TK190" s="65"/>
      <c r="TL190" s="65"/>
      <c r="TM190" s="65"/>
      <c r="TN190" s="65"/>
      <c r="TO190" s="65"/>
      <c r="TP190" s="65"/>
      <c r="TQ190" s="65"/>
      <c r="TR190" s="65"/>
      <c r="TS190" s="65"/>
      <c r="TT190" s="65"/>
      <c r="TU190" s="65"/>
      <c r="TV190" s="65"/>
      <c r="TW190" s="65"/>
      <c r="TX190" s="65"/>
      <c r="TY190" s="65"/>
      <c r="TZ190" s="65"/>
      <c r="UA190" s="65"/>
      <c r="UB190" s="65"/>
      <c r="UC190" s="65"/>
      <c r="UD190" s="65"/>
      <c r="UE190" s="65"/>
      <c r="UF190" s="65"/>
      <c r="UG190" s="65"/>
      <c r="UH190" s="65"/>
      <c r="UI190" s="65"/>
      <c r="UJ190" s="65"/>
      <c r="UK190" s="65"/>
      <c r="UL190" s="65"/>
      <c r="UM190" s="65"/>
      <c r="UN190" s="65"/>
      <c r="UO190" s="65"/>
      <c r="UP190" s="65"/>
      <c r="UQ190" s="65"/>
      <c r="UR190" s="65"/>
      <c r="US190" s="65"/>
      <c r="UT190" s="65"/>
      <c r="UU190" s="65"/>
      <c r="UV190" s="65"/>
      <c r="UW190" s="65"/>
      <c r="UX190" s="65"/>
      <c r="UY190" s="65"/>
      <c r="UZ190" s="65"/>
      <c r="VA190" s="65"/>
      <c r="VB190" s="65"/>
      <c r="VC190" s="65"/>
      <c r="VD190" s="65"/>
      <c r="VE190" s="65"/>
      <c r="VF190" s="65"/>
      <c r="VG190" s="65"/>
      <c r="VH190" s="65"/>
      <c r="VI190" s="65"/>
      <c r="VJ190" s="65"/>
      <c r="VK190" s="65"/>
      <c r="VL190" s="65"/>
      <c r="VM190" s="65"/>
      <c r="VN190" s="65"/>
      <c r="VO190" s="65"/>
      <c r="VP190" s="65"/>
      <c r="VQ190" s="65"/>
      <c r="VR190" s="65"/>
      <c r="VS190" s="65"/>
      <c r="VT190" s="65"/>
      <c r="VU190" s="65"/>
      <c r="VV190" s="65"/>
      <c r="VW190" s="65"/>
      <c r="VX190" s="65"/>
      <c r="VY190" s="65"/>
      <c r="VZ190" s="65"/>
      <c r="WA190" s="65"/>
      <c r="WB190" s="65"/>
      <c r="WC190" s="65"/>
      <c r="WD190" s="65"/>
      <c r="WE190" s="65"/>
      <c r="WF190" s="65"/>
      <c r="WG190" s="65"/>
      <c r="WH190" s="65"/>
      <c r="WI190" s="65"/>
      <c r="WJ190" s="65"/>
      <c r="WK190" s="65"/>
      <c r="WL190" s="65"/>
      <c r="WM190" s="65"/>
      <c r="WN190" s="65"/>
      <c r="WO190" s="65"/>
      <c r="WP190" s="65"/>
      <c r="WQ190" s="65"/>
      <c r="WR190" s="65"/>
      <c r="WS190" s="65"/>
      <c r="WT190" s="65"/>
      <c r="WU190" s="65"/>
      <c r="WV190" s="65"/>
      <c r="WW190" s="65"/>
      <c r="WX190" s="65"/>
      <c r="WY190" s="65"/>
      <c r="WZ190" s="65"/>
      <c r="XA190" s="65"/>
      <c r="XB190" s="65"/>
      <c r="XC190" s="65"/>
      <c r="XD190" s="65"/>
      <c r="XE190" s="65"/>
      <c r="XF190" s="65"/>
      <c r="XG190" s="65"/>
      <c r="XH190" s="65"/>
      <c r="XI190" s="65"/>
      <c r="XJ190" s="65"/>
      <c r="XK190" s="65"/>
      <c r="XL190" s="65"/>
      <c r="XM190" s="65"/>
      <c r="XN190" s="65"/>
      <c r="XO190" s="65"/>
      <c r="XP190" s="65"/>
      <c r="XQ190" s="65"/>
      <c r="XR190" s="65"/>
      <c r="XS190" s="65"/>
      <c r="XT190" s="65"/>
      <c r="XU190" s="65"/>
      <c r="XV190" s="65"/>
      <c r="XW190" s="65"/>
      <c r="XX190" s="65"/>
      <c r="XY190" s="65"/>
      <c r="XZ190" s="65"/>
      <c r="YA190" s="65"/>
      <c r="YB190" s="65"/>
      <c r="YC190" s="65"/>
      <c r="YD190" s="65"/>
      <c r="YE190" s="65"/>
      <c r="YF190" s="65"/>
      <c r="YG190" s="65"/>
      <c r="YH190" s="65"/>
      <c r="YI190" s="65"/>
      <c r="YJ190" s="65"/>
      <c r="YK190" s="65"/>
      <c r="YL190" s="65"/>
      <c r="YM190" s="65"/>
      <c r="YN190" s="65"/>
      <c r="YO190" s="65"/>
      <c r="YP190" s="65"/>
      <c r="YQ190" s="65"/>
      <c r="YR190" s="65"/>
      <c r="YS190" s="65"/>
      <c r="YT190" s="65"/>
      <c r="YU190" s="65"/>
      <c r="YV190" s="65"/>
      <c r="YW190" s="65"/>
      <c r="YX190" s="65"/>
      <c r="YY190" s="65"/>
      <c r="YZ190" s="65"/>
      <c r="ZA190" s="65"/>
      <c r="ZB190" s="65"/>
      <c r="ZC190" s="65"/>
      <c r="ZD190" s="65"/>
      <c r="ZE190" s="65"/>
      <c r="ZF190" s="65"/>
      <c r="ZG190" s="65"/>
      <c r="ZH190" s="65"/>
      <c r="ZI190" s="65"/>
      <c r="ZJ190" s="65"/>
      <c r="ZK190" s="65"/>
      <c r="ZL190" s="65"/>
      <c r="ZM190" s="65"/>
      <c r="ZN190" s="65"/>
      <c r="ZO190" s="65"/>
      <c r="ZP190" s="65"/>
      <c r="ZQ190" s="65"/>
      <c r="ZR190" s="65"/>
      <c r="ZS190" s="65"/>
      <c r="ZT190" s="65"/>
      <c r="ZU190" s="65"/>
      <c r="ZV190" s="65"/>
      <c r="ZW190" s="65"/>
      <c r="ZX190" s="65"/>
      <c r="ZY190" s="65"/>
      <c r="ZZ190" s="65"/>
      <c r="AAA190" s="65"/>
      <c r="AAB190" s="65"/>
      <c r="AAC190" s="65"/>
      <c r="AAD190" s="65"/>
      <c r="AAE190" s="65"/>
      <c r="AAF190" s="65"/>
      <c r="AAG190" s="65"/>
      <c r="AAH190" s="65"/>
      <c r="AAI190" s="65"/>
      <c r="AAJ190" s="65"/>
      <c r="AAK190" s="65"/>
      <c r="AAL190" s="65"/>
      <c r="AAM190" s="65"/>
      <c r="AAN190" s="65"/>
      <c r="AAO190" s="65"/>
      <c r="AAP190" s="65"/>
      <c r="AAQ190" s="65"/>
      <c r="AAR190" s="65"/>
      <c r="AAS190" s="65"/>
      <c r="AAT190" s="65"/>
      <c r="AAU190" s="65"/>
      <c r="AAV190" s="65"/>
      <c r="AAW190" s="65"/>
      <c r="AAX190" s="65"/>
      <c r="AAY190" s="65"/>
      <c r="AAZ190" s="65"/>
      <c r="ABA190" s="65"/>
      <c r="ABB190" s="65"/>
      <c r="ABC190" s="65"/>
      <c r="ABD190" s="65"/>
      <c r="ABE190" s="65"/>
      <c r="ABF190" s="65"/>
      <c r="ABG190" s="65"/>
      <c r="ABH190" s="65"/>
      <c r="ABI190" s="65"/>
      <c r="ABJ190" s="65"/>
      <c r="ABK190" s="65"/>
      <c r="ABL190" s="65"/>
      <c r="ABM190" s="65"/>
      <c r="ABN190" s="65"/>
      <c r="ABO190" s="65"/>
      <c r="ABP190" s="65"/>
      <c r="ABQ190" s="65"/>
      <c r="ABR190" s="65"/>
      <c r="ABS190" s="65"/>
      <c r="ABT190" s="65"/>
      <c r="ABU190" s="65"/>
      <c r="ABV190" s="65"/>
      <c r="ABW190" s="65"/>
      <c r="ABX190" s="65"/>
      <c r="ABY190" s="65"/>
      <c r="ABZ190" s="65"/>
      <c r="ACA190" s="65"/>
      <c r="ACB190" s="65"/>
      <c r="ACC190" s="65"/>
      <c r="ACD190" s="65"/>
      <c r="ACE190" s="65"/>
      <c r="ACF190" s="65"/>
      <c r="ACG190" s="65"/>
      <c r="ACH190" s="65"/>
      <c r="ACI190" s="65"/>
      <c r="ACJ190" s="65"/>
      <c r="ACK190" s="65"/>
      <c r="ACL190" s="65"/>
      <c r="ACM190" s="65"/>
      <c r="ACN190" s="65"/>
      <c r="ACO190" s="65"/>
      <c r="ACP190" s="65"/>
      <c r="ACQ190" s="65"/>
      <c r="ACR190" s="65"/>
      <c r="ACS190" s="65"/>
      <c r="ACT190" s="65"/>
      <c r="ACU190" s="65"/>
      <c r="ACV190" s="65"/>
      <c r="ACW190" s="65"/>
      <c r="ACX190" s="65"/>
      <c r="ACY190" s="65"/>
      <c r="ACZ190" s="65"/>
      <c r="ADA190" s="65"/>
      <c r="ADB190" s="65"/>
      <c r="ADC190" s="65"/>
      <c r="ADD190" s="65"/>
      <c r="ADE190" s="65"/>
      <c r="ADF190" s="65"/>
      <c r="ADG190" s="65"/>
      <c r="ADH190" s="65"/>
      <c r="ADI190" s="65"/>
      <c r="ADJ190" s="65"/>
      <c r="ADK190" s="65"/>
      <c r="ADL190" s="65"/>
      <c r="ADM190" s="65"/>
      <c r="ADN190" s="65"/>
      <c r="ADO190" s="65"/>
      <c r="ADP190" s="65"/>
      <c r="ADQ190" s="65"/>
      <c r="ADR190" s="65"/>
      <c r="ADS190" s="65"/>
      <c r="ADT190" s="65"/>
      <c r="ADU190" s="65"/>
      <c r="ADV190" s="65"/>
      <c r="ADW190" s="65"/>
      <c r="ADX190" s="65"/>
      <c r="ADY190" s="65"/>
      <c r="ADZ190" s="65"/>
      <c r="AEA190" s="65"/>
      <c r="AEB190" s="65"/>
      <c r="AEC190" s="65"/>
      <c r="AED190" s="65"/>
      <c r="AEE190" s="65"/>
      <c r="AEF190" s="65"/>
      <c r="AEG190" s="65"/>
      <c r="AEH190" s="65"/>
      <c r="AEI190" s="65"/>
      <c r="AEJ190" s="65"/>
      <c r="AEK190" s="65"/>
      <c r="AEL190" s="65"/>
      <c r="AEM190" s="65"/>
      <c r="AEN190" s="65"/>
      <c r="AEO190" s="65"/>
      <c r="AEP190" s="65"/>
      <c r="AEQ190" s="65"/>
      <c r="AER190" s="65"/>
      <c r="AES190" s="65"/>
      <c r="AET190" s="65"/>
      <c r="AEU190" s="65"/>
      <c r="AEV190" s="65"/>
      <c r="AEW190" s="65"/>
      <c r="AEX190" s="65"/>
      <c r="AEY190" s="65"/>
      <c r="AEZ190" s="65"/>
      <c r="AFA190" s="65"/>
      <c r="AFB190" s="65"/>
      <c r="AFC190" s="65"/>
      <c r="AFD190" s="65"/>
      <c r="AFE190" s="65"/>
      <c r="AFF190" s="65"/>
      <c r="AFG190" s="65"/>
      <c r="AFH190" s="65"/>
      <c r="AFI190" s="65"/>
      <c r="AFJ190" s="65"/>
      <c r="AFK190" s="65"/>
      <c r="AFL190" s="65"/>
      <c r="AFM190" s="65"/>
      <c r="AFN190" s="65"/>
      <c r="AFO190" s="65"/>
      <c r="AFP190" s="65"/>
      <c r="AFQ190" s="65"/>
      <c r="AFR190" s="65"/>
      <c r="AFS190" s="65"/>
      <c r="AFT190" s="65"/>
      <c r="AFU190" s="65"/>
      <c r="AFV190" s="65"/>
      <c r="AFW190" s="65"/>
      <c r="AFX190" s="65"/>
      <c r="AFY190" s="65"/>
      <c r="AFZ190" s="65"/>
      <c r="AGA190" s="65"/>
      <c r="AGB190" s="65"/>
      <c r="AGC190" s="65"/>
      <c r="AGD190" s="65"/>
      <c r="AGE190" s="65"/>
      <c r="AGF190" s="65"/>
      <c r="AGG190" s="65"/>
      <c r="AGH190" s="65"/>
      <c r="AGI190" s="65"/>
      <c r="AGJ190" s="65"/>
      <c r="AGK190" s="65"/>
      <c r="AGL190" s="65"/>
      <c r="AGM190" s="65"/>
      <c r="AGN190" s="65"/>
      <c r="AGO190" s="65"/>
      <c r="AGP190" s="65"/>
      <c r="AGQ190" s="65"/>
      <c r="AGR190" s="65"/>
      <c r="AGS190" s="65"/>
      <c r="AGT190" s="65"/>
      <c r="AGU190" s="65"/>
      <c r="AGV190" s="65"/>
      <c r="AGW190" s="65"/>
      <c r="AGX190" s="65"/>
      <c r="AGY190" s="65"/>
      <c r="AGZ190" s="65"/>
      <c r="AHA190" s="65"/>
      <c r="AHB190" s="65"/>
      <c r="AHC190" s="65"/>
      <c r="AHD190" s="65"/>
      <c r="AHE190" s="65"/>
      <c r="AHF190" s="65"/>
      <c r="AHG190" s="65"/>
      <c r="AHH190" s="65"/>
      <c r="AHI190" s="65"/>
      <c r="AHJ190" s="65"/>
      <c r="AHK190" s="65"/>
      <c r="AHL190" s="65"/>
      <c r="AHM190" s="65"/>
      <c r="AHN190" s="65"/>
      <c r="AHO190" s="65"/>
      <c r="AHP190" s="65"/>
      <c r="AHQ190" s="65"/>
      <c r="AHR190" s="65"/>
      <c r="AHS190" s="65"/>
      <c r="AHT190" s="65"/>
      <c r="AHU190" s="65"/>
      <c r="AHV190" s="65"/>
      <c r="AHW190" s="65"/>
      <c r="AHX190" s="65"/>
      <c r="AHY190" s="65"/>
      <c r="AHZ190" s="65"/>
      <c r="AIA190" s="65"/>
      <c r="AIB190" s="65"/>
      <c r="AIC190" s="65"/>
      <c r="AID190" s="65"/>
      <c r="AIE190" s="65"/>
      <c r="AIF190" s="65"/>
      <c r="AIG190" s="65"/>
      <c r="AIH190" s="65"/>
      <c r="AII190" s="65"/>
      <c r="AIJ190" s="65"/>
      <c r="AIK190" s="65"/>
      <c r="AIL190" s="65"/>
      <c r="AIM190" s="65"/>
      <c r="AIN190" s="65"/>
      <c r="AIO190" s="65"/>
      <c r="AIP190" s="65"/>
      <c r="AIQ190" s="65"/>
      <c r="AIR190" s="65"/>
      <c r="AIS190" s="65"/>
      <c r="AIT190" s="65"/>
      <c r="AIU190" s="65"/>
      <c r="AIV190" s="65"/>
      <c r="AIW190" s="65"/>
      <c r="AIX190" s="65"/>
      <c r="AIY190" s="65"/>
      <c r="AIZ190" s="65"/>
      <c r="AJA190" s="65"/>
      <c r="AJB190" s="65"/>
      <c r="AJC190" s="65"/>
      <c r="AJD190" s="65"/>
      <c r="AJE190" s="65"/>
      <c r="AJF190" s="65"/>
      <c r="AJG190" s="65"/>
      <c r="AJH190" s="65"/>
      <c r="AJI190" s="65"/>
      <c r="AJJ190" s="65"/>
      <c r="AJK190" s="65"/>
      <c r="AJL190" s="65"/>
      <c r="AJM190" s="65"/>
      <c r="AJN190" s="65"/>
      <c r="AJO190" s="65"/>
      <c r="AJP190" s="65"/>
      <c r="AJQ190" s="65"/>
      <c r="AJR190" s="65"/>
      <c r="AJS190" s="65"/>
      <c r="AJT190" s="65"/>
      <c r="AJU190" s="65"/>
      <c r="AJV190" s="65"/>
      <c r="AJW190" s="65"/>
      <c r="AJX190" s="65"/>
      <c r="AJY190" s="65"/>
      <c r="AJZ190" s="65"/>
      <c r="AKA190" s="65"/>
      <c r="AKB190" s="65"/>
      <c r="AKC190" s="65"/>
      <c r="AKD190" s="65"/>
      <c r="AKE190" s="65"/>
      <c r="AKF190" s="65"/>
      <c r="AKG190" s="65"/>
      <c r="AKH190" s="65"/>
      <c r="AKI190" s="65"/>
      <c r="AKJ190" s="65"/>
      <c r="AKK190" s="65"/>
      <c r="AKL190" s="65"/>
      <c r="AKM190" s="65"/>
      <c r="AKN190" s="65"/>
      <c r="AKO190" s="65"/>
      <c r="AKP190" s="65"/>
      <c r="AKQ190" s="65"/>
      <c r="AKR190" s="65"/>
      <c r="AKS190" s="65"/>
      <c r="AKT190" s="65"/>
      <c r="AKU190" s="65"/>
      <c r="AKV190" s="65"/>
      <c r="AKW190" s="65"/>
      <c r="AKX190" s="65"/>
      <c r="AKY190" s="65"/>
      <c r="AKZ190" s="65"/>
      <c r="ALA190" s="65"/>
      <c r="ALB190" s="65"/>
      <c r="ALC190" s="65"/>
      <c r="ALD190" s="65"/>
      <c r="ALE190" s="65"/>
      <c r="ALF190" s="65"/>
      <c r="ALG190" s="65"/>
      <c r="ALH190" s="65"/>
      <c r="ALI190" s="65"/>
      <c r="ALJ190" s="65"/>
      <c r="ALK190" s="65"/>
      <c r="ALL190" s="65"/>
      <c r="ALM190" s="65"/>
      <c r="ALN190" s="65"/>
      <c r="ALO190" s="65"/>
      <c r="ALP190" s="65"/>
      <c r="ALQ190" s="65"/>
      <c r="ALR190" s="65"/>
      <c r="ALS190" s="65"/>
      <c r="ALT190" s="65"/>
      <c r="ALU190" s="65"/>
      <c r="ALV190" s="65"/>
      <c r="ALW190" s="65"/>
      <c r="ALX190" s="65"/>
      <c r="ALY190" s="65"/>
      <c r="ALZ190" s="65"/>
      <c r="AMA190" s="65"/>
      <c r="AMB190" s="65"/>
      <c r="AMC190" s="65"/>
      <c r="AMD190" s="65"/>
      <c r="AME190" s="65"/>
      <c r="AMF190" s="65"/>
      <c r="AMG190" s="65"/>
      <c r="AMH190" s="65"/>
      <c r="AMI190" s="65"/>
      <c r="AMJ190" s="65"/>
      <c r="AMK190" s="65"/>
      <c r="AML190" s="65"/>
      <c r="AMM190" s="65"/>
      <c r="AMN190" s="65"/>
      <c r="AMO190" s="65"/>
      <c r="AMP190" s="65"/>
      <c r="AMQ190" s="65"/>
      <c r="AMR190" s="65"/>
      <c r="AMS190" s="65"/>
      <c r="AMT190" s="65"/>
      <c r="AMU190" s="65"/>
      <c r="AMV190" s="65"/>
      <c r="AMW190" s="65"/>
      <c r="AMX190" s="65"/>
      <c r="AMY190" s="65"/>
      <c r="AMZ190" s="65"/>
      <c r="ANA190" s="65"/>
      <c r="ANB190" s="65"/>
      <c r="ANC190" s="65"/>
      <c r="AND190" s="65"/>
      <c r="ANE190" s="65"/>
      <c r="ANF190" s="65"/>
      <c r="ANG190" s="65"/>
      <c r="ANH190" s="65"/>
      <c r="ANI190" s="65"/>
      <c r="ANJ190" s="65"/>
      <c r="ANK190" s="65"/>
      <c r="ANL190" s="65"/>
      <c r="ANM190" s="65"/>
      <c r="ANN190" s="65"/>
      <c r="ANO190" s="65"/>
      <c r="ANP190" s="65"/>
      <c r="ANQ190" s="65"/>
      <c r="ANR190" s="65"/>
      <c r="ANS190" s="65"/>
      <c r="ANT190" s="65"/>
      <c r="ANU190" s="65"/>
      <c r="ANV190" s="65"/>
      <c r="ANW190" s="65"/>
      <c r="ANX190" s="65"/>
      <c r="ANY190" s="65"/>
      <c r="ANZ190" s="65"/>
      <c r="AOA190" s="65"/>
      <c r="AOB190" s="65"/>
      <c r="AOC190" s="65"/>
      <c r="AOD190" s="65"/>
      <c r="AOE190" s="65"/>
      <c r="AOF190" s="65"/>
      <c r="AOG190" s="65"/>
      <c r="AOH190" s="65"/>
      <c r="AOI190" s="65"/>
      <c r="AOJ190" s="65"/>
      <c r="AOK190" s="65"/>
      <c r="AOL190" s="65"/>
      <c r="AOM190" s="65"/>
      <c r="AON190" s="65"/>
      <c r="AOO190" s="65"/>
      <c r="AOP190" s="65"/>
      <c r="AOQ190" s="65"/>
      <c r="AOR190" s="65"/>
      <c r="AOS190" s="65"/>
      <c r="AOT190" s="65"/>
      <c r="AOU190" s="65"/>
      <c r="AOV190" s="65"/>
      <c r="AOW190" s="65"/>
      <c r="AOX190" s="65"/>
      <c r="AOY190" s="65"/>
      <c r="AOZ190" s="65"/>
      <c r="APA190" s="65"/>
      <c r="APB190" s="65"/>
      <c r="APC190" s="65"/>
      <c r="APD190" s="65"/>
      <c r="APE190" s="65"/>
      <c r="APF190" s="65"/>
      <c r="APG190" s="65"/>
      <c r="APH190" s="65"/>
      <c r="API190" s="65"/>
      <c r="APJ190" s="65"/>
      <c r="APK190" s="65"/>
      <c r="APL190" s="65"/>
      <c r="APM190" s="65"/>
      <c r="APN190" s="65"/>
      <c r="APO190" s="65"/>
      <c r="APP190" s="65"/>
      <c r="APQ190" s="65"/>
      <c r="APR190" s="65"/>
      <c r="APS190" s="65"/>
      <c r="APT190" s="65"/>
      <c r="APU190" s="65"/>
      <c r="APV190" s="65"/>
      <c r="APW190" s="65"/>
      <c r="APX190" s="65"/>
      <c r="APY190" s="65"/>
      <c r="APZ190" s="65"/>
      <c r="AQA190" s="65"/>
      <c r="AQB190" s="65"/>
      <c r="AQC190" s="65"/>
      <c r="AQD190" s="65"/>
      <c r="AQE190" s="65"/>
      <c r="AQF190" s="65"/>
      <c r="AQG190" s="65"/>
      <c r="AQH190" s="65"/>
      <c r="AQI190" s="65"/>
      <c r="AQJ190" s="65"/>
      <c r="AQK190" s="65"/>
      <c r="AQL190" s="65"/>
      <c r="AQM190" s="65"/>
      <c r="AQN190" s="65"/>
      <c r="AQO190" s="65"/>
      <c r="AQP190" s="65"/>
      <c r="AQQ190" s="65"/>
      <c r="AQR190" s="65"/>
      <c r="AQS190" s="65"/>
      <c r="AQT190" s="65"/>
      <c r="AQU190" s="65"/>
      <c r="AQV190" s="65"/>
      <c r="AQW190" s="65"/>
      <c r="AQX190" s="65"/>
      <c r="AQY190" s="65"/>
      <c r="AQZ190" s="65"/>
      <c r="ARA190" s="65"/>
      <c r="ARB190" s="65"/>
      <c r="ARC190" s="65"/>
      <c r="ARD190" s="65"/>
      <c r="ARE190" s="65"/>
      <c r="ARF190" s="65"/>
      <c r="ARG190" s="65"/>
      <c r="ARH190" s="65"/>
      <c r="ARI190" s="65"/>
      <c r="ARJ190" s="65"/>
      <c r="ARK190" s="65"/>
      <c r="ARL190" s="65"/>
      <c r="ARM190" s="65"/>
      <c r="ARN190" s="65"/>
      <c r="ARO190" s="65"/>
      <c r="ARP190" s="65"/>
      <c r="ARQ190" s="65"/>
      <c r="ARR190" s="65"/>
      <c r="ARS190" s="65"/>
      <c r="ART190" s="65"/>
      <c r="ARU190" s="65"/>
      <c r="ARV190" s="65"/>
      <c r="ARW190" s="65"/>
      <c r="ARX190" s="65"/>
      <c r="ARY190" s="65"/>
      <c r="ARZ190" s="65"/>
      <c r="ASA190" s="65"/>
      <c r="ASB190" s="65"/>
      <c r="ASC190" s="65"/>
      <c r="ASD190" s="65"/>
      <c r="ASE190" s="65"/>
      <c r="ASF190" s="65"/>
      <c r="ASG190" s="65"/>
      <c r="ASH190" s="65"/>
      <c r="ASI190" s="65"/>
      <c r="ASJ190" s="65"/>
      <c r="ASK190" s="65"/>
      <c r="ASL190" s="65"/>
      <c r="ASM190" s="65"/>
      <c r="ASN190" s="65"/>
      <c r="ASO190" s="65"/>
      <c r="ASP190" s="65"/>
      <c r="ASQ190" s="65"/>
      <c r="ASR190" s="65"/>
      <c r="ASS190" s="65"/>
      <c r="AST190" s="65"/>
      <c r="ASU190" s="65"/>
      <c r="ASV190" s="65"/>
      <c r="ASW190" s="65"/>
      <c r="ASX190" s="65"/>
      <c r="ASY190" s="65"/>
      <c r="ASZ190" s="65"/>
      <c r="ATA190" s="65"/>
      <c r="ATB190" s="65"/>
      <c r="ATC190" s="65"/>
      <c r="ATD190" s="65"/>
      <c r="ATE190" s="65"/>
      <c r="ATF190" s="65"/>
      <c r="ATG190" s="65"/>
      <c r="ATH190" s="65"/>
      <c r="ATI190" s="65"/>
      <c r="ATJ190" s="65"/>
      <c r="ATK190" s="65"/>
      <c r="ATL190" s="65"/>
      <c r="ATM190" s="65"/>
      <c r="ATN190" s="65"/>
      <c r="ATO190" s="65"/>
      <c r="ATP190" s="65"/>
      <c r="ATQ190" s="65"/>
      <c r="ATR190" s="65"/>
      <c r="ATS190" s="65"/>
      <c r="ATT190" s="65"/>
      <c r="ATU190" s="65"/>
      <c r="ATV190" s="65"/>
      <c r="ATW190" s="65"/>
      <c r="ATX190" s="65"/>
      <c r="ATY190" s="65"/>
      <c r="ATZ190" s="65"/>
      <c r="AUA190" s="65"/>
      <c r="AUB190" s="65"/>
      <c r="AUC190" s="65"/>
      <c r="AUD190" s="65"/>
      <c r="AUE190" s="65"/>
      <c r="AUF190" s="65"/>
      <c r="AUG190" s="65"/>
      <c r="AUH190" s="65"/>
      <c r="AUI190" s="65"/>
      <c r="AUJ190" s="65"/>
      <c r="AUK190" s="65"/>
      <c r="AUL190" s="65"/>
      <c r="AUM190" s="65"/>
      <c r="AUN190" s="65"/>
      <c r="AUO190" s="65"/>
      <c r="AUP190" s="65"/>
      <c r="AUQ190" s="65"/>
      <c r="AUR190" s="65"/>
      <c r="AUS190" s="65"/>
      <c r="AUT190" s="65"/>
      <c r="AUU190" s="65"/>
      <c r="AUV190" s="65"/>
      <c r="AUW190" s="65"/>
      <c r="AUX190" s="65"/>
      <c r="AUY190" s="65"/>
      <c r="AUZ190" s="65"/>
      <c r="AVA190" s="65"/>
      <c r="AVB190" s="65"/>
      <c r="AVC190" s="65"/>
      <c r="AVD190" s="65"/>
      <c r="AVE190" s="65"/>
      <c r="AVF190" s="65"/>
      <c r="AVG190" s="65"/>
      <c r="AVH190" s="65"/>
      <c r="AVI190" s="65"/>
      <c r="AVJ190" s="65"/>
      <c r="AVK190" s="65"/>
      <c r="AVL190" s="65"/>
      <c r="AVM190" s="65"/>
      <c r="AVN190" s="65"/>
      <c r="AVO190" s="65"/>
      <c r="AVP190" s="65"/>
      <c r="AVQ190" s="65"/>
      <c r="AVR190" s="65"/>
      <c r="AVS190" s="65"/>
      <c r="AVT190" s="65"/>
      <c r="AVU190" s="65"/>
      <c r="AVV190" s="65"/>
      <c r="AVW190" s="65"/>
      <c r="AVX190" s="65"/>
      <c r="AVY190" s="65"/>
      <c r="AVZ190" s="65"/>
      <c r="AWA190" s="65"/>
      <c r="AWB190" s="65"/>
      <c r="AWC190" s="65"/>
      <c r="AWD190" s="65"/>
      <c r="AWE190" s="65"/>
      <c r="AWF190" s="65"/>
      <c r="AWG190" s="65"/>
      <c r="AWH190" s="65"/>
      <c r="AWI190" s="65"/>
      <c r="AWJ190" s="65"/>
      <c r="AWK190" s="65"/>
      <c r="AWL190" s="65"/>
      <c r="AWM190" s="65"/>
      <c r="AWN190" s="65"/>
      <c r="AWO190" s="65"/>
      <c r="AWP190" s="65"/>
      <c r="AWQ190" s="65"/>
      <c r="AWR190" s="65"/>
      <c r="AWS190" s="65"/>
      <c r="AWT190" s="65"/>
      <c r="AWU190" s="65"/>
      <c r="AWV190" s="65"/>
      <c r="AWW190" s="65"/>
      <c r="AWX190" s="65"/>
      <c r="AWY190" s="65"/>
      <c r="AWZ190" s="65"/>
      <c r="AXA190" s="65"/>
      <c r="AXB190" s="65"/>
      <c r="AXC190" s="65"/>
      <c r="AXD190" s="65"/>
      <c r="AXE190" s="65"/>
      <c r="AXF190" s="65"/>
      <c r="AXG190" s="65"/>
      <c r="AXH190" s="65"/>
      <c r="AXI190" s="65"/>
      <c r="AXJ190" s="65"/>
      <c r="AXK190" s="65"/>
      <c r="AXL190" s="65"/>
      <c r="AXM190" s="65"/>
      <c r="AXN190" s="65"/>
      <c r="AXO190" s="65"/>
      <c r="AXP190" s="65"/>
      <c r="AXQ190" s="65"/>
      <c r="AXR190" s="65"/>
      <c r="AXS190" s="65"/>
      <c r="AXT190" s="65"/>
      <c r="AXU190" s="65"/>
      <c r="AXV190" s="65"/>
      <c r="AXW190" s="65"/>
      <c r="AXX190" s="65"/>
      <c r="AXY190" s="65"/>
      <c r="AXZ190" s="65"/>
      <c r="AYA190" s="65"/>
      <c r="AYB190" s="65"/>
      <c r="AYC190" s="65"/>
      <c r="AYD190" s="65"/>
      <c r="AYE190" s="65"/>
      <c r="AYF190" s="65"/>
      <c r="AYG190" s="65"/>
      <c r="AYH190" s="65"/>
      <c r="AYI190" s="65"/>
      <c r="AYJ190" s="65"/>
      <c r="AYK190" s="65"/>
      <c r="AYL190" s="65"/>
      <c r="AYM190" s="65"/>
      <c r="AYN190" s="65"/>
      <c r="AYO190" s="65"/>
      <c r="AYP190" s="65"/>
      <c r="AYQ190" s="65"/>
      <c r="AYR190" s="65"/>
      <c r="AYS190" s="65"/>
      <c r="AYT190" s="65"/>
      <c r="AYU190" s="65"/>
      <c r="AYV190" s="65"/>
      <c r="AYW190" s="65"/>
      <c r="AYX190" s="65"/>
      <c r="AYY190" s="65"/>
      <c r="AYZ190" s="65"/>
      <c r="AZA190" s="65"/>
      <c r="AZB190" s="65"/>
      <c r="AZC190" s="65"/>
      <c r="AZD190" s="65"/>
      <c r="AZE190" s="65"/>
      <c r="AZF190" s="65"/>
      <c r="AZG190" s="65"/>
      <c r="AZH190" s="65"/>
      <c r="AZI190" s="65"/>
      <c r="AZJ190" s="65"/>
      <c r="AZK190" s="65"/>
      <c r="AZL190" s="65"/>
      <c r="AZM190" s="65"/>
      <c r="AZN190" s="65"/>
      <c r="AZO190" s="65"/>
      <c r="AZP190" s="65"/>
      <c r="AZQ190" s="65"/>
      <c r="AZR190" s="65"/>
      <c r="AZS190" s="65"/>
      <c r="AZT190" s="65"/>
      <c r="AZU190" s="65"/>
      <c r="AZV190" s="65"/>
      <c r="AZW190" s="65"/>
      <c r="AZX190" s="65"/>
      <c r="AZY190" s="65"/>
      <c r="AZZ190" s="65"/>
      <c r="BAA190" s="65"/>
      <c r="BAB190" s="65"/>
      <c r="BAC190" s="65"/>
      <c r="BAD190" s="65"/>
      <c r="BAE190" s="65"/>
      <c r="BAF190" s="65"/>
      <c r="BAG190" s="65"/>
      <c r="BAH190" s="65"/>
      <c r="BAI190" s="65"/>
      <c r="BAJ190" s="65"/>
      <c r="BAK190" s="65"/>
      <c r="BAL190" s="65"/>
      <c r="BAM190" s="65"/>
      <c r="BAN190" s="65"/>
      <c r="BAO190" s="65"/>
      <c r="BAP190" s="65"/>
      <c r="BAQ190" s="65"/>
      <c r="BAR190" s="65"/>
      <c r="BAS190" s="65"/>
      <c r="BAT190" s="65"/>
      <c r="BAU190" s="65"/>
      <c r="BAV190" s="65"/>
      <c r="BAW190" s="65"/>
      <c r="BAX190" s="65"/>
      <c r="BAY190" s="65"/>
      <c r="BAZ190" s="65"/>
      <c r="BBA190" s="65"/>
      <c r="BBB190" s="65"/>
      <c r="BBC190" s="65"/>
      <c r="BBD190" s="65"/>
      <c r="BBE190" s="65"/>
      <c r="BBF190" s="65"/>
      <c r="BBG190" s="65"/>
      <c r="BBH190" s="65"/>
      <c r="BBI190" s="65"/>
      <c r="BBJ190" s="65"/>
      <c r="BBK190" s="65"/>
      <c r="BBL190" s="65"/>
      <c r="BBM190" s="65"/>
      <c r="BBN190" s="65"/>
      <c r="BBO190" s="65"/>
      <c r="BBP190" s="65"/>
      <c r="BBQ190" s="65"/>
      <c r="BBR190" s="65"/>
      <c r="BBS190" s="65"/>
      <c r="BBT190" s="65"/>
      <c r="BBU190" s="65"/>
      <c r="BBV190" s="65"/>
      <c r="BBW190" s="65"/>
      <c r="BBX190" s="65"/>
      <c r="BBY190" s="65"/>
      <c r="BBZ190" s="65"/>
      <c r="BCA190" s="65"/>
      <c r="BCB190" s="65"/>
      <c r="BCC190" s="65"/>
      <c r="BCD190" s="65"/>
      <c r="BCE190" s="65"/>
      <c r="BCF190" s="65"/>
      <c r="BCG190" s="65"/>
      <c r="BCH190" s="65"/>
      <c r="BCI190" s="65"/>
      <c r="BCJ190" s="65"/>
      <c r="BCK190" s="65"/>
      <c r="BCL190" s="65"/>
      <c r="BCM190" s="65"/>
      <c r="BCN190" s="65"/>
      <c r="BCO190" s="65"/>
      <c r="BCP190" s="65"/>
      <c r="BCQ190" s="65"/>
      <c r="BCR190" s="65"/>
      <c r="BCS190" s="65"/>
      <c r="BCT190" s="65"/>
      <c r="BCU190" s="65"/>
      <c r="BCV190" s="65"/>
      <c r="BCW190" s="65"/>
      <c r="BCX190" s="65"/>
      <c r="BCY190" s="65"/>
      <c r="BCZ190" s="65"/>
      <c r="BDA190" s="65"/>
      <c r="BDB190" s="65"/>
      <c r="BDC190" s="65"/>
      <c r="BDD190" s="65"/>
      <c r="BDE190" s="65"/>
      <c r="BDF190" s="65"/>
      <c r="BDG190" s="65"/>
      <c r="BDH190" s="65"/>
      <c r="BDI190" s="65"/>
      <c r="BDJ190" s="65"/>
      <c r="BDK190" s="65"/>
      <c r="BDL190" s="65"/>
      <c r="BDM190" s="65"/>
      <c r="BDN190" s="65"/>
      <c r="BDO190" s="65"/>
      <c r="BDP190" s="65"/>
      <c r="BDQ190" s="65"/>
      <c r="BDR190" s="65"/>
      <c r="BDS190" s="65"/>
      <c r="BDT190" s="65"/>
      <c r="BDU190" s="65"/>
      <c r="BDV190" s="65"/>
      <c r="BDW190" s="65"/>
      <c r="BDX190" s="65"/>
      <c r="BDY190" s="65"/>
      <c r="BDZ190" s="65"/>
      <c r="BEA190" s="65"/>
      <c r="BEB190" s="65"/>
      <c r="BEC190" s="65"/>
      <c r="BED190" s="65"/>
      <c r="BEE190" s="65"/>
      <c r="BEF190" s="65"/>
      <c r="BEG190" s="65"/>
      <c r="BEH190" s="65"/>
      <c r="BEI190" s="65"/>
      <c r="BEJ190" s="65"/>
      <c r="BEK190" s="65"/>
      <c r="BEL190" s="65"/>
      <c r="BEM190" s="65"/>
      <c r="BEN190" s="65"/>
      <c r="BEO190" s="65"/>
      <c r="BEP190" s="65"/>
      <c r="BEQ190" s="65"/>
      <c r="BER190" s="65"/>
      <c r="BES190" s="65"/>
      <c r="BET190" s="65"/>
      <c r="BEU190" s="65"/>
      <c r="BEV190" s="65"/>
      <c r="BEW190" s="65"/>
      <c r="BEX190" s="65"/>
      <c r="BEY190" s="65"/>
      <c r="BEZ190" s="65"/>
      <c r="BFA190" s="65"/>
      <c r="BFB190" s="65"/>
      <c r="BFC190" s="65"/>
      <c r="BFD190" s="65"/>
      <c r="BFE190" s="65"/>
      <c r="BFF190" s="65"/>
      <c r="BFG190" s="65"/>
      <c r="BFH190" s="65"/>
      <c r="BFI190" s="65"/>
      <c r="BFJ190" s="65"/>
      <c r="BFK190" s="65"/>
      <c r="BFL190" s="65"/>
      <c r="BFM190" s="65"/>
      <c r="BFN190" s="65"/>
      <c r="BFO190" s="65"/>
      <c r="BFP190" s="65"/>
      <c r="BFQ190" s="65"/>
      <c r="BFR190" s="65"/>
      <c r="BFS190" s="65"/>
      <c r="BFT190" s="65"/>
      <c r="BFU190" s="65"/>
      <c r="BFV190" s="65"/>
      <c r="BFW190" s="65"/>
      <c r="BFX190" s="65"/>
      <c r="BFY190" s="65"/>
      <c r="BFZ190" s="65"/>
      <c r="BGA190" s="65"/>
      <c r="BGB190" s="65"/>
      <c r="BGC190" s="65"/>
      <c r="BGD190" s="65"/>
      <c r="BGE190" s="65"/>
      <c r="BGF190" s="65"/>
      <c r="BGG190" s="65"/>
      <c r="BGH190" s="65"/>
      <c r="BGI190" s="65"/>
      <c r="BGJ190" s="65"/>
      <c r="BGK190" s="65"/>
      <c r="BGL190" s="65"/>
      <c r="BGM190" s="65"/>
      <c r="BGN190" s="65"/>
      <c r="BGO190" s="65"/>
      <c r="BGP190" s="65"/>
      <c r="BGQ190" s="65"/>
      <c r="BGR190" s="65"/>
      <c r="BGS190" s="65"/>
      <c r="BGT190" s="65"/>
      <c r="BGU190" s="65"/>
      <c r="BGV190" s="65"/>
      <c r="BGW190" s="65"/>
      <c r="BGX190" s="65"/>
      <c r="BGY190" s="65"/>
      <c r="BGZ190" s="65"/>
      <c r="BHA190" s="65"/>
      <c r="BHB190" s="65"/>
      <c r="BHC190" s="65"/>
      <c r="BHD190" s="65"/>
      <c r="BHE190" s="65"/>
      <c r="BHF190" s="65"/>
      <c r="BHG190" s="65"/>
      <c r="BHH190" s="65"/>
      <c r="BHI190" s="65"/>
      <c r="BHJ190" s="65"/>
      <c r="BHK190" s="65"/>
      <c r="BHL190" s="65"/>
      <c r="BHM190" s="65"/>
      <c r="BHN190" s="65"/>
      <c r="BHO190" s="65"/>
      <c r="BHP190" s="65"/>
      <c r="BHQ190" s="65"/>
      <c r="BHR190" s="65"/>
      <c r="BHS190" s="65"/>
      <c r="BHT190" s="65"/>
      <c r="BHU190" s="65"/>
      <c r="BHV190" s="65"/>
      <c r="BHW190" s="65"/>
      <c r="BHX190" s="65"/>
      <c r="BHY190" s="65"/>
      <c r="BHZ190" s="65"/>
      <c r="BIA190" s="65"/>
      <c r="BIB190" s="65"/>
      <c r="BIC190" s="65"/>
      <c r="BID190" s="65"/>
      <c r="BIE190" s="65"/>
      <c r="BIF190" s="65"/>
      <c r="BIG190" s="65"/>
      <c r="BIH190" s="65"/>
      <c r="BII190" s="65"/>
      <c r="BIJ190" s="65"/>
      <c r="BIK190" s="65"/>
      <c r="BIL190" s="65"/>
      <c r="BIM190" s="65"/>
      <c r="BIN190" s="65"/>
      <c r="BIO190" s="65"/>
      <c r="BIP190" s="65"/>
      <c r="BIQ190" s="65"/>
      <c r="BIR190" s="65"/>
      <c r="BIS190" s="65"/>
      <c r="BIT190" s="65"/>
      <c r="BIU190" s="65"/>
      <c r="BIV190" s="65"/>
      <c r="BIW190" s="65"/>
      <c r="BIX190" s="65"/>
      <c r="BIY190" s="65"/>
      <c r="BIZ190" s="65"/>
      <c r="BJA190" s="65"/>
      <c r="BJB190" s="65"/>
      <c r="BJC190" s="65"/>
      <c r="BJD190" s="65"/>
      <c r="BJE190" s="65"/>
      <c r="BJF190" s="65"/>
      <c r="BJG190" s="65"/>
      <c r="BJH190" s="65"/>
      <c r="BJI190" s="65"/>
      <c r="BJJ190" s="65"/>
      <c r="BJK190" s="65"/>
      <c r="BJL190" s="65"/>
      <c r="BJM190" s="65"/>
      <c r="BJN190" s="65"/>
      <c r="BJO190" s="65"/>
      <c r="BJP190" s="65"/>
      <c r="BJQ190" s="65"/>
      <c r="BJR190" s="65"/>
      <c r="BJS190" s="65"/>
      <c r="BJT190" s="65"/>
      <c r="BJU190" s="65"/>
      <c r="BJV190" s="65"/>
      <c r="BJW190" s="65"/>
      <c r="BJX190" s="65"/>
      <c r="BJY190" s="65"/>
      <c r="BJZ190" s="65"/>
      <c r="BKA190" s="65"/>
      <c r="BKB190" s="65"/>
      <c r="BKC190" s="65"/>
      <c r="BKD190" s="65"/>
      <c r="BKE190" s="65"/>
      <c r="BKF190" s="65"/>
      <c r="BKG190" s="65"/>
      <c r="BKH190" s="65"/>
      <c r="BKI190" s="65"/>
      <c r="BKJ190" s="65"/>
      <c r="BKK190" s="65"/>
      <c r="BKL190" s="65"/>
      <c r="BKM190" s="65"/>
      <c r="BKN190" s="65"/>
      <c r="BKO190" s="65"/>
      <c r="BKP190" s="65"/>
      <c r="BKQ190" s="65"/>
      <c r="BKR190" s="65"/>
      <c r="BKS190" s="65"/>
      <c r="BKT190" s="65"/>
      <c r="BKU190" s="65"/>
      <c r="BKV190" s="65"/>
      <c r="BKW190" s="65"/>
      <c r="BKX190" s="65"/>
      <c r="BKY190" s="65"/>
      <c r="BKZ190" s="65"/>
      <c r="BLA190" s="65"/>
      <c r="BLB190" s="65"/>
      <c r="BLC190" s="65"/>
      <c r="BLD190" s="65"/>
      <c r="BLE190" s="65"/>
      <c r="BLF190" s="65"/>
      <c r="BLG190" s="65"/>
      <c r="BLH190" s="65"/>
      <c r="BLI190" s="65"/>
      <c r="BLJ190" s="65"/>
      <c r="BLK190" s="65"/>
      <c r="BLL190" s="65"/>
      <c r="BLM190" s="65"/>
      <c r="BLN190" s="65"/>
      <c r="BLO190" s="65"/>
      <c r="BLP190" s="65"/>
      <c r="BLQ190" s="65"/>
      <c r="BLR190" s="65"/>
      <c r="BLS190" s="65"/>
      <c r="BLT190" s="65"/>
      <c r="BLU190" s="65"/>
      <c r="BLV190" s="65"/>
      <c r="BLW190" s="65"/>
      <c r="BLX190" s="65"/>
      <c r="BLY190" s="65"/>
      <c r="BLZ190" s="65"/>
      <c r="BMA190" s="65"/>
      <c r="BMB190" s="65"/>
      <c r="BMC190" s="65"/>
      <c r="BMD190" s="65"/>
      <c r="BME190" s="65"/>
      <c r="BMF190" s="65"/>
      <c r="BMG190" s="65"/>
      <c r="BMH190" s="65"/>
      <c r="BMI190" s="65"/>
      <c r="BMJ190" s="65"/>
      <c r="BMK190" s="65"/>
      <c r="BML190" s="65"/>
      <c r="BMM190" s="65"/>
      <c r="BMN190" s="65"/>
      <c r="BMO190" s="65"/>
      <c r="BMP190" s="65"/>
      <c r="BMQ190" s="65"/>
      <c r="BMR190" s="65"/>
      <c r="BMS190" s="65"/>
      <c r="BMT190" s="65"/>
      <c r="BMU190" s="65"/>
      <c r="BMV190" s="65"/>
      <c r="BMW190" s="65"/>
      <c r="BMX190" s="65"/>
      <c r="BMY190" s="65"/>
      <c r="BMZ190" s="65"/>
      <c r="BNA190" s="65"/>
      <c r="BNB190" s="65"/>
      <c r="BNC190" s="65"/>
      <c r="BND190" s="65"/>
      <c r="BNE190" s="65"/>
      <c r="BNF190" s="65"/>
      <c r="BNG190" s="65"/>
      <c r="BNH190" s="65"/>
      <c r="BNI190" s="65"/>
      <c r="BNJ190" s="65"/>
      <c r="BNK190" s="65"/>
      <c r="BNL190" s="65"/>
      <c r="BNM190" s="65"/>
      <c r="BNN190" s="65"/>
      <c r="BNO190" s="65"/>
      <c r="BNP190" s="65"/>
      <c r="BNQ190" s="65"/>
      <c r="BNR190" s="65"/>
      <c r="BNS190" s="65"/>
      <c r="BNT190" s="65"/>
      <c r="BNU190" s="65"/>
      <c r="BNV190" s="65"/>
      <c r="BNW190" s="65"/>
      <c r="BNX190" s="65"/>
      <c r="BNY190" s="65"/>
      <c r="BNZ190" s="65"/>
      <c r="BOA190" s="65"/>
      <c r="BOB190" s="65"/>
      <c r="BOC190" s="65"/>
      <c r="BOD190" s="65"/>
      <c r="BOE190" s="65"/>
      <c r="BOF190" s="65"/>
      <c r="BOG190" s="65"/>
      <c r="BOH190" s="65"/>
      <c r="BOI190" s="65"/>
      <c r="BOJ190" s="65"/>
      <c r="BOK190" s="65"/>
      <c r="BOL190" s="65"/>
      <c r="BOM190" s="65"/>
      <c r="BON190" s="65"/>
      <c r="BOO190" s="65"/>
      <c r="BOP190" s="65"/>
      <c r="BOQ190" s="65"/>
      <c r="BOR190" s="65"/>
      <c r="BOS190" s="65"/>
      <c r="BOT190" s="65"/>
      <c r="BOU190" s="65"/>
      <c r="BOV190" s="65"/>
      <c r="BOW190" s="65"/>
      <c r="BOX190" s="65"/>
      <c r="BOY190" s="65"/>
      <c r="BOZ190" s="65"/>
      <c r="BPA190" s="65"/>
      <c r="BPB190" s="65"/>
      <c r="BPC190" s="65"/>
      <c r="BPD190" s="65"/>
      <c r="BPE190" s="65"/>
      <c r="BPF190" s="65"/>
      <c r="BPG190" s="65"/>
      <c r="BPH190" s="65"/>
      <c r="BPI190" s="65"/>
      <c r="BPJ190" s="65"/>
      <c r="BPK190" s="65"/>
      <c r="BPL190" s="65"/>
      <c r="BPM190" s="65"/>
      <c r="BPN190" s="65"/>
      <c r="BPO190" s="65"/>
      <c r="BPP190" s="65"/>
      <c r="BPQ190" s="65"/>
      <c r="BPR190" s="65"/>
      <c r="BPS190" s="65"/>
      <c r="BPT190" s="65"/>
      <c r="BPU190" s="65"/>
      <c r="BPV190" s="65"/>
      <c r="BPW190" s="65"/>
      <c r="BPX190" s="65"/>
      <c r="BPY190" s="65"/>
      <c r="BPZ190" s="65"/>
      <c r="BQA190" s="65"/>
      <c r="BQB190" s="65"/>
      <c r="BQC190" s="65"/>
      <c r="BQD190" s="65"/>
      <c r="BQE190" s="65"/>
      <c r="BQF190" s="65"/>
      <c r="BQG190" s="65"/>
      <c r="BQH190" s="65"/>
      <c r="BQI190" s="65"/>
      <c r="BQJ190" s="65"/>
      <c r="BQK190" s="65"/>
      <c r="BQL190" s="65"/>
      <c r="BQM190" s="65"/>
      <c r="BQN190" s="65"/>
      <c r="BQO190" s="65"/>
      <c r="BQP190" s="65"/>
      <c r="BQQ190" s="65"/>
      <c r="BQR190" s="65"/>
      <c r="BQS190" s="65"/>
      <c r="BQT190" s="65"/>
      <c r="BQU190" s="65"/>
      <c r="BQV190" s="65"/>
      <c r="BQW190" s="65"/>
      <c r="BQX190" s="65"/>
      <c r="BQY190" s="65"/>
      <c r="BQZ190" s="65"/>
      <c r="BRA190" s="65"/>
      <c r="BRB190" s="65"/>
      <c r="BRC190" s="65"/>
      <c r="BRD190" s="65"/>
      <c r="BRE190" s="65"/>
      <c r="BRF190" s="65"/>
      <c r="BRG190" s="65"/>
      <c r="BRH190" s="65"/>
      <c r="BRI190" s="65"/>
      <c r="BRJ190" s="65"/>
      <c r="BRK190" s="65"/>
      <c r="BRL190" s="65"/>
      <c r="BRM190" s="65"/>
      <c r="BRN190" s="65"/>
      <c r="BRO190" s="65"/>
      <c r="BRP190" s="65"/>
      <c r="BRQ190" s="65"/>
      <c r="BRR190" s="65"/>
      <c r="BRS190" s="65"/>
      <c r="BRT190" s="65"/>
      <c r="BRU190" s="65"/>
      <c r="BRV190" s="65"/>
      <c r="BRW190" s="65"/>
      <c r="BRX190" s="65"/>
      <c r="BRY190" s="65"/>
      <c r="BRZ190" s="65"/>
      <c r="BSA190" s="65"/>
      <c r="BSB190" s="65"/>
      <c r="BSC190" s="65"/>
      <c r="BSD190" s="65"/>
      <c r="BSE190" s="65"/>
      <c r="BSF190" s="65"/>
      <c r="BSG190" s="65"/>
      <c r="BSH190" s="65"/>
      <c r="BSI190" s="65"/>
      <c r="BSJ190" s="65"/>
      <c r="BSK190" s="65"/>
      <c r="BSL190" s="65"/>
      <c r="BSM190" s="65"/>
      <c r="BSN190" s="65"/>
      <c r="BSO190" s="65"/>
      <c r="BSP190" s="65"/>
      <c r="BSQ190" s="65"/>
      <c r="BSR190" s="65"/>
      <c r="BSS190" s="65"/>
      <c r="BST190" s="65"/>
      <c r="BSU190" s="65"/>
      <c r="BSV190" s="65"/>
      <c r="BSW190" s="65"/>
      <c r="BSX190" s="65"/>
      <c r="BSY190" s="65"/>
      <c r="BSZ190" s="65"/>
      <c r="BTA190" s="65"/>
      <c r="BTB190" s="65"/>
      <c r="BTC190" s="65"/>
      <c r="BTD190" s="65"/>
      <c r="BTE190" s="65"/>
      <c r="BTF190" s="65"/>
      <c r="BTG190" s="65"/>
      <c r="BTH190" s="65"/>
      <c r="BTI190" s="65"/>
      <c r="BTJ190" s="65"/>
      <c r="BTK190" s="65"/>
      <c r="BTL190" s="65"/>
      <c r="BTM190" s="65"/>
      <c r="BTN190" s="65"/>
      <c r="BTO190" s="65"/>
      <c r="BTP190" s="65"/>
      <c r="BTQ190" s="65"/>
      <c r="BTR190" s="65"/>
      <c r="BTS190" s="65"/>
      <c r="BTT190" s="65"/>
      <c r="BTU190" s="65"/>
      <c r="BTV190" s="65"/>
      <c r="BTW190" s="65"/>
      <c r="BTX190" s="65"/>
      <c r="BTY190" s="65"/>
      <c r="BTZ190" s="65"/>
      <c r="BUA190" s="65"/>
      <c r="BUB190" s="65"/>
      <c r="BUC190" s="65"/>
      <c r="BUD190" s="65"/>
      <c r="BUE190" s="65"/>
      <c r="BUF190" s="65"/>
      <c r="BUG190" s="65"/>
      <c r="BUH190" s="65"/>
      <c r="BUI190" s="65"/>
      <c r="BUJ190" s="65"/>
      <c r="BUK190" s="65"/>
      <c r="BUL190" s="65"/>
      <c r="BUM190" s="65"/>
      <c r="BUN190" s="65"/>
      <c r="BUO190" s="65"/>
      <c r="BUP190" s="65"/>
      <c r="BUQ190" s="65"/>
      <c r="BUR190" s="65"/>
      <c r="BUS190" s="65"/>
      <c r="BUT190" s="65"/>
      <c r="BUU190" s="65"/>
      <c r="BUV190" s="65"/>
      <c r="BUW190" s="65"/>
      <c r="BUX190" s="65"/>
      <c r="BUY190" s="65"/>
      <c r="BUZ190" s="65"/>
      <c r="BVA190" s="65"/>
      <c r="BVB190" s="65"/>
      <c r="BVC190" s="65"/>
      <c r="BVD190" s="65"/>
      <c r="BVE190" s="65"/>
      <c r="BVF190" s="65"/>
      <c r="BVG190" s="65"/>
      <c r="BVH190" s="65"/>
      <c r="BVI190" s="65"/>
      <c r="BVJ190" s="65"/>
      <c r="BVK190" s="65"/>
      <c r="BVL190" s="65"/>
      <c r="BVM190" s="65"/>
      <c r="BVN190" s="65"/>
      <c r="BVO190" s="65"/>
      <c r="BVP190" s="65"/>
      <c r="BVQ190" s="65"/>
      <c r="BVR190" s="65"/>
      <c r="BVS190" s="65"/>
      <c r="BVT190" s="65"/>
      <c r="BVU190" s="65"/>
      <c r="BVV190" s="65"/>
      <c r="BVW190" s="65"/>
      <c r="BVX190" s="65"/>
      <c r="BVY190" s="65"/>
      <c r="BVZ190" s="65"/>
      <c r="BWA190" s="65"/>
      <c r="BWB190" s="65"/>
      <c r="BWC190" s="65"/>
      <c r="BWD190" s="65"/>
      <c r="BWE190" s="65"/>
      <c r="BWF190" s="65"/>
      <c r="BWG190" s="65"/>
      <c r="BWH190" s="65"/>
      <c r="BWI190" s="65"/>
      <c r="BWJ190" s="65"/>
      <c r="BWK190" s="65"/>
      <c r="BWL190" s="65"/>
      <c r="BWM190" s="65"/>
      <c r="BWN190" s="65"/>
      <c r="BWO190" s="65"/>
      <c r="BWP190" s="65"/>
      <c r="BWQ190" s="65"/>
      <c r="BWR190" s="65"/>
      <c r="BWS190" s="65"/>
      <c r="BWT190" s="65"/>
      <c r="BWU190" s="65"/>
      <c r="BWV190" s="65"/>
      <c r="BWW190" s="65"/>
      <c r="BWX190" s="65"/>
      <c r="BWY190" s="65"/>
      <c r="BWZ190" s="65"/>
      <c r="BXA190" s="65"/>
      <c r="BXB190" s="65"/>
      <c r="BXC190" s="65"/>
      <c r="BXD190" s="65"/>
      <c r="BXE190" s="65"/>
      <c r="BXF190" s="65"/>
      <c r="BXG190" s="65"/>
      <c r="BXH190" s="65"/>
      <c r="BXI190" s="65"/>
      <c r="BXJ190" s="65"/>
      <c r="BXK190" s="65"/>
      <c r="BXL190" s="65"/>
      <c r="BXM190" s="65"/>
      <c r="BXN190" s="65"/>
      <c r="BXO190" s="65"/>
      <c r="BXP190" s="65"/>
      <c r="BXQ190" s="65"/>
      <c r="BXR190" s="65"/>
      <c r="BXS190" s="65"/>
      <c r="BXT190" s="65"/>
      <c r="BXU190" s="65"/>
      <c r="BXV190" s="65"/>
      <c r="BXW190" s="65"/>
      <c r="BXX190" s="65"/>
      <c r="BXY190" s="65"/>
      <c r="BXZ190" s="65"/>
      <c r="BYA190" s="65"/>
      <c r="BYB190" s="65"/>
      <c r="BYC190" s="65"/>
      <c r="BYD190" s="65"/>
      <c r="BYE190" s="65"/>
      <c r="BYF190" s="65"/>
      <c r="BYG190" s="65"/>
      <c r="BYH190" s="65"/>
      <c r="BYI190" s="65"/>
      <c r="BYJ190" s="65"/>
      <c r="BYK190" s="65"/>
      <c r="BYL190" s="65"/>
      <c r="BYM190" s="65"/>
      <c r="BYN190" s="65"/>
      <c r="BYO190" s="65"/>
      <c r="BYP190" s="65"/>
      <c r="BYQ190" s="65"/>
      <c r="BYR190" s="65"/>
      <c r="BYS190" s="65"/>
      <c r="BYT190" s="65"/>
      <c r="BYU190" s="65"/>
      <c r="BYV190" s="65"/>
      <c r="BYW190" s="65"/>
      <c r="BYX190" s="65"/>
      <c r="BYY190" s="65"/>
      <c r="BYZ190" s="65"/>
      <c r="BZA190" s="65"/>
      <c r="BZB190" s="65"/>
      <c r="BZC190" s="65"/>
      <c r="BZD190" s="65"/>
      <c r="BZE190" s="65"/>
      <c r="BZF190" s="65"/>
      <c r="BZG190" s="65"/>
      <c r="BZH190" s="65"/>
      <c r="BZI190" s="65"/>
      <c r="BZJ190" s="65"/>
      <c r="BZK190" s="65"/>
      <c r="BZL190" s="65"/>
      <c r="BZM190" s="65"/>
      <c r="BZN190" s="65"/>
      <c r="BZO190" s="65"/>
      <c r="BZP190" s="65"/>
      <c r="BZQ190" s="65"/>
      <c r="BZR190" s="65"/>
      <c r="BZS190" s="65"/>
      <c r="BZT190" s="65"/>
      <c r="BZU190" s="65"/>
      <c r="BZV190" s="65"/>
      <c r="BZW190" s="65"/>
      <c r="BZX190" s="65"/>
      <c r="BZY190" s="65"/>
      <c r="BZZ190" s="65"/>
      <c r="CAA190" s="65"/>
      <c r="CAB190" s="65"/>
      <c r="CAC190" s="65"/>
      <c r="CAD190" s="65"/>
      <c r="CAE190" s="65"/>
      <c r="CAF190" s="65"/>
      <c r="CAG190" s="65"/>
      <c r="CAH190" s="65"/>
      <c r="CAI190" s="65"/>
      <c r="CAJ190" s="65"/>
      <c r="CAK190" s="65"/>
      <c r="CAL190" s="65"/>
      <c r="CAM190" s="65"/>
      <c r="CAN190" s="65"/>
      <c r="CAO190" s="65"/>
      <c r="CAP190" s="65"/>
      <c r="CAQ190" s="65"/>
      <c r="CAR190" s="65"/>
      <c r="CAS190" s="65"/>
      <c r="CAT190" s="65"/>
      <c r="CAU190" s="65"/>
      <c r="CAV190" s="65"/>
      <c r="CAW190" s="65"/>
      <c r="CAX190" s="65"/>
      <c r="CAY190" s="65"/>
      <c r="CAZ190" s="65"/>
      <c r="CBA190" s="65"/>
      <c r="CBB190" s="65"/>
      <c r="CBC190" s="65"/>
      <c r="CBD190" s="65"/>
      <c r="CBE190" s="65"/>
      <c r="CBF190" s="65"/>
      <c r="CBG190" s="65"/>
      <c r="CBH190" s="65"/>
      <c r="CBI190" s="65"/>
      <c r="CBJ190" s="65"/>
      <c r="CBK190" s="65"/>
      <c r="CBL190" s="65"/>
      <c r="CBM190" s="65"/>
      <c r="CBN190" s="65"/>
      <c r="CBO190" s="65"/>
      <c r="CBP190" s="65"/>
      <c r="CBQ190" s="65"/>
      <c r="CBR190" s="65"/>
      <c r="CBS190" s="65"/>
      <c r="CBT190" s="65"/>
      <c r="CBU190" s="65"/>
      <c r="CBV190" s="65"/>
      <c r="CBW190" s="65"/>
      <c r="CBX190" s="65"/>
      <c r="CBY190" s="65"/>
      <c r="CBZ190" s="65"/>
      <c r="CCA190" s="65"/>
      <c r="CCB190" s="65"/>
      <c r="CCC190" s="65"/>
      <c r="CCD190" s="65"/>
      <c r="CCE190" s="65"/>
      <c r="CCF190" s="65"/>
      <c r="CCG190" s="65"/>
      <c r="CCH190" s="65"/>
      <c r="CCI190" s="65"/>
      <c r="CCJ190" s="65"/>
      <c r="CCK190" s="65"/>
      <c r="CCL190" s="65"/>
      <c r="CCM190" s="65"/>
      <c r="CCN190" s="65"/>
      <c r="CCO190" s="65"/>
      <c r="CCP190" s="65"/>
      <c r="CCQ190" s="65"/>
      <c r="CCR190" s="65"/>
      <c r="CCS190" s="65"/>
      <c r="CCT190" s="65"/>
      <c r="CCU190" s="65"/>
      <c r="CCV190" s="65"/>
      <c r="CCW190" s="65"/>
      <c r="CCX190" s="65"/>
      <c r="CCY190" s="65"/>
      <c r="CCZ190" s="65"/>
      <c r="CDA190" s="65"/>
      <c r="CDB190" s="65"/>
      <c r="CDC190" s="65"/>
      <c r="CDD190" s="65"/>
      <c r="CDE190" s="65"/>
      <c r="CDF190" s="65"/>
      <c r="CDG190" s="65"/>
      <c r="CDH190" s="65"/>
      <c r="CDI190" s="65"/>
      <c r="CDJ190" s="65"/>
      <c r="CDK190" s="65"/>
      <c r="CDL190" s="65"/>
      <c r="CDM190" s="65"/>
      <c r="CDN190" s="65"/>
      <c r="CDO190" s="65"/>
      <c r="CDP190" s="65"/>
      <c r="CDQ190" s="65"/>
      <c r="CDR190" s="65"/>
      <c r="CDS190" s="65"/>
      <c r="CDT190" s="65"/>
      <c r="CDU190" s="65"/>
      <c r="CDV190" s="65"/>
      <c r="CDW190" s="65"/>
      <c r="CDX190" s="65"/>
      <c r="CDY190" s="65"/>
      <c r="CDZ190" s="65"/>
      <c r="CEA190" s="65"/>
      <c r="CEB190" s="65"/>
      <c r="CEC190" s="65"/>
      <c r="CED190" s="65"/>
      <c r="CEE190" s="65"/>
      <c r="CEF190" s="65"/>
      <c r="CEG190" s="65"/>
      <c r="CEH190" s="65"/>
      <c r="CEI190" s="65"/>
      <c r="CEJ190" s="65"/>
      <c r="CEK190" s="65"/>
      <c r="CEL190" s="65"/>
      <c r="CEM190" s="65"/>
      <c r="CEN190" s="65"/>
      <c r="CEO190" s="65"/>
      <c r="CEP190" s="65"/>
      <c r="CEQ190" s="65"/>
      <c r="CER190" s="65"/>
      <c r="CES190" s="65"/>
      <c r="CET190" s="65"/>
      <c r="CEU190" s="65"/>
      <c r="CEV190" s="65"/>
      <c r="CEW190" s="65"/>
      <c r="CEX190" s="65"/>
      <c r="CEY190" s="65"/>
      <c r="CEZ190" s="65"/>
      <c r="CFA190" s="65"/>
      <c r="CFB190" s="65"/>
      <c r="CFC190" s="65"/>
      <c r="CFD190" s="65"/>
      <c r="CFE190" s="65"/>
      <c r="CFF190" s="65"/>
      <c r="CFG190" s="65"/>
      <c r="CFH190" s="65"/>
      <c r="CFI190" s="65"/>
      <c r="CFJ190" s="65"/>
      <c r="CFK190" s="65"/>
      <c r="CFL190" s="65"/>
      <c r="CFM190" s="65"/>
      <c r="CFN190" s="65"/>
      <c r="CFO190" s="65"/>
      <c r="CFP190" s="65"/>
      <c r="CFQ190" s="65"/>
      <c r="CFR190" s="65"/>
      <c r="CFS190" s="65"/>
      <c r="CFT190" s="65"/>
      <c r="CFU190" s="65"/>
      <c r="CFV190" s="65"/>
      <c r="CFW190" s="65"/>
      <c r="CFX190" s="65"/>
      <c r="CFY190" s="65"/>
      <c r="CFZ190" s="65"/>
      <c r="CGA190" s="65"/>
      <c r="CGB190" s="65"/>
      <c r="CGC190" s="65"/>
      <c r="CGD190" s="65"/>
      <c r="CGE190" s="65"/>
      <c r="CGF190" s="65"/>
      <c r="CGG190" s="65"/>
      <c r="CGH190" s="65"/>
      <c r="CGI190" s="65"/>
      <c r="CGJ190" s="65"/>
      <c r="CGK190" s="65"/>
      <c r="CGL190" s="65"/>
      <c r="CGM190" s="65"/>
      <c r="CGN190" s="65"/>
      <c r="CGO190" s="65"/>
      <c r="CGP190" s="65"/>
      <c r="CGQ190" s="65"/>
      <c r="CGR190" s="65"/>
      <c r="CGS190" s="65"/>
      <c r="CGT190" s="65"/>
      <c r="CGU190" s="65"/>
      <c r="CGV190" s="65"/>
      <c r="CGW190" s="65"/>
      <c r="CGX190" s="65"/>
      <c r="CGY190" s="65"/>
      <c r="CGZ190" s="65"/>
      <c r="CHA190" s="65"/>
      <c r="CHB190" s="65"/>
      <c r="CHC190" s="65"/>
      <c r="CHD190" s="65"/>
      <c r="CHE190" s="65"/>
      <c r="CHF190" s="65"/>
      <c r="CHG190" s="65"/>
      <c r="CHH190" s="65"/>
      <c r="CHI190" s="65"/>
      <c r="CHJ190" s="65"/>
      <c r="CHK190" s="65"/>
      <c r="CHL190" s="65"/>
      <c r="CHM190" s="65"/>
      <c r="CHN190" s="65"/>
      <c r="CHO190" s="65"/>
      <c r="CHP190" s="65"/>
      <c r="CHQ190" s="65"/>
      <c r="CHR190" s="65"/>
      <c r="CHS190" s="65"/>
      <c r="CHT190" s="65"/>
      <c r="CHU190" s="65"/>
      <c r="CHV190" s="65"/>
      <c r="CHW190" s="65"/>
      <c r="CHX190" s="65"/>
      <c r="CHY190" s="65"/>
      <c r="CHZ190" s="65"/>
      <c r="CIA190" s="65"/>
      <c r="CIB190" s="65"/>
      <c r="CIC190" s="65"/>
      <c r="CID190" s="65"/>
      <c r="CIE190" s="65"/>
      <c r="CIF190" s="65"/>
      <c r="CIG190" s="65"/>
      <c r="CIH190" s="65"/>
      <c r="CII190" s="65"/>
      <c r="CIJ190" s="65"/>
      <c r="CIK190" s="65"/>
      <c r="CIL190" s="65"/>
      <c r="CIM190" s="65"/>
      <c r="CIN190" s="65"/>
      <c r="CIO190" s="65"/>
      <c r="CIP190" s="65"/>
      <c r="CIQ190" s="65"/>
      <c r="CIR190" s="65"/>
      <c r="CIS190" s="65"/>
      <c r="CIT190" s="65"/>
      <c r="CIU190" s="65"/>
      <c r="CIV190" s="65"/>
      <c r="CIW190" s="65"/>
      <c r="CIX190" s="65"/>
      <c r="CIY190" s="65"/>
      <c r="CIZ190" s="65"/>
      <c r="CJA190" s="65"/>
      <c r="CJB190" s="65"/>
      <c r="CJC190" s="65"/>
      <c r="CJD190" s="65"/>
      <c r="CJE190" s="65"/>
      <c r="CJF190" s="65"/>
      <c r="CJG190" s="65"/>
      <c r="CJH190" s="65"/>
      <c r="CJI190" s="65"/>
      <c r="CJJ190" s="65"/>
      <c r="CJK190" s="65"/>
      <c r="CJL190" s="65"/>
      <c r="CJM190" s="65"/>
      <c r="CJN190" s="65"/>
      <c r="CJO190" s="65"/>
      <c r="CJP190" s="65"/>
      <c r="CJQ190" s="65"/>
      <c r="CJR190" s="65"/>
      <c r="CJS190" s="65"/>
      <c r="CJT190" s="65"/>
      <c r="CJU190" s="65"/>
      <c r="CJV190" s="65"/>
      <c r="CJW190" s="65"/>
      <c r="CJX190" s="65"/>
      <c r="CJY190" s="65"/>
      <c r="CJZ190" s="65"/>
      <c r="CKA190" s="65"/>
      <c r="CKB190" s="65"/>
      <c r="CKC190" s="65"/>
      <c r="CKD190" s="65"/>
      <c r="CKE190" s="65"/>
      <c r="CKF190" s="65"/>
      <c r="CKG190" s="65"/>
      <c r="CKH190" s="65"/>
      <c r="CKI190" s="65"/>
      <c r="CKJ190" s="65"/>
      <c r="CKK190" s="65"/>
      <c r="CKL190" s="65"/>
      <c r="CKM190" s="65"/>
      <c r="CKN190" s="65"/>
      <c r="CKO190" s="65"/>
      <c r="CKP190" s="65"/>
      <c r="CKQ190" s="65"/>
      <c r="CKR190" s="65"/>
      <c r="CKS190" s="65"/>
      <c r="CKT190" s="65"/>
      <c r="CKU190" s="65"/>
      <c r="CKV190" s="65"/>
      <c r="CKW190" s="65"/>
      <c r="CKX190" s="65"/>
      <c r="CKY190" s="65"/>
      <c r="CKZ190" s="65"/>
      <c r="CLA190" s="65"/>
      <c r="CLB190" s="65"/>
      <c r="CLC190" s="65"/>
      <c r="CLD190" s="65"/>
      <c r="CLE190" s="65"/>
      <c r="CLF190" s="65"/>
      <c r="CLG190" s="65"/>
      <c r="CLH190" s="65"/>
      <c r="CLI190" s="65"/>
      <c r="CLJ190" s="65"/>
      <c r="CLK190" s="65"/>
      <c r="CLL190" s="65"/>
      <c r="CLM190" s="65"/>
      <c r="CLN190" s="65"/>
      <c r="CLO190" s="65"/>
      <c r="CLP190" s="65"/>
      <c r="CLQ190" s="65"/>
      <c r="CLR190" s="65"/>
      <c r="CLS190" s="65"/>
      <c r="CLT190" s="65"/>
      <c r="CLU190" s="65"/>
      <c r="CLV190" s="65"/>
      <c r="CLW190" s="65"/>
      <c r="CLX190" s="65"/>
      <c r="CLY190" s="65"/>
      <c r="CLZ190" s="65"/>
      <c r="CMA190" s="65"/>
      <c r="CMB190" s="65"/>
      <c r="CMC190" s="65"/>
      <c r="CMD190" s="65"/>
      <c r="CME190" s="65"/>
      <c r="CMF190" s="65"/>
      <c r="CMG190" s="65"/>
      <c r="CMH190" s="65"/>
      <c r="CMI190" s="65"/>
      <c r="CMJ190" s="65"/>
      <c r="CMK190" s="65"/>
      <c r="CML190" s="65"/>
      <c r="CMM190" s="65"/>
      <c r="CMN190" s="65"/>
      <c r="CMO190" s="65"/>
      <c r="CMP190" s="65"/>
      <c r="CMQ190" s="65"/>
      <c r="CMR190" s="65"/>
      <c r="CMS190" s="65"/>
      <c r="CMT190" s="65"/>
      <c r="CMU190" s="65"/>
      <c r="CMV190" s="65"/>
      <c r="CMW190" s="65"/>
      <c r="CMX190" s="65"/>
      <c r="CMY190" s="65"/>
      <c r="CMZ190" s="65"/>
      <c r="CNA190" s="65"/>
      <c r="CNB190" s="65"/>
      <c r="CNC190" s="65"/>
      <c r="CND190" s="65"/>
      <c r="CNE190" s="65"/>
      <c r="CNF190" s="65"/>
      <c r="CNG190" s="65"/>
      <c r="CNH190" s="65"/>
      <c r="CNI190" s="65"/>
      <c r="CNJ190" s="65"/>
      <c r="CNK190" s="65"/>
      <c r="CNL190" s="65"/>
      <c r="CNM190" s="65"/>
      <c r="CNN190" s="65"/>
      <c r="CNO190" s="65"/>
      <c r="CNP190" s="65"/>
      <c r="CNQ190" s="65"/>
      <c r="CNR190" s="65"/>
      <c r="CNS190" s="65"/>
      <c r="CNT190" s="65"/>
      <c r="CNU190" s="65"/>
      <c r="CNV190" s="65"/>
      <c r="CNW190" s="65"/>
      <c r="CNX190" s="65"/>
      <c r="CNY190" s="65"/>
      <c r="CNZ190" s="65"/>
      <c r="COA190" s="65"/>
      <c r="COB190" s="65"/>
      <c r="COC190" s="65"/>
      <c r="COD190" s="65"/>
      <c r="COE190" s="65"/>
      <c r="COF190" s="65"/>
      <c r="COG190" s="65"/>
      <c r="COH190" s="65"/>
      <c r="COI190" s="65"/>
      <c r="COJ190" s="65"/>
      <c r="COK190" s="65"/>
      <c r="COL190" s="65"/>
      <c r="COM190" s="65"/>
      <c r="CON190" s="65"/>
      <c r="COO190" s="65"/>
      <c r="COP190" s="65"/>
      <c r="COQ190" s="65"/>
      <c r="COR190" s="65"/>
      <c r="COS190" s="65"/>
      <c r="COT190" s="65"/>
      <c r="COU190" s="65"/>
      <c r="COV190" s="65"/>
      <c r="COW190" s="65"/>
      <c r="COX190" s="65"/>
      <c r="COY190" s="65"/>
      <c r="COZ190" s="65"/>
      <c r="CPA190" s="65"/>
      <c r="CPB190" s="65"/>
      <c r="CPC190" s="65"/>
      <c r="CPD190" s="65"/>
      <c r="CPE190" s="65"/>
      <c r="CPF190" s="65"/>
      <c r="CPG190" s="65"/>
      <c r="CPH190" s="65"/>
      <c r="CPI190" s="65"/>
      <c r="CPJ190" s="65"/>
      <c r="CPK190" s="65"/>
      <c r="CPL190" s="65"/>
      <c r="CPM190" s="65"/>
      <c r="CPN190" s="65"/>
      <c r="CPO190" s="65"/>
      <c r="CPP190" s="65"/>
      <c r="CPQ190" s="65"/>
      <c r="CPR190" s="65"/>
      <c r="CPS190" s="65"/>
      <c r="CPT190" s="65"/>
      <c r="CPU190" s="65"/>
      <c r="CPV190" s="65"/>
      <c r="CPW190" s="65"/>
      <c r="CPX190" s="65"/>
      <c r="CPY190" s="65"/>
      <c r="CPZ190" s="65"/>
      <c r="CQA190" s="65"/>
      <c r="CQB190" s="65"/>
      <c r="CQC190" s="65"/>
      <c r="CQD190" s="65"/>
      <c r="CQE190" s="65"/>
      <c r="CQF190" s="65"/>
      <c r="CQG190" s="65"/>
      <c r="CQH190" s="65"/>
      <c r="CQI190" s="65"/>
      <c r="CQJ190" s="65"/>
      <c r="CQK190" s="65"/>
      <c r="CQL190" s="65"/>
      <c r="CQM190" s="65"/>
      <c r="CQN190" s="65"/>
      <c r="CQO190" s="65"/>
      <c r="CQP190" s="65"/>
      <c r="CQQ190" s="65"/>
      <c r="CQR190" s="65"/>
      <c r="CQS190" s="65"/>
      <c r="CQT190" s="65"/>
      <c r="CQU190" s="65"/>
      <c r="CQV190" s="65"/>
      <c r="CQW190" s="65"/>
      <c r="CQX190" s="65"/>
      <c r="CQY190" s="65"/>
      <c r="CQZ190" s="65"/>
      <c r="CRA190" s="65"/>
      <c r="CRB190" s="65"/>
      <c r="CRC190" s="65"/>
      <c r="CRD190" s="65"/>
      <c r="CRE190" s="65"/>
      <c r="CRF190" s="65"/>
      <c r="CRG190" s="65"/>
      <c r="CRH190" s="65"/>
      <c r="CRI190" s="65"/>
      <c r="CRJ190" s="65"/>
      <c r="CRK190" s="65"/>
      <c r="CRL190" s="65"/>
      <c r="CRM190" s="65"/>
      <c r="CRN190" s="65"/>
      <c r="CRO190" s="65"/>
      <c r="CRP190" s="65"/>
      <c r="CRQ190" s="65"/>
      <c r="CRR190" s="65"/>
      <c r="CRS190" s="65"/>
      <c r="CRT190" s="65"/>
      <c r="CRU190" s="65"/>
      <c r="CRV190" s="65"/>
      <c r="CRW190" s="65"/>
      <c r="CRX190" s="65"/>
      <c r="CRY190" s="65"/>
      <c r="CRZ190" s="65"/>
      <c r="CSA190" s="65"/>
      <c r="CSB190" s="65"/>
      <c r="CSC190" s="65"/>
      <c r="CSD190" s="65"/>
      <c r="CSE190" s="65"/>
      <c r="CSF190" s="65"/>
      <c r="CSG190" s="65"/>
      <c r="CSH190" s="65"/>
      <c r="CSI190" s="65"/>
      <c r="CSJ190" s="65"/>
      <c r="CSK190" s="65"/>
      <c r="CSL190" s="65"/>
      <c r="CSM190" s="65"/>
      <c r="CSN190" s="65"/>
      <c r="CSO190" s="65"/>
      <c r="CSP190" s="65"/>
      <c r="CSQ190" s="65"/>
      <c r="CSR190" s="65"/>
      <c r="CSS190" s="65"/>
      <c r="CST190" s="65"/>
      <c r="CSU190" s="65"/>
      <c r="CSV190" s="65"/>
      <c r="CSW190" s="65"/>
      <c r="CSX190" s="65"/>
      <c r="CSY190" s="65"/>
      <c r="CSZ190" s="65"/>
      <c r="CTA190" s="65"/>
      <c r="CTB190" s="65"/>
      <c r="CTC190" s="65"/>
      <c r="CTD190" s="65"/>
      <c r="CTE190" s="65"/>
      <c r="CTF190" s="65"/>
      <c r="CTG190" s="65"/>
      <c r="CTH190" s="65"/>
      <c r="CTI190" s="65"/>
      <c r="CTJ190" s="65"/>
      <c r="CTK190" s="65"/>
      <c r="CTL190" s="65"/>
      <c r="CTM190" s="65"/>
      <c r="CTN190" s="65"/>
      <c r="CTO190" s="65"/>
      <c r="CTP190" s="65"/>
      <c r="CTQ190" s="65"/>
      <c r="CTR190" s="65"/>
      <c r="CTS190" s="65"/>
      <c r="CTT190" s="65"/>
      <c r="CTU190" s="65"/>
      <c r="CTV190" s="65"/>
      <c r="CTW190" s="65"/>
      <c r="CTX190" s="65"/>
      <c r="CTY190" s="65"/>
      <c r="CTZ190" s="65"/>
      <c r="CUA190" s="65"/>
      <c r="CUB190" s="65"/>
      <c r="CUC190" s="65"/>
      <c r="CUD190" s="65"/>
      <c r="CUE190" s="65"/>
      <c r="CUF190" s="65"/>
      <c r="CUG190" s="65"/>
      <c r="CUH190" s="65"/>
      <c r="CUI190" s="65"/>
      <c r="CUJ190" s="65"/>
      <c r="CUK190" s="65"/>
      <c r="CUL190" s="65"/>
      <c r="CUM190" s="65"/>
      <c r="CUN190" s="65"/>
      <c r="CUO190" s="65"/>
      <c r="CUP190" s="65"/>
      <c r="CUQ190" s="65"/>
      <c r="CUR190" s="65"/>
      <c r="CUS190" s="65"/>
      <c r="CUT190" s="65"/>
      <c r="CUU190" s="65"/>
      <c r="CUV190" s="65"/>
      <c r="CUW190" s="65"/>
      <c r="CUX190" s="65"/>
      <c r="CUY190" s="65"/>
      <c r="CUZ190" s="65"/>
      <c r="CVA190" s="65"/>
      <c r="CVB190" s="65"/>
      <c r="CVC190" s="65"/>
      <c r="CVD190" s="65"/>
      <c r="CVE190" s="65"/>
      <c r="CVF190" s="65"/>
      <c r="CVG190" s="65"/>
      <c r="CVH190" s="65"/>
      <c r="CVI190" s="65"/>
      <c r="CVJ190" s="65"/>
      <c r="CVK190" s="65"/>
      <c r="CVL190" s="65"/>
      <c r="CVM190" s="65"/>
      <c r="CVN190" s="65"/>
      <c r="CVO190" s="65"/>
      <c r="CVP190" s="65"/>
      <c r="CVQ190" s="65"/>
      <c r="CVR190" s="65"/>
      <c r="CVS190" s="65"/>
      <c r="CVT190" s="65"/>
      <c r="CVU190" s="65"/>
      <c r="CVV190" s="65"/>
      <c r="CVW190" s="65"/>
      <c r="CVX190" s="65"/>
      <c r="CVY190" s="65"/>
      <c r="CVZ190" s="65"/>
      <c r="CWA190" s="65"/>
      <c r="CWB190" s="65"/>
      <c r="CWC190" s="65"/>
      <c r="CWD190" s="65"/>
      <c r="CWE190" s="65"/>
      <c r="CWF190" s="65"/>
      <c r="CWG190" s="65"/>
      <c r="CWH190" s="65"/>
      <c r="CWI190" s="65"/>
      <c r="CWJ190" s="65"/>
      <c r="CWK190" s="65"/>
      <c r="CWL190" s="65"/>
      <c r="CWM190" s="65"/>
      <c r="CWN190" s="65"/>
      <c r="CWO190" s="65"/>
      <c r="CWP190" s="65"/>
      <c r="CWQ190" s="65"/>
      <c r="CWR190" s="65"/>
      <c r="CWS190" s="65"/>
      <c r="CWT190" s="65"/>
      <c r="CWU190" s="65"/>
      <c r="CWV190" s="65"/>
      <c r="CWW190" s="65"/>
      <c r="CWX190" s="65"/>
      <c r="CWY190" s="65"/>
      <c r="CWZ190" s="65"/>
      <c r="CXA190" s="65"/>
      <c r="CXB190" s="65"/>
      <c r="CXC190" s="65"/>
      <c r="CXD190" s="65"/>
      <c r="CXE190" s="65"/>
      <c r="CXF190" s="65"/>
      <c r="CXG190" s="65"/>
      <c r="CXH190" s="65"/>
      <c r="CXI190" s="65"/>
      <c r="CXJ190" s="65"/>
      <c r="CXK190" s="65"/>
      <c r="CXL190" s="65"/>
      <c r="CXM190" s="65"/>
      <c r="CXN190" s="65"/>
      <c r="CXO190" s="65"/>
      <c r="CXP190" s="65"/>
      <c r="CXQ190" s="65"/>
      <c r="CXR190" s="65"/>
      <c r="CXS190" s="65"/>
      <c r="CXT190" s="65"/>
      <c r="CXU190" s="65"/>
      <c r="CXV190" s="65"/>
      <c r="CXW190" s="65"/>
      <c r="CXX190" s="65"/>
      <c r="CXY190" s="65"/>
      <c r="CXZ190" s="65"/>
      <c r="CYA190" s="65"/>
      <c r="CYB190" s="65"/>
      <c r="CYC190" s="65"/>
      <c r="CYD190" s="65"/>
      <c r="CYE190" s="65"/>
      <c r="CYF190" s="65"/>
      <c r="CYG190" s="65"/>
      <c r="CYH190" s="65"/>
      <c r="CYI190" s="65"/>
      <c r="CYJ190" s="65"/>
      <c r="CYK190" s="65"/>
      <c r="CYL190" s="65"/>
      <c r="CYM190" s="65"/>
      <c r="CYN190" s="65"/>
      <c r="CYO190" s="65"/>
      <c r="CYP190" s="65"/>
      <c r="CYQ190" s="65"/>
      <c r="CYR190" s="65"/>
      <c r="CYS190" s="65"/>
      <c r="CYT190" s="65"/>
      <c r="CYU190" s="65"/>
      <c r="CYV190" s="65"/>
      <c r="CYW190" s="65"/>
      <c r="CYX190" s="65"/>
      <c r="CYY190" s="65"/>
      <c r="CYZ190" s="65"/>
      <c r="CZA190" s="65"/>
      <c r="CZB190" s="65"/>
      <c r="CZC190" s="65"/>
      <c r="CZD190" s="65"/>
      <c r="CZE190" s="65"/>
      <c r="CZF190" s="65"/>
      <c r="CZG190" s="65"/>
      <c r="CZH190" s="65"/>
      <c r="CZI190" s="65"/>
      <c r="CZJ190" s="65"/>
      <c r="CZK190" s="65"/>
      <c r="CZL190" s="65"/>
      <c r="CZM190" s="65"/>
      <c r="CZN190" s="65"/>
      <c r="CZO190" s="65"/>
      <c r="CZP190" s="65"/>
      <c r="CZQ190" s="65"/>
      <c r="CZR190" s="65"/>
      <c r="CZS190" s="65"/>
      <c r="CZT190" s="65"/>
      <c r="CZU190" s="65"/>
      <c r="CZV190" s="65"/>
      <c r="CZW190" s="65"/>
      <c r="CZX190" s="65"/>
      <c r="CZY190" s="65"/>
      <c r="CZZ190" s="65"/>
      <c r="DAA190" s="65"/>
      <c r="DAB190" s="65"/>
      <c r="DAC190" s="65"/>
      <c r="DAD190" s="65"/>
      <c r="DAE190" s="65"/>
      <c r="DAF190" s="65"/>
      <c r="DAG190" s="65"/>
      <c r="DAH190" s="65"/>
      <c r="DAI190" s="65"/>
      <c r="DAJ190" s="65"/>
      <c r="DAK190" s="65"/>
      <c r="DAL190" s="65"/>
      <c r="DAM190" s="65"/>
      <c r="DAN190" s="65"/>
      <c r="DAO190" s="65"/>
      <c r="DAP190" s="65"/>
      <c r="DAQ190" s="65"/>
      <c r="DAR190" s="65"/>
      <c r="DAS190" s="65"/>
      <c r="DAT190" s="65"/>
      <c r="DAU190" s="65"/>
      <c r="DAV190" s="65"/>
      <c r="DAW190" s="65"/>
      <c r="DAX190" s="65"/>
      <c r="DAY190" s="65"/>
      <c r="DAZ190" s="65"/>
      <c r="DBA190" s="65"/>
      <c r="DBB190" s="65"/>
      <c r="DBC190" s="65"/>
      <c r="DBD190" s="65"/>
      <c r="DBE190" s="65"/>
      <c r="DBF190" s="65"/>
      <c r="DBG190" s="65"/>
      <c r="DBH190" s="65"/>
      <c r="DBI190" s="65"/>
      <c r="DBJ190" s="65"/>
      <c r="DBK190" s="65"/>
      <c r="DBL190" s="65"/>
      <c r="DBM190" s="65"/>
      <c r="DBN190" s="65"/>
      <c r="DBO190" s="65"/>
      <c r="DBP190" s="65"/>
      <c r="DBQ190" s="65"/>
      <c r="DBR190" s="65"/>
      <c r="DBS190" s="65"/>
      <c r="DBT190" s="65"/>
      <c r="DBU190" s="65"/>
      <c r="DBV190" s="65"/>
      <c r="DBW190" s="65"/>
      <c r="DBX190" s="65"/>
      <c r="DBY190" s="65"/>
      <c r="DBZ190" s="65"/>
      <c r="DCA190" s="65"/>
      <c r="DCB190" s="65"/>
      <c r="DCC190" s="65"/>
      <c r="DCD190" s="65"/>
      <c r="DCE190" s="65"/>
      <c r="DCF190" s="65"/>
      <c r="DCG190" s="65"/>
      <c r="DCH190" s="65"/>
      <c r="DCI190" s="65"/>
      <c r="DCJ190" s="65"/>
      <c r="DCK190" s="65"/>
      <c r="DCL190" s="65"/>
      <c r="DCM190" s="65"/>
      <c r="DCN190" s="65"/>
      <c r="DCO190" s="65"/>
      <c r="DCP190" s="65"/>
      <c r="DCQ190" s="65"/>
      <c r="DCR190" s="65"/>
      <c r="DCS190" s="65"/>
      <c r="DCT190" s="65"/>
      <c r="DCU190" s="65"/>
      <c r="DCV190" s="65"/>
      <c r="DCW190" s="65"/>
      <c r="DCX190" s="65"/>
      <c r="DCY190" s="65"/>
      <c r="DCZ190" s="65"/>
      <c r="DDA190" s="65"/>
      <c r="DDB190" s="65"/>
      <c r="DDC190" s="65"/>
      <c r="DDD190" s="65"/>
      <c r="DDE190" s="65"/>
      <c r="DDF190" s="65"/>
      <c r="DDG190" s="65"/>
      <c r="DDH190" s="65"/>
      <c r="DDI190" s="65"/>
      <c r="DDJ190" s="65"/>
      <c r="DDK190" s="65"/>
      <c r="DDL190" s="65"/>
      <c r="DDM190" s="65"/>
      <c r="DDN190" s="65"/>
      <c r="DDO190" s="65"/>
      <c r="DDP190" s="65"/>
      <c r="DDQ190" s="65"/>
      <c r="DDR190" s="65"/>
      <c r="DDS190" s="65"/>
      <c r="DDT190" s="65"/>
      <c r="DDU190" s="65"/>
      <c r="DDV190" s="65"/>
      <c r="DDW190" s="65"/>
      <c r="DDX190" s="65"/>
      <c r="DDY190" s="65"/>
      <c r="DDZ190" s="65"/>
      <c r="DEA190" s="65"/>
      <c r="DEB190" s="65"/>
      <c r="DEC190" s="65"/>
      <c r="DED190" s="65"/>
      <c r="DEE190" s="65"/>
      <c r="DEF190" s="65"/>
      <c r="DEG190" s="65"/>
      <c r="DEH190" s="65"/>
      <c r="DEI190" s="65"/>
      <c r="DEJ190" s="65"/>
      <c r="DEK190" s="65"/>
      <c r="DEL190" s="65"/>
      <c r="DEM190" s="65"/>
      <c r="DEN190" s="65"/>
      <c r="DEO190" s="65"/>
      <c r="DEP190" s="65"/>
      <c r="DEQ190" s="65"/>
      <c r="DER190" s="65"/>
      <c r="DES190" s="65"/>
      <c r="DET190" s="65"/>
      <c r="DEU190" s="65"/>
      <c r="DEV190" s="65"/>
      <c r="DEW190" s="65"/>
      <c r="DEX190" s="65"/>
      <c r="DEY190" s="65"/>
      <c r="DEZ190" s="65"/>
      <c r="DFA190" s="65"/>
      <c r="DFB190" s="65"/>
      <c r="DFC190" s="65"/>
      <c r="DFD190" s="65"/>
      <c r="DFE190" s="65"/>
      <c r="DFF190" s="65"/>
      <c r="DFG190" s="65"/>
      <c r="DFH190" s="65"/>
      <c r="DFI190" s="65"/>
      <c r="DFJ190" s="65"/>
      <c r="DFK190" s="65"/>
      <c r="DFL190" s="65"/>
      <c r="DFM190" s="65"/>
      <c r="DFN190" s="65"/>
      <c r="DFO190" s="65"/>
      <c r="DFP190" s="65"/>
      <c r="DFQ190" s="65"/>
      <c r="DFR190" s="65"/>
      <c r="DFS190" s="65"/>
      <c r="DFT190" s="65"/>
      <c r="DFU190" s="65"/>
      <c r="DFV190" s="65"/>
      <c r="DFW190" s="65"/>
      <c r="DFX190" s="65"/>
      <c r="DFY190" s="65"/>
      <c r="DFZ190" s="65"/>
      <c r="DGA190" s="65"/>
      <c r="DGB190" s="65"/>
      <c r="DGC190" s="65"/>
      <c r="DGD190" s="65"/>
      <c r="DGE190" s="65"/>
      <c r="DGF190" s="65"/>
      <c r="DGG190" s="65"/>
      <c r="DGH190" s="65"/>
      <c r="DGI190" s="65"/>
      <c r="DGJ190" s="65"/>
      <c r="DGK190" s="65"/>
      <c r="DGL190" s="65"/>
      <c r="DGM190" s="65"/>
      <c r="DGN190" s="65"/>
      <c r="DGO190" s="65"/>
      <c r="DGP190" s="65"/>
      <c r="DGQ190" s="65"/>
      <c r="DGR190" s="65"/>
      <c r="DGS190" s="65"/>
      <c r="DGT190" s="65"/>
      <c r="DGU190" s="65"/>
      <c r="DGV190" s="65"/>
      <c r="DGW190" s="65"/>
      <c r="DGX190" s="65"/>
      <c r="DGY190" s="65"/>
      <c r="DGZ190" s="65"/>
      <c r="DHA190" s="65"/>
      <c r="DHB190" s="65"/>
      <c r="DHC190" s="65"/>
      <c r="DHD190" s="65"/>
      <c r="DHE190" s="65"/>
      <c r="DHF190" s="65"/>
      <c r="DHG190" s="65"/>
      <c r="DHH190" s="65"/>
      <c r="DHI190" s="65"/>
      <c r="DHJ190" s="65"/>
      <c r="DHK190" s="65"/>
      <c r="DHL190" s="65"/>
      <c r="DHM190" s="65"/>
      <c r="DHN190" s="65"/>
      <c r="DHO190" s="65"/>
      <c r="DHP190" s="65"/>
      <c r="DHQ190" s="65"/>
      <c r="DHR190" s="65"/>
      <c r="DHS190" s="65"/>
      <c r="DHT190" s="65"/>
      <c r="DHU190" s="65"/>
      <c r="DHV190" s="65"/>
      <c r="DHW190" s="65"/>
      <c r="DHX190" s="65"/>
      <c r="DHY190" s="65"/>
      <c r="DHZ190" s="65"/>
      <c r="DIA190" s="65"/>
      <c r="DIB190" s="65"/>
      <c r="DIC190" s="65"/>
      <c r="DID190" s="65"/>
      <c r="DIE190" s="65"/>
      <c r="DIF190" s="65"/>
      <c r="DIG190" s="65"/>
      <c r="DIH190" s="65"/>
      <c r="DII190" s="65"/>
      <c r="DIJ190" s="65"/>
      <c r="DIK190" s="65"/>
      <c r="DIL190" s="65"/>
      <c r="DIM190" s="65"/>
      <c r="DIN190" s="65"/>
      <c r="DIO190" s="65"/>
      <c r="DIP190" s="65"/>
      <c r="DIQ190" s="65"/>
      <c r="DIR190" s="65"/>
      <c r="DIS190" s="65"/>
      <c r="DIT190" s="65"/>
      <c r="DIU190" s="65"/>
      <c r="DIV190" s="65"/>
      <c r="DIW190" s="65"/>
      <c r="DIX190" s="65"/>
      <c r="DIY190" s="65"/>
      <c r="DIZ190" s="65"/>
      <c r="DJA190" s="65"/>
      <c r="DJB190" s="65"/>
      <c r="DJC190" s="65"/>
      <c r="DJD190" s="65"/>
      <c r="DJE190" s="65"/>
      <c r="DJF190" s="65"/>
      <c r="DJG190" s="65"/>
      <c r="DJH190" s="65"/>
      <c r="DJI190" s="65"/>
      <c r="DJJ190" s="65"/>
      <c r="DJK190" s="65"/>
      <c r="DJL190" s="65"/>
      <c r="DJM190" s="65"/>
      <c r="DJN190" s="65"/>
      <c r="DJO190" s="65"/>
      <c r="DJP190" s="65"/>
      <c r="DJQ190" s="65"/>
      <c r="DJR190" s="65"/>
      <c r="DJS190" s="65"/>
      <c r="DJT190" s="65"/>
      <c r="DJU190" s="65"/>
      <c r="DJV190" s="65"/>
      <c r="DJW190" s="65"/>
      <c r="DJX190" s="65"/>
      <c r="DJY190" s="65"/>
      <c r="DJZ190" s="65"/>
      <c r="DKA190" s="65"/>
      <c r="DKB190" s="65"/>
      <c r="DKC190" s="65"/>
      <c r="DKD190" s="65"/>
      <c r="DKE190" s="65"/>
      <c r="DKF190" s="65"/>
      <c r="DKG190" s="65"/>
      <c r="DKH190" s="65"/>
      <c r="DKI190" s="65"/>
      <c r="DKJ190" s="65"/>
      <c r="DKK190" s="65"/>
      <c r="DKL190" s="65"/>
      <c r="DKM190" s="65"/>
      <c r="DKN190" s="65"/>
      <c r="DKO190" s="65"/>
      <c r="DKP190" s="65"/>
      <c r="DKQ190" s="65"/>
      <c r="DKR190" s="65"/>
      <c r="DKS190" s="65"/>
      <c r="DKT190" s="65"/>
      <c r="DKU190" s="65"/>
      <c r="DKV190" s="65"/>
      <c r="DKW190" s="65"/>
      <c r="DKX190" s="65"/>
      <c r="DKY190" s="65"/>
      <c r="DKZ190" s="65"/>
      <c r="DLA190" s="65"/>
      <c r="DLB190" s="65"/>
      <c r="DLC190" s="65"/>
      <c r="DLD190" s="65"/>
      <c r="DLE190" s="65"/>
      <c r="DLF190" s="65"/>
      <c r="DLG190" s="65"/>
      <c r="DLH190" s="65"/>
      <c r="DLI190" s="65"/>
      <c r="DLJ190" s="65"/>
      <c r="DLK190" s="65"/>
      <c r="DLL190" s="65"/>
      <c r="DLM190" s="65"/>
      <c r="DLN190" s="65"/>
      <c r="DLO190" s="65"/>
      <c r="DLP190" s="65"/>
      <c r="DLQ190" s="65"/>
      <c r="DLR190" s="65"/>
      <c r="DLS190" s="65"/>
      <c r="DLT190" s="65"/>
      <c r="DLU190" s="65"/>
      <c r="DLV190" s="65"/>
      <c r="DLW190" s="65"/>
      <c r="DLX190" s="65"/>
      <c r="DLY190" s="65"/>
      <c r="DLZ190" s="65"/>
      <c r="DMA190" s="65"/>
      <c r="DMB190" s="65"/>
      <c r="DMC190" s="65"/>
      <c r="DMD190" s="65"/>
      <c r="DME190" s="65"/>
      <c r="DMF190" s="65"/>
      <c r="DMG190" s="65"/>
      <c r="DMH190" s="65"/>
      <c r="DMI190" s="65"/>
      <c r="DMJ190" s="65"/>
      <c r="DMK190" s="65"/>
      <c r="DML190" s="65"/>
      <c r="DMM190" s="65"/>
      <c r="DMN190" s="65"/>
      <c r="DMO190" s="65"/>
      <c r="DMP190" s="65"/>
      <c r="DMQ190" s="65"/>
      <c r="DMR190" s="65"/>
      <c r="DMS190" s="65"/>
      <c r="DMT190" s="65"/>
      <c r="DMU190" s="65"/>
      <c r="DMV190" s="65"/>
      <c r="DMW190" s="65"/>
      <c r="DMX190" s="65"/>
      <c r="DMY190" s="65"/>
      <c r="DMZ190" s="65"/>
      <c r="DNA190" s="65"/>
      <c r="DNB190" s="65"/>
      <c r="DNC190" s="65"/>
      <c r="DND190" s="65"/>
      <c r="DNE190" s="65"/>
      <c r="DNF190" s="65"/>
      <c r="DNG190" s="65"/>
      <c r="DNH190" s="65"/>
      <c r="DNI190" s="65"/>
      <c r="DNJ190" s="65"/>
      <c r="DNK190" s="65"/>
      <c r="DNL190" s="65"/>
      <c r="DNM190" s="65"/>
      <c r="DNN190" s="65"/>
      <c r="DNO190" s="65"/>
      <c r="DNP190" s="65"/>
      <c r="DNQ190" s="65"/>
      <c r="DNR190" s="65"/>
      <c r="DNS190" s="65"/>
      <c r="DNT190" s="65"/>
      <c r="DNU190" s="65"/>
      <c r="DNV190" s="65"/>
      <c r="DNW190" s="65"/>
      <c r="DNX190" s="65"/>
      <c r="DNY190" s="65"/>
      <c r="DNZ190" s="65"/>
    </row>
    <row r="191" spans="1:3094" ht="12" thickBot="1" x14ac:dyDescent="0.25">
      <c r="A191" s="66">
        <f>A190+1</f>
        <v>184</v>
      </c>
      <c r="F191" s="219"/>
      <c r="G191" s="184">
        <f>SUM(G9:G185)</f>
        <v>1588457</v>
      </c>
      <c r="I191" s="82">
        <f>SUM(I9:I185)</f>
        <v>126381660.56708331</v>
      </c>
      <c r="L191" s="184">
        <f>SUM(L9:L185)</f>
        <v>60814976.45443967</v>
      </c>
      <c r="P191" s="84"/>
      <c r="T191" s="185" t="s">
        <v>60</v>
      </c>
      <c r="U191" s="220">
        <f>SUM(U9:U190)</f>
        <v>15259023.000000009</v>
      </c>
      <c r="V191" s="220">
        <f>SUM(V9:V190)</f>
        <v>21338623.293992024</v>
      </c>
      <c r="W191" s="220">
        <f>SUM(W9:W190)</f>
        <v>23332841.369818442</v>
      </c>
    </row>
    <row r="192" spans="1:3094" ht="12" thickTop="1" x14ac:dyDescent="0.2">
      <c r="A192" s="66">
        <f>A191+1</f>
        <v>185</v>
      </c>
      <c r="G192" s="184">
        <v>0</v>
      </c>
      <c r="L192" s="184">
        <v>0</v>
      </c>
      <c r="O192" s="84"/>
      <c r="P192" s="84"/>
      <c r="U192" s="82">
        <v>15259023</v>
      </c>
      <c r="V192" s="82">
        <v>21338623.293992013</v>
      </c>
      <c r="W192" s="82">
        <v>23332841.369818438</v>
      </c>
    </row>
    <row r="193" spans="1:23" x14ac:dyDescent="0.2">
      <c r="A193" s="66">
        <f>A192+1</f>
        <v>186</v>
      </c>
      <c r="G193" s="184"/>
      <c r="N193" s="201"/>
      <c r="P193" s="84"/>
      <c r="T193" s="185" t="s">
        <v>59</v>
      </c>
      <c r="U193" s="82">
        <f>U192-U191</f>
        <v>0</v>
      </c>
      <c r="V193" s="82">
        <f>V192-V191</f>
        <v>0</v>
      </c>
      <c r="W193" s="82">
        <f>W192-W191</f>
        <v>0</v>
      </c>
    </row>
    <row r="194" spans="1:23" x14ac:dyDescent="0.2">
      <c r="A194" s="66">
        <f>A193+1</f>
        <v>187</v>
      </c>
      <c r="L194" s="216"/>
      <c r="N194" s="10"/>
      <c r="O194" s="201"/>
      <c r="U194" s="221"/>
      <c r="V194" s="82"/>
      <c r="W194" s="82"/>
    </row>
    <row r="195" spans="1:23" x14ac:dyDescent="0.2">
      <c r="A195" s="66">
        <f>A194+1</f>
        <v>188</v>
      </c>
      <c r="J195" s="65"/>
      <c r="L195" s="216"/>
      <c r="N195" s="10"/>
      <c r="U195" s="221"/>
      <c r="V195" s="82"/>
      <c r="W195" s="82"/>
    </row>
    <row r="196" spans="1:23" ht="12" thickBot="1" x14ac:dyDescent="0.25">
      <c r="A196" s="66">
        <f>A195+1</f>
        <v>189</v>
      </c>
      <c r="H196" s="65">
        <v>2025</v>
      </c>
      <c r="J196" s="84"/>
      <c r="K196" s="65"/>
      <c r="L196" s="65"/>
      <c r="M196" s="184"/>
      <c r="N196" s="65">
        <v>2026</v>
      </c>
      <c r="P196" s="84"/>
      <c r="Q196" s="65"/>
      <c r="R196" s="65"/>
      <c r="U196" s="221"/>
      <c r="V196" s="82"/>
      <c r="W196" s="82"/>
    </row>
    <row r="197" spans="1:23" x14ac:dyDescent="0.2">
      <c r="A197" s="66">
        <f>A196+1</f>
        <v>190</v>
      </c>
      <c r="H197" s="222"/>
      <c r="I197" s="223" t="s">
        <v>50</v>
      </c>
      <c r="J197" s="223" t="s">
        <v>58</v>
      </c>
      <c r="K197" s="223" t="s">
        <v>57</v>
      </c>
      <c r="L197" s="224" t="s">
        <v>56</v>
      </c>
      <c r="M197" s="184"/>
      <c r="N197" s="222"/>
      <c r="O197" s="223" t="s">
        <v>50</v>
      </c>
      <c r="P197" s="223" t="s">
        <v>58</v>
      </c>
      <c r="Q197" s="223" t="s">
        <v>57</v>
      </c>
      <c r="R197" s="224" t="s">
        <v>56</v>
      </c>
      <c r="U197" s="221"/>
      <c r="V197" s="82"/>
      <c r="W197" s="82"/>
    </row>
    <row r="198" spans="1:23" x14ac:dyDescent="0.2">
      <c r="A198" s="66">
        <f>A197+1</f>
        <v>191</v>
      </c>
      <c r="H198" s="225"/>
      <c r="I198" s="65" t="s">
        <v>49</v>
      </c>
      <c r="J198" s="65" t="s">
        <v>53</v>
      </c>
      <c r="K198" s="65" t="s">
        <v>55</v>
      </c>
      <c r="L198" s="226" t="s">
        <v>55</v>
      </c>
      <c r="M198" s="184"/>
      <c r="N198" s="225"/>
      <c r="O198" s="65" t="s">
        <v>49</v>
      </c>
      <c r="P198" s="65" t="s">
        <v>53</v>
      </c>
      <c r="Q198" s="65" t="s">
        <v>55</v>
      </c>
      <c r="R198" s="226" t="s">
        <v>55</v>
      </c>
      <c r="T198" s="65" t="s">
        <v>10</v>
      </c>
      <c r="U198" s="82">
        <f>SUM(U9:U16)</f>
        <v>8960.605161602627</v>
      </c>
      <c r="V198" s="82">
        <f>SUM(V9:V16)</f>
        <v>12530.748399136621</v>
      </c>
      <c r="W198" s="82">
        <f>SUM(W9:W16)</f>
        <v>13508.544515859659</v>
      </c>
    </row>
    <row r="199" spans="1:23" x14ac:dyDescent="0.2">
      <c r="A199" s="66">
        <f>A198+1</f>
        <v>192</v>
      </c>
      <c r="H199" s="225">
        <v>0</v>
      </c>
      <c r="I199" s="65">
        <v>30</v>
      </c>
      <c r="J199" s="9">
        <v>7.4297601011292338</v>
      </c>
      <c r="K199" s="118">
        <f>AVERAGEIFS('Exh CTM-7 (Rate Design)'!$O$9:$O$185, 'Exh CTM-7 (Rate Design)'!$F$9:$F$185, "="&amp;$K$197, 'Exh CTM-7 (Rate Design)'!$D$9:$D$185, "&lt;="&amp;I199)</f>
        <v>1.1081559074646035</v>
      </c>
      <c r="L199" s="227">
        <f>AVERAGEIFS('Exh CTM-7 (Rate Design)'!$O$9:$O$185, 'Exh CTM-7 (Rate Design)'!$F$9:$F$185, "="&amp;$L$197, 'Exh CTM-7 (Rate Design)'!$D$9:$D$185, "&lt;="&amp;I199)</f>
        <v>0.2294659292840994</v>
      </c>
      <c r="M199" s="184"/>
      <c r="N199" s="225">
        <v>0</v>
      </c>
      <c r="O199" s="65">
        <f>I199</f>
        <v>30</v>
      </c>
      <c r="P199" s="9">
        <f>J199</f>
        <v>7.4297601011292338</v>
      </c>
      <c r="Q199" s="118">
        <f>AVERAGEIFS('Exh CTM-7 (Rate Design)'!$S$9:$S$185, 'Exh CTM-7 (Rate Design)'!$F$9:$F$185, "="&amp;$Q$197, 'Exh CTM-7 (Rate Design)'!$D$9:$D$185, "&lt;="&amp;O199)</f>
        <v>1.2338106243484692</v>
      </c>
      <c r="R199" s="227">
        <f>AVERAGEIFS('Exh CTM-7 (Rate Design)'!$S$9:$S$185, 'Exh CTM-7 (Rate Design)'!$F$9:$F$185, "="&amp;$R$197, 'Exh CTM-7 (Rate Design)'!$D$9:$D$185, "&lt;="&amp;O199)</f>
        <v>0.24737155530318816</v>
      </c>
      <c r="T199" s="65" t="s">
        <v>9</v>
      </c>
      <c r="U199" s="82">
        <f>SUM(U18:U37)</f>
        <v>584316.46696081269</v>
      </c>
      <c r="V199" s="82">
        <f>SUM(V18:V37)</f>
        <v>817123.67646035494</v>
      </c>
      <c r="W199" s="82">
        <f>SUM(W18:W37)</f>
        <v>880885.25974938134</v>
      </c>
    </row>
    <row r="200" spans="1:23" x14ac:dyDescent="0.2">
      <c r="A200" s="66">
        <f>A199+1</f>
        <v>193</v>
      </c>
      <c r="H200" s="225">
        <f>I199+0.01</f>
        <v>30.01</v>
      </c>
      <c r="I200" s="65">
        <v>60</v>
      </c>
      <c r="J200" s="9">
        <v>16.236746289282937</v>
      </c>
      <c r="K200" s="118">
        <f>AVERAGEIFS('Exh CTM-7 (Rate Design)'!$O$9:$O$185, 'Exh CTM-7 (Rate Design)'!$F$9:$F$185, "="&amp;$K$197, 'Exh CTM-7 (Rate Design)'!$D$9:$D$185, "&gt;"&amp;I199, 'Exh CTM-7 (Rate Design)'!$D$9:$D$185, "&lt;="&amp;I200)</f>
        <v>0.62451910706811997</v>
      </c>
      <c r="L200" s="227">
        <f>AVERAGEIFS('Exh CTM-7 (Rate Design)'!$O$9:$O$185, 'Exh CTM-7 (Rate Design)'!$F$9:$F$185, "="&amp;$L$197, 'Exh CTM-7 (Rate Design)'!$D$9:$D$185, "&gt;"&amp;I199, 'Exh CTM-7 (Rate Design)'!$D$9:$D$185, "&lt;="&amp;I200)</f>
        <v>0.22946592928409942</v>
      </c>
      <c r="M200" s="184"/>
      <c r="N200" s="225">
        <f>O199+0.01</f>
        <v>30.01</v>
      </c>
      <c r="O200" s="65">
        <f>I200</f>
        <v>60</v>
      </c>
      <c r="P200" s="9">
        <f>J200</f>
        <v>16.236746289282937</v>
      </c>
      <c r="Q200" s="118">
        <f>AVERAGEIFS('Exh CTM-7 (Rate Design)'!$S$9:$S$185, 'Exh CTM-7 (Rate Design)'!$F$9:$F$185, "="&amp;$Q$197, 'Exh CTM-7 (Rate Design)'!$D$9:$D$185, "&gt;"&amp;O199, 'Exh CTM-7 (Rate Design)'!$D$9:$D$185, "&lt;="&amp;O200)</f>
        <v>0.69086800865251297</v>
      </c>
      <c r="R200" s="227">
        <f>AVERAGEIFS('Exh CTM-7 (Rate Design)'!$S$9:$S$185, 'Exh CTM-7 (Rate Design)'!$F$9:$F$185, "="&amp;$R$197, 'Exh CTM-7 (Rate Design)'!$D$9:$D$185, "&gt;"&amp;O199, 'Exh CTM-7 (Rate Design)'!$D$9:$D$185, "&lt;="&amp;O200)</f>
        <v>0.24737155530318813</v>
      </c>
      <c r="T200" s="65" t="s">
        <v>8</v>
      </c>
      <c r="U200" s="82">
        <f>SUM(U39:U53)</f>
        <v>1774285.8452204803</v>
      </c>
      <c r="V200" s="82">
        <f>SUM(V39:V53)</f>
        <v>2481208.4801905109</v>
      </c>
      <c r="W200" s="82">
        <f>SUM(W39:W53)</f>
        <v>2674821.4982986483</v>
      </c>
    </row>
    <row r="201" spans="1:23" x14ac:dyDescent="0.2">
      <c r="A201" s="66">
        <f>A200+1</f>
        <v>194</v>
      </c>
      <c r="H201" s="225">
        <f>I200+0.01</f>
        <v>60.01</v>
      </c>
      <c r="I201" s="65">
        <v>90</v>
      </c>
      <c r="J201" s="9">
        <v>26.186795286420214</v>
      </c>
      <c r="K201" s="118">
        <f>AVERAGEIFS('Exh CTM-7 (Rate Design)'!$O$9:$O$185, 'Exh CTM-7 (Rate Design)'!$F$9:$F$185, "="&amp;$K$197, 'Exh CTM-7 (Rate Design)'!$D$9:$D$185, "&gt;"&amp;I200, 'Exh CTM-7 (Rate Design)'!$D$9:$D$185, "&lt;="&amp;I201)</f>
        <v>0.50256466775451303</v>
      </c>
      <c r="L201" s="227">
        <f>AVERAGEIFS('Exh CTM-7 (Rate Design)'!$O$9:$O$185, 'Exh CTM-7 (Rate Design)'!$F$9:$F$185, "="&amp;$L$197, 'Exh CTM-7 (Rate Design)'!$D$9:$D$185, "&gt;"&amp;I200, 'Exh CTM-7 (Rate Design)'!$D$9:$D$185, "&lt;="&amp;I201)</f>
        <v>0.2294659292840994</v>
      </c>
      <c r="M201" s="184"/>
      <c r="N201" s="225">
        <f>O200+0.01</f>
        <v>60.01</v>
      </c>
      <c r="O201" s="65">
        <f>I201</f>
        <v>90</v>
      </c>
      <c r="P201" s="9">
        <f>J201</f>
        <v>26.186795286420214</v>
      </c>
      <c r="Q201" s="118">
        <f>AVERAGEIFS('Exh CTM-7 (Rate Design)'!$S$9:$S$185, 'Exh CTM-7 (Rate Design)'!$F$9:$F$185, "="&amp;$Q$197, 'Exh CTM-7 (Rate Design)'!$D$9:$D$185, "&gt;"&amp;O200, 'Exh CTM-7 (Rate Design)'!$D$9:$D$185, "&lt;="&amp;O201)</f>
        <v>0.55395894337381346</v>
      </c>
      <c r="R201" s="227">
        <f>AVERAGEIFS('Exh CTM-7 (Rate Design)'!$S$9:$S$185, 'Exh CTM-7 (Rate Design)'!$F$9:$F$185, "="&amp;$R$197, 'Exh CTM-7 (Rate Design)'!$D$9:$D$185, "&gt;"&amp;O200, 'Exh CTM-7 (Rate Design)'!$D$9:$D$185, "&lt;="&amp;O201)</f>
        <v>0.24737155530318816</v>
      </c>
      <c r="T201" s="65" t="s">
        <v>7</v>
      </c>
      <c r="U201" s="82">
        <f>SUM(U55:U113)</f>
        <v>10438645.245822975</v>
      </c>
      <c r="V201" s="82">
        <f>SUM(V55:V113)</f>
        <v>14597678.933981361</v>
      </c>
      <c r="W201" s="82">
        <f>SUM(W55:W113)</f>
        <v>16018747.083947685</v>
      </c>
    </row>
    <row r="202" spans="1:23" x14ac:dyDescent="0.2">
      <c r="A202" s="66">
        <f>A201+1</f>
        <v>195</v>
      </c>
      <c r="H202" s="225">
        <f>I201+0.01</f>
        <v>90.01</v>
      </c>
      <c r="I202" s="65">
        <v>150</v>
      </c>
      <c r="J202" s="9">
        <v>39.674794170929992</v>
      </c>
      <c r="K202" s="118">
        <f>AVERAGEIFS('Exh CTM-7 (Rate Design)'!$O$9:$O$185, 'Exh CTM-7 (Rate Design)'!$F$9:$F$185, "="&amp;$K$197, 'Exh CTM-7 (Rate Design)'!$D$9:$D$185, "&gt;"&amp;I201, 'Exh CTM-7 (Rate Design)'!$D$9:$D$185, "&lt;="&amp;I202)</f>
        <v>0.39750902950377992</v>
      </c>
      <c r="L202" s="227">
        <f>AVERAGEIFS('Exh CTM-7 (Rate Design)'!$O$9:$O$185, 'Exh CTM-7 (Rate Design)'!$F$9:$F$185, "="&amp;$L$197, 'Exh CTM-7 (Rate Design)'!$D$9:$D$185, "&gt;"&amp;I201, 'Exh CTM-7 (Rate Design)'!$D$9:$D$185, "&lt;="&amp;I202)</f>
        <v>0.22946592928409937</v>
      </c>
      <c r="M202" s="184"/>
      <c r="N202" s="225">
        <f>O201+0.01</f>
        <v>90.01</v>
      </c>
      <c r="O202" s="65">
        <f>I202</f>
        <v>150</v>
      </c>
      <c r="P202" s="9">
        <f>J202</f>
        <v>39.674794170929992</v>
      </c>
      <c r="Q202" s="118">
        <f>AVERAGEIFS('Exh CTM-7 (Rate Design)'!$S$9:$S$185, 'Exh CTM-7 (Rate Design)'!$F$9:$F$185, "="&amp;$Q$197, 'Exh CTM-7 (Rate Design)'!$D$9:$D$185, "&gt;"&amp;O201, 'Exh CTM-7 (Rate Design)'!$D$9:$D$185, "&lt;="&amp;O202)</f>
        <v>0.43602088948978152</v>
      </c>
      <c r="R202" s="227">
        <f>AVERAGEIFS('Exh CTM-7 (Rate Design)'!$S$9:$S$185, 'Exh CTM-7 (Rate Design)'!$F$9:$F$185, "="&amp;$R$197, 'Exh CTM-7 (Rate Design)'!$D$9:$D$185, "&gt;"&amp;O201, 'Exh CTM-7 (Rate Design)'!$D$9:$D$185, "&lt;="&amp;O202)</f>
        <v>0.24737155530318816</v>
      </c>
      <c r="T202" s="65" t="s">
        <v>6</v>
      </c>
      <c r="U202" s="82">
        <f>SUM(U115:U133)</f>
        <v>860777.04503262299</v>
      </c>
      <c r="V202" s="82">
        <f>SUM(V115:V133)</f>
        <v>1203733.4961790636</v>
      </c>
      <c r="W202" s="82">
        <f>SUM(W115:W133)</f>
        <v>1297662.9168842488</v>
      </c>
    </row>
    <row r="203" spans="1:23" x14ac:dyDescent="0.2">
      <c r="A203" s="66">
        <f>A202+1</f>
        <v>196</v>
      </c>
      <c r="H203" s="225">
        <f>I202+0.01</f>
        <v>150.01</v>
      </c>
      <c r="I203" s="65">
        <v>240</v>
      </c>
      <c r="J203" s="9">
        <v>69.495762573691295</v>
      </c>
      <c r="K203" s="118">
        <f>AVERAGEIFS('Exh CTM-7 (Rate Design)'!$O$9:$O$185, 'Exh CTM-7 (Rate Design)'!$F$9:$F$185, "="&amp;$K$197, 'Exh CTM-7 (Rate Design)'!$D$9:$D$185, "&gt;"&amp;I202, 'Exh CTM-7 (Rate Design)'!$D$9:$D$185, "&lt;="&amp;I203)</f>
        <v>0.33328975016389195</v>
      </c>
      <c r="L203" s="227">
        <f>AVERAGEIFS('Exh CTM-7 (Rate Design)'!$O$9:$O$185, 'Exh CTM-7 (Rate Design)'!$F$9:$F$185, "="&amp;$L$197, 'Exh CTM-7 (Rate Design)'!$D$9:$D$185, "&gt;"&amp;I202, 'Exh CTM-7 (Rate Design)'!$D$9:$D$185, "&lt;="&amp;I203)</f>
        <v>0.22946592928409934</v>
      </c>
      <c r="M203" s="184"/>
      <c r="N203" s="225">
        <f>O202+0.01</f>
        <v>150.01</v>
      </c>
      <c r="O203" s="65">
        <f>I203</f>
        <v>240</v>
      </c>
      <c r="P203" s="9">
        <f>J203</f>
        <v>69.495762573691295</v>
      </c>
      <c r="Q203" s="118">
        <f>AVERAGEIFS('Exh CTM-7 (Rate Design)'!$S$9:$S$185, 'Exh CTM-7 (Rate Design)'!$F$9:$F$185, "="&amp;$Q$197, 'Exh CTM-7 (Rate Design)'!$D$9:$D$185, "&gt;"&amp;O202, 'Exh CTM-7 (Rate Design)'!$D$9:$D$185, "&lt;="&amp;O203)</f>
        <v>0.3639267405864644</v>
      </c>
      <c r="R203" s="227">
        <f>AVERAGEIFS('Exh CTM-7 (Rate Design)'!$S$9:$S$185, 'Exh CTM-7 (Rate Design)'!$F$9:$F$185, "="&amp;$R$197, 'Exh CTM-7 (Rate Design)'!$D$9:$D$185, "&gt;"&amp;O202, 'Exh CTM-7 (Rate Design)'!$D$9:$D$185, "&lt;="&amp;O203)</f>
        <v>0.24737155530318813</v>
      </c>
      <c r="T203" s="65" t="s">
        <v>5</v>
      </c>
      <c r="U203" s="82">
        <f>SUM(U135:U151)</f>
        <v>870345.44043040415</v>
      </c>
      <c r="V203" s="82">
        <f>SUM(V135:V151)</f>
        <v>1217114.1945973842</v>
      </c>
      <c r="W203" s="82">
        <f>SUM(W135:W151)</f>
        <v>1334111.3126935302</v>
      </c>
    </row>
    <row r="204" spans="1:23" x14ac:dyDescent="0.2">
      <c r="A204" s="66">
        <f>A203+1</f>
        <v>197</v>
      </c>
      <c r="H204" s="225">
        <f>I203+0.01</f>
        <v>240.01</v>
      </c>
      <c r="I204" s="65">
        <v>340</v>
      </c>
      <c r="J204" s="9">
        <v>92.063107873663981</v>
      </c>
      <c r="K204" s="118">
        <f>AVERAGEIFS('Exh CTM-7 (Rate Design)'!$O$9:$O$185, 'Exh CTM-7 (Rate Design)'!$F$9:$F$185, "="&amp;$K$197, 'Exh CTM-7 (Rate Design)'!$D$9:$D$185, "&gt;"&amp;I203, 'Exh CTM-7 (Rate Design)'!$D$9:$D$185, "&lt;="&amp;I204)</f>
        <v>0.30913910846351139</v>
      </c>
      <c r="L204" s="227">
        <f>AVERAGEIFS('Exh CTM-7 (Rate Design)'!$O$9:$O$185, 'Exh CTM-7 (Rate Design)'!$F$9:$F$185, "="&amp;$L$197, 'Exh CTM-7 (Rate Design)'!$D$9:$D$185, "&gt;"&amp;I203, 'Exh CTM-7 (Rate Design)'!$D$9:$D$185, "&lt;="&amp;I204)</f>
        <v>0.22946592928409934</v>
      </c>
      <c r="M204" s="184"/>
      <c r="N204" s="225">
        <f>O203+0.01</f>
        <v>240.01</v>
      </c>
      <c r="O204" s="65">
        <f>I204</f>
        <v>340</v>
      </c>
      <c r="P204" s="9">
        <f>J204</f>
        <v>92.063107873663981</v>
      </c>
      <c r="Q204" s="118">
        <f>AVERAGEIFS('Exh CTM-7 (Rate Design)'!$S$9:$S$185, 'Exh CTM-7 (Rate Design)'!$F$9:$F$185, "="&amp;$Q$197, 'Exh CTM-7 (Rate Design)'!$D$9:$D$185, "&gt;"&amp;O203, 'Exh CTM-7 (Rate Design)'!$D$9:$D$185, "&lt;="&amp;O204)</f>
        <v>0.33681463380552673</v>
      </c>
      <c r="R204" s="227">
        <f>AVERAGEIFS('Exh CTM-7 (Rate Design)'!$S$9:$S$185, 'Exh CTM-7 (Rate Design)'!$F$9:$F$185, "="&amp;$R$197, 'Exh CTM-7 (Rate Design)'!$D$9:$D$185, "&gt;"&amp;O203, 'Exh CTM-7 (Rate Design)'!$D$9:$D$185, "&lt;="&amp;O204)</f>
        <v>0.24737155530318813</v>
      </c>
      <c r="T204" s="65" t="s">
        <v>4</v>
      </c>
      <c r="U204" s="82">
        <f>U187</f>
        <v>270373.39087686088</v>
      </c>
      <c r="V204" s="82">
        <f>V187</f>
        <v>378097.33536941331</v>
      </c>
      <c r="W204" s="82">
        <f>W187</f>
        <v>424461.40592454612</v>
      </c>
    </row>
    <row r="205" spans="1:23" x14ac:dyDescent="0.2">
      <c r="A205" s="66">
        <f>A204+1</f>
        <v>198</v>
      </c>
      <c r="H205" s="225">
        <f>I204+0.01</f>
        <v>340.01</v>
      </c>
      <c r="I205" s="65">
        <v>600</v>
      </c>
      <c r="J205" s="9">
        <v>144.31146442180207</v>
      </c>
      <c r="K205" s="118">
        <f>AVERAGEIFS('Exh CTM-7 (Rate Design)'!$O$9:$O$185, 'Exh CTM-7 (Rate Design)'!$F$9:$F$185, "="&amp;$K$197, 'Exh CTM-7 (Rate Design)'!$D$9:$D$185, "&gt;"&amp;I204, 'Exh CTM-7 (Rate Design)'!$D$9:$D$185, "&lt;="&amp;I205)</f>
        <v>0.27350842485194299</v>
      </c>
      <c r="L205" s="227">
        <f>AVERAGEIFS('Exh CTM-7 (Rate Design)'!$O$9:$O$185, 'Exh CTM-7 (Rate Design)'!$F$9:$F$185, "="&amp;$L$197, 'Exh CTM-7 (Rate Design)'!$D$9:$D$185, "&gt;"&amp;I204, 'Exh CTM-7 (Rate Design)'!$D$9:$D$185, "&lt;="&amp;I205)</f>
        <v>0.2294659292840994</v>
      </c>
      <c r="M205" s="184"/>
      <c r="N205" s="225">
        <f>O204+0.01</f>
        <v>340.01</v>
      </c>
      <c r="O205" s="65">
        <f>I205</f>
        <v>600</v>
      </c>
      <c r="P205" s="9">
        <f>J205</f>
        <v>144.31146442180207</v>
      </c>
      <c r="Q205" s="118">
        <f>AVERAGEIFS('Exh CTM-7 (Rate Design)'!$S$9:$S$185, 'Exh CTM-7 (Rate Design)'!$F$9:$F$185, "="&amp;$Q$197, 'Exh CTM-7 (Rate Design)'!$D$9:$D$185, "&gt;"&amp;O204, 'Exh CTM-7 (Rate Design)'!$D$9:$D$185, "&lt;="&amp;O205)</f>
        <v>0.29681474847165484</v>
      </c>
      <c r="R205" s="227">
        <f>AVERAGEIFS('Exh CTM-7 (Rate Design)'!$S$9:$S$185, 'Exh CTM-7 (Rate Design)'!$F$9:$F$185, "="&amp;$R$197, 'Exh CTM-7 (Rate Design)'!$D$9:$D$185, "&gt;"&amp;O204, 'Exh CTM-7 (Rate Design)'!$D$9:$D$185, "&lt;="&amp;O205)</f>
        <v>0.24737155530318816</v>
      </c>
      <c r="T205" s="65" t="s">
        <v>3</v>
      </c>
      <c r="U205" s="82">
        <f>SUM(U153:U185)</f>
        <v>404250.08699427871</v>
      </c>
      <c r="V205" s="82">
        <f>SUM(V153:V185)</f>
        <v>565314.06518847309</v>
      </c>
      <c r="W205" s="82">
        <f>SUM(W153:W185)</f>
        <v>614880.52393984399</v>
      </c>
    </row>
    <row r="206" spans="1:23" ht="12" thickBot="1" x14ac:dyDescent="0.25">
      <c r="A206" s="66">
        <f>A205+1</f>
        <v>199</v>
      </c>
      <c r="H206" s="228">
        <f>I205+0.01</f>
        <v>600.01</v>
      </c>
      <c r="I206" s="229">
        <v>1000</v>
      </c>
      <c r="J206" s="8">
        <v>360.77866105450516</v>
      </c>
      <c r="K206" s="230">
        <f>AVERAGEIFS('Exh CTM-7 (Rate Design)'!$O$9:$O$185, 'Exh CTM-7 (Rate Design)'!$F$9:$F$185, "="&amp;$K$197, 'Exh CTM-7 (Rate Design)'!$D$9:$D$185, "&gt;"&amp;I205, 'Exh CTM-7 (Rate Design)'!$D$9:$D$185, "&lt;="&amp;I206)</f>
        <v>0.25208645890289749</v>
      </c>
      <c r="L206" s="231">
        <f>AVERAGEIFS('Exh CTM-7 (Rate Design)'!$O$9:$O$185, 'Exh CTM-7 (Rate Design)'!$F$9:$F$185, "="&amp;$L$197, 'Exh CTM-7 (Rate Design)'!$D$9:$D$185, "&gt;"&amp;I205, 'Exh CTM-7 (Rate Design)'!$D$9:$D$185, "&lt;="&amp;I206)</f>
        <v>0.2294659292840994</v>
      </c>
      <c r="M206" s="184"/>
      <c r="N206" s="228">
        <f>O205+0.01</f>
        <v>600.01</v>
      </c>
      <c r="O206" s="229">
        <f>I206</f>
        <v>1000</v>
      </c>
      <c r="P206" s="8">
        <f>J206</f>
        <v>360.77866105450516</v>
      </c>
      <c r="Q206" s="230">
        <f>AVERAGEIFS('Exh CTM-7 (Rate Design)'!$S$9:$S$185, 'Exh CTM-7 (Rate Design)'!$F$9:$F$185, "="&amp;$Q$197, 'Exh CTM-7 (Rate Design)'!$D$9:$D$185, "&gt;"&amp;O205, 'Exh CTM-7 (Rate Design)'!$D$9:$D$185, "&lt;="&amp;O206)</f>
        <v>0.27276592047471698</v>
      </c>
      <c r="R206" s="231">
        <f>AVERAGEIFS('Exh CTM-7 (Rate Design)'!$S$9:$S$185, 'Exh CTM-7 (Rate Design)'!$F$9:$F$185, "="&amp;$R$197, 'Exh CTM-7 (Rate Design)'!$D$9:$D$185, "&gt;"&amp;O205, 'Exh CTM-7 (Rate Design)'!$D$9:$D$185, "&lt;="&amp;O206)</f>
        <v>0.24737155530318819</v>
      </c>
      <c r="T206" s="77" t="s">
        <v>2</v>
      </c>
      <c r="U206" s="153">
        <f>SUM(U188:U190)</f>
        <v>47068.873499969806</v>
      </c>
      <c r="V206" s="153">
        <f>SUM(V188:V190)</f>
        <v>65822.363626322534</v>
      </c>
      <c r="W206" s="153">
        <f>SUM(W188:W190)</f>
        <v>73762.823864705046</v>
      </c>
    </row>
    <row r="207" spans="1:23" x14ac:dyDescent="0.2">
      <c r="A207" s="66">
        <f>A206+1</f>
        <v>200</v>
      </c>
      <c r="H207" s="65"/>
      <c r="J207" s="65"/>
      <c r="T207" s="65" t="s">
        <v>1</v>
      </c>
      <c r="U207" s="82">
        <f>SUM(U198:U206)</f>
        <v>15259023.000000007</v>
      </c>
      <c r="V207" s="82">
        <f>SUM(V198:V206)</f>
        <v>21338623.29399202</v>
      </c>
      <c r="W207" s="82">
        <f>SUM(W198:W206)</f>
        <v>23332841.369818449</v>
      </c>
    </row>
    <row r="208" spans="1:23" x14ac:dyDescent="0.2">
      <c r="A208" s="66">
        <f>A207+1</f>
        <v>201</v>
      </c>
      <c r="H208" s="65"/>
      <c r="J208" s="65"/>
      <c r="U208" s="82">
        <f>U207-U191</f>
        <v>0</v>
      </c>
      <c r="V208" s="82">
        <f>V207-V191</f>
        <v>0</v>
      </c>
      <c r="W208" s="82">
        <f>W207-W191</f>
        <v>0</v>
      </c>
    </row>
    <row r="209" spans="1:23" x14ac:dyDescent="0.2">
      <c r="A209" s="66">
        <f>A208+1</f>
        <v>202</v>
      </c>
    </row>
    <row r="210" spans="1:23" ht="12" thickBot="1" x14ac:dyDescent="0.25">
      <c r="A210" s="66">
        <f>A209+1</f>
        <v>203</v>
      </c>
    </row>
    <row r="211" spans="1:23" x14ac:dyDescent="0.2">
      <c r="A211" s="66">
        <f>A210+1</f>
        <v>204</v>
      </c>
      <c r="P211" s="232" t="s">
        <v>54</v>
      </c>
      <c r="Q211" s="223"/>
      <c r="R211" s="223"/>
      <c r="S211" s="223"/>
      <c r="T211" s="223"/>
      <c r="U211" s="223"/>
      <c r="V211" s="223"/>
      <c r="W211" s="224"/>
    </row>
    <row r="212" spans="1:23" x14ac:dyDescent="0.2">
      <c r="A212" s="66">
        <f>A211+1</f>
        <v>205</v>
      </c>
      <c r="P212" s="233"/>
      <c r="Q212" s="177"/>
      <c r="R212" s="73"/>
      <c r="S212" s="177" t="s">
        <v>53</v>
      </c>
      <c r="T212" s="177"/>
      <c r="U212" s="73"/>
      <c r="V212" s="234" t="s">
        <v>52</v>
      </c>
      <c r="W212" s="235" t="s">
        <v>51</v>
      </c>
    </row>
    <row r="213" spans="1:23" ht="33.75" x14ac:dyDescent="0.2">
      <c r="A213" s="66">
        <f>A212+1</f>
        <v>206</v>
      </c>
      <c r="P213" s="236" t="s">
        <v>50</v>
      </c>
      <c r="Q213" s="173" t="s">
        <v>49</v>
      </c>
      <c r="R213" s="173"/>
      <c r="S213" s="173" t="s">
        <v>48</v>
      </c>
      <c r="T213" s="173" t="s">
        <v>47</v>
      </c>
      <c r="U213" s="173"/>
      <c r="V213" s="173" t="s">
        <v>46</v>
      </c>
      <c r="W213" s="237" t="s">
        <v>46</v>
      </c>
    </row>
    <row r="214" spans="1:23" x14ac:dyDescent="0.2">
      <c r="A214" s="66">
        <f>A213+1</f>
        <v>207</v>
      </c>
      <c r="P214" s="56">
        <f>'Exh CTM-7 (Rate Design)'!H199</f>
        <v>0</v>
      </c>
      <c r="Q214" s="35">
        <f>'Exh CTM-7 (Rate Design)'!I199</f>
        <v>30</v>
      </c>
      <c r="R214" s="35"/>
      <c r="S214" s="35">
        <f>'Exh CTM-7 (Rate Design)'!J199</f>
        <v>7.4297601011292338</v>
      </c>
      <c r="T214" s="57" t="s">
        <v>45</v>
      </c>
      <c r="U214" s="35"/>
      <c r="V214" s="58">
        <f>'Exh CTM-7 (Rate Design)'!Q199</f>
        <v>1.2338106243484692</v>
      </c>
      <c r="W214" s="59">
        <f>'Exh CTM-7 (Rate Design)'!R199</f>
        <v>0.24737155530318816</v>
      </c>
    </row>
    <row r="215" spans="1:23" x14ac:dyDescent="0.2">
      <c r="A215" s="66">
        <f>A214+1</f>
        <v>208</v>
      </c>
      <c r="P215" s="56">
        <f>'Exh CTM-7 (Rate Design)'!H200</f>
        <v>30.01</v>
      </c>
      <c r="Q215" s="35">
        <f>'Exh CTM-7 (Rate Design)'!I200</f>
        <v>60</v>
      </c>
      <c r="R215" s="35"/>
      <c r="S215" s="35">
        <f>'Exh CTM-7 (Rate Design)'!J200</f>
        <v>16.236746289282937</v>
      </c>
      <c r="T215" s="57" t="s">
        <v>45</v>
      </c>
      <c r="U215" s="35"/>
      <c r="V215" s="58">
        <f>'Exh CTM-7 (Rate Design)'!Q200</f>
        <v>0.69086800865251297</v>
      </c>
      <c r="W215" s="59">
        <f>'Exh CTM-7 (Rate Design)'!R200</f>
        <v>0.24737155530318813</v>
      </c>
    </row>
    <row r="216" spans="1:23" x14ac:dyDescent="0.2">
      <c r="A216" s="66">
        <f>A215+1</f>
        <v>209</v>
      </c>
      <c r="P216" s="56">
        <f>'Exh CTM-7 (Rate Design)'!H201</f>
        <v>60.01</v>
      </c>
      <c r="Q216" s="35">
        <f>'Exh CTM-7 (Rate Design)'!I201</f>
        <v>90</v>
      </c>
      <c r="R216" s="35"/>
      <c r="S216" s="35">
        <f>'Exh CTM-7 (Rate Design)'!J201</f>
        <v>26.186795286420214</v>
      </c>
      <c r="T216" s="57" t="s">
        <v>45</v>
      </c>
      <c r="U216" s="35"/>
      <c r="V216" s="58">
        <f>'Exh CTM-7 (Rate Design)'!Q201</f>
        <v>0.55395894337381346</v>
      </c>
      <c r="W216" s="59">
        <f>'Exh CTM-7 (Rate Design)'!R201</f>
        <v>0.24737155530318816</v>
      </c>
    </row>
    <row r="217" spans="1:23" x14ac:dyDescent="0.2">
      <c r="A217" s="66">
        <f>A216+1</f>
        <v>210</v>
      </c>
      <c r="P217" s="56">
        <f>'Exh CTM-7 (Rate Design)'!H202</f>
        <v>90.01</v>
      </c>
      <c r="Q217" s="35">
        <f>'Exh CTM-7 (Rate Design)'!I202</f>
        <v>150</v>
      </c>
      <c r="R217" s="35"/>
      <c r="S217" s="35">
        <f>'Exh CTM-7 (Rate Design)'!J202</f>
        <v>39.674794170929992</v>
      </c>
      <c r="T217" s="57" t="s">
        <v>45</v>
      </c>
      <c r="U217" s="35"/>
      <c r="V217" s="58">
        <f>'Exh CTM-7 (Rate Design)'!Q202</f>
        <v>0.43602088948978152</v>
      </c>
      <c r="W217" s="59">
        <f>'Exh CTM-7 (Rate Design)'!R202</f>
        <v>0.24737155530318816</v>
      </c>
    </row>
    <row r="218" spans="1:23" x14ac:dyDescent="0.2">
      <c r="A218" s="66">
        <f>A217+1</f>
        <v>211</v>
      </c>
      <c r="P218" s="56">
        <f>'Exh CTM-7 (Rate Design)'!H203</f>
        <v>150.01</v>
      </c>
      <c r="Q218" s="35">
        <f>'Exh CTM-7 (Rate Design)'!I203</f>
        <v>240</v>
      </c>
      <c r="R218" s="35"/>
      <c r="S218" s="35">
        <f>'Exh CTM-7 (Rate Design)'!J203</f>
        <v>69.495762573691295</v>
      </c>
      <c r="T218" s="57" t="s">
        <v>45</v>
      </c>
      <c r="U218" s="35"/>
      <c r="V218" s="58">
        <f>'Exh CTM-7 (Rate Design)'!Q203</f>
        <v>0.3639267405864644</v>
      </c>
      <c r="W218" s="59">
        <f>'Exh CTM-7 (Rate Design)'!R203</f>
        <v>0.24737155530318813</v>
      </c>
    </row>
    <row r="219" spans="1:23" x14ac:dyDescent="0.2">
      <c r="A219" s="66">
        <f>A218+1</f>
        <v>212</v>
      </c>
      <c r="P219" s="56">
        <f>'Exh CTM-7 (Rate Design)'!H204</f>
        <v>240.01</v>
      </c>
      <c r="Q219" s="35">
        <f>'Exh CTM-7 (Rate Design)'!I204</f>
        <v>340</v>
      </c>
      <c r="R219" s="35"/>
      <c r="S219" s="35">
        <f>'Exh CTM-7 (Rate Design)'!J204</f>
        <v>92.063107873663981</v>
      </c>
      <c r="T219" s="57" t="s">
        <v>45</v>
      </c>
      <c r="U219" s="35"/>
      <c r="V219" s="58">
        <f>'Exh CTM-7 (Rate Design)'!Q204</f>
        <v>0.33681463380552673</v>
      </c>
      <c r="W219" s="59">
        <f>'Exh CTM-7 (Rate Design)'!R204</f>
        <v>0.24737155530318813</v>
      </c>
    </row>
    <row r="220" spans="1:23" x14ac:dyDescent="0.2">
      <c r="A220" s="66">
        <f>A219+1</f>
        <v>213</v>
      </c>
      <c r="P220" s="56">
        <f>'Exh CTM-7 (Rate Design)'!H205</f>
        <v>340.01</v>
      </c>
      <c r="Q220" s="35">
        <f>'Exh CTM-7 (Rate Design)'!I205</f>
        <v>600</v>
      </c>
      <c r="R220" s="35"/>
      <c r="S220" s="35">
        <f>'Exh CTM-7 (Rate Design)'!J205</f>
        <v>144.31146442180207</v>
      </c>
      <c r="T220" s="57" t="s">
        <v>45</v>
      </c>
      <c r="U220" s="35"/>
      <c r="V220" s="58">
        <f>'Exh CTM-7 (Rate Design)'!Q205</f>
        <v>0.29681474847165484</v>
      </c>
      <c r="W220" s="59">
        <f>'Exh CTM-7 (Rate Design)'!R205</f>
        <v>0.24737155530318816</v>
      </c>
    </row>
    <row r="221" spans="1:23" x14ac:dyDescent="0.2">
      <c r="A221" s="66">
        <f>A220+1</f>
        <v>214</v>
      </c>
      <c r="P221" s="56">
        <f>'Exh CTM-7 (Rate Design)'!H206</f>
        <v>600.01</v>
      </c>
      <c r="Q221" s="35">
        <f>'Exh CTM-7 (Rate Design)'!I206</f>
        <v>1000</v>
      </c>
      <c r="R221" s="35"/>
      <c r="S221" s="35">
        <f>'Exh CTM-7 (Rate Design)'!J206</f>
        <v>360.77866105450516</v>
      </c>
      <c r="T221" s="57" t="s">
        <v>45</v>
      </c>
      <c r="U221" s="35"/>
      <c r="V221" s="58">
        <f>'Exh CTM-7 (Rate Design)'!Q206</f>
        <v>0.27276592047471698</v>
      </c>
      <c r="W221" s="59">
        <f>'Exh CTM-7 (Rate Design)'!R206</f>
        <v>0.24737155530318819</v>
      </c>
    </row>
    <row r="222" spans="1:23" x14ac:dyDescent="0.2">
      <c r="A222" s="66">
        <f>A221+1</f>
        <v>215</v>
      </c>
      <c r="P222" s="225"/>
      <c r="Q222" s="65"/>
      <c r="R222" s="65"/>
      <c r="S222" s="65"/>
      <c r="T222" s="65"/>
      <c r="U222" s="65"/>
      <c r="V222" s="65"/>
      <c r="W222" s="226"/>
    </row>
    <row r="223" spans="1:23" x14ac:dyDescent="0.2">
      <c r="A223" s="66">
        <f>A222+1</f>
        <v>216</v>
      </c>
      <c r="P223" s="238">
        <f>'Exh CTM-7 (Rate Design)'!$T$188</f>
        <v>5.7622704370521873</v>
      </c>
      <c r="Q223" s="65" t="s">
        <v>44</v>
      </c>
      <c r="R223" s="65"/>
      <c r="S223" s="65"/>
      <c r="T223" s="65"/>
      <c r="U223" s="65"/>
      <c r="V223" s="65"/>
      <c r="W223" s="226"/>
    </row>
    <row r="224" spans="1:23" x14ac:dyDescent="0.2">
      <c r="A224" s="66">
        <f>A223+1</f>
        <v>217</v>
      </c>
      <c r="P224" s="225"/>
      <c r="Q224" s="65"/>
      <c r="R224" s="65"/>
      <c r="S224" s="65"/>
      <c r="T224" s="65"/>
      <c r="U224" s="65"/>
      <c r="V224" s="65"/>
      <c r="W224" s="226"/>
    </row>
    <row r="225" spans="1:23" x14ac:dyDescent="0.2">
      <c r="A225" s="66">
        <f>A224+1</f>
        <v>218</v>
      </c>
      <c r="P225" s="239"/>
      <c r="Q225" s="65"/>
      <c r="R225" s="65"/>
      <c r="S225" s="65"/>
      <c r="T225" s="65"/>
      <c r="U225" s="65"/>
      <c r="V225" s="65"/>
      <c r="W225" s="226"/>
    </row>
    <row r="226" spans="1:23" ht="22.5" x14ac:dyDescent="0.2">
      <c r="A226" s="66">
        <f>A225+1</f>
        <v>219</v>
      </c>
      <c r="P226" s="240" t="str">
        <f>'Exh CTM-7 (Tariff Rates Y1)'!$C$22</f>
        <v>Company Owned LED Facilities Charge</v>
      </c>
      <c r="Q226" s="241"/>
      <c r="R226" s="65"/>
      <c r="S226" s="65"/>
      <c r="T226" s="65"/>
      <c r="U226" s="65"/>
      <c r="V226" s="65"/>
      <c r="W226" s="226"/>
    </row>
    <row r="227" spans="1:23" x14ac:dyDescent="0.2">
      <c r="A227" s="66">
        <f>A226+1</f>
        <v>220</v>
      </c>
      <c r="P227" s="7" t="s">
        <v>43</v>
      </c>
      <c r="Q227" s="60">
        <v>4.514E-2</v>
      </c>
      <c r="R227" s="65"/>
      <c r="S227" s="65"/>
      <c r="T227" s="65"/>
      <c r="U227" s="65"/>
      <c r="V227" s="65"/>
      <c r="W227" s="226"/>
    </row>
    <row r="228" spans="1:23" ht="12" thickBot="1" x14ac:dyDescent="0.25">
      <c r="A228" s="66">
        <f>A227+1</f>
        <v>221</v>
      </c>
      <c r="P228" s="242" t="s">
        <v>42</v>
      </c>
      <c r="Q228" s="61">
        <v>4.9699999999999996E-3</v>
      </c>
      <c r="R228" s="229"/>
      <c r="S228" s="229"/>
      <c r="T228" s="229"/>
      <c r="U228" s="229"/>
      <c r="V228" s="229"/>
      <c r="W228" s="243"/>
    </row>
    <row r="229" spans="1:23" ht="20.45" customHeight="1" x14ac:dyDescent="0.2"/>
  </sheetData>
  <pageMargins left="0.7" right="0.7" top="0.75" bottom="0.75" header="0.3" footer="0.3"/>
  <pageSetup scale="58" fitToWidth="4" fitToHeight="4" orientation="landscape" r:id="rId1"/>
  <headerFooter>
    <oddFooter>&amp;R&amp;F
&amp;A
&amp;P of &amp;N</oddFooter>
  </headerFooter>
  <rowBreaks count="4" manualBreakCount="4">
    <brk id="53" max="22" man="1"/>
    <brk id="113" max="22" man="1"/>
    <brk id="151" max="22" man="1"/>
    <brk id="192" max="22" man="1"/>
  </rowBreaks>
  <customProperties>
    <customPr name="_pios_id" r:id="rId2"/>
    <customPr name="CofWorksheetType" r:id="rId3"/>
    <customPr name="EpmWorksheetKeyString_GUID" r:id="rId4"/>
  </customProperties>
  <legacyDrawing r:id="rId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AF3E9F-0060-438A-9143-B6E4A0ABBA38}">
  <sheetPr>
    <tabColor theme="6" tint="0.79998168889431442"/>
    <pageSetUpPr fitToPage="1"/>
  </sheetPr>
  <dimension ref="A1:E65"/>
  <sheetViews>
    <sheetView workbookViewId="0">
      <pane ySplit="8" topLeftCell="A18" activePane="bottomLeft" state="frozen"/>
      <selection activeCell="H13" sqref="H13"/>
      <selection pane="bottomLeft" activeCell="H13" sqref="H13"/>
    </sheetView>
  </sheetViews>
  <sheetFormatPr defaultColWidth="9.140625" defaultRowHeight="11.25" x14ac:dyDescent="0.2"/>
  <cols>
    <col min="1" max="1" width="4.85546875" style="66" customWidth="1"/>
    <col min="2" max="2" width="12.42578125" style="65" bestFit="1" customWidth="1"/>
    <col min="3" max="3" width="46" style="65" bestFit="1" customWidth="1"/>
    <col min="4" max="4" width="18.42578125" style="65" bestFit="1" customWidth="1"/>
    <col min="5" max="5" width="12.5703125" style="65" bestFit="1" customWidth="1"/>
    <col min="6" max="7" width="10.85546875" style="65" bestFit="1" customWidth="1"/>
    <col min="8" max="8" width="12" style="65" bestFit="1" customWidth="1"/>
    <col min="9" max="9" width="8.7109375" style="65" bestFit="1" customWidth="1"/>
    <col min="10" max="16384" width="9.140625" style="65"/>
  </cols>
  <sheetData>
    <row r="1" spans="1:5" s="64" customFormat="1" x14ac:dyDescent="0.25">
      <c r="A1" s="62" t="str">
        <f>'Exh CTM-7 (Lighting Summary)'!A1</f>
        <v>PUGET SOUND ENERGY</v>
      </c>
      <c r="B1" s="62"/>
      <c r="C1" s="62"/>
      <c r="D1" s="62"/>
      <c r="E1" s="63"/>
    </row>
    <row r="2" spans="1:5" s="64" customFormat="1" x14ac:dyDescent="0.25">
      <c r="A2" s="62" t="s">
        <v>95</v>
      </c>
      <c r="B2" s="62"/>
      <c r="C2" s="62"/>
      <c r="D2" s="62"/>
      <c r="E2" s="63"/>
    </row>
    <row r="3" spans="1:5" s="64" customFormat="1" x14ac:dyDescent="0.25">
      <c r="A3" s="62" t="str">
        <f>'Exh CTM-7 (Lighting Summary)'!A3</f>
        <v>2024 General Rate Case Docket No. UE-240004 and UG-240005</v>
      </c>
      <c r="B3" s="62"/>
      <c r="C3" s="62"/>
      <c r="D3" s="62"/>
      <c r="E3" s="63"/>
    </row>
    <row r="4" spans="1:5" s="64" customFormat="1" x14ac:dyDescent="0.25">
      <c r="A4" s="62" t="s">
        <v>141</v>
      </c>
      <c r="B4" s="62"/>
      <c r="C4" s="62"/>
      <c r="D4" s="62"/>
      <c r="E4" s="63"/>
    </row>
    <row r="5" spans="1:5" s="64" customFormat="1" x14ac:dyDescent="0.25"/>
    <row r="6" spans="1:5" s="65" customFormat="1" x14ac:dyDescent="0.2">
      <c r="A6" s="66"/>
      <c r="D6" s="88" t="s">
        <v>140</v>
      </c>
    </row>
    <row r="7" spans="1:5" s="65" customFormat="1" ht="22.5" x14ac:dyDescent="0.2">
      <c r="A7" s="173" t="s">
        <v>36</v>
      </c>
      <c r="B7" s="174" t="s">
        <v>139</v>
      </c>
      <c r="C7" s="174" t="s">
        <v>138</v>
      </c>
      <c r="D7" s="174" t="s">
        <v>137</v>
      </c>
    </row>
    <row r="8" spans="1:5" s="65" customFormat="1" x14ac:dyDescent="0.2">
      <c r="A8" s="74"/>
      <c r="B8" s="74" t="s">
        <v>23</v>
      </c>
      <c r="C8" s="74" t="s">
        <v>22</v>
      </c>
      <c r="D8" s="74" t="s">
        <v>21</v>
      </c>
    </row>
    <row r="9" spans="1:5" s="65" customFormat="1" x14ac:dyDescent="0.2">
      <c r="A9" s="64">
        <v>1</v>
      </c>
      <c r="B9" s="175" t="s">
        <v>136</v>
      </c>
      <c r="C9" s="106"/>
      <c r="D9" s="106"/>
    </row>
    <row r="10" spans="1:5" s="65" customFormat="1" x14ac:dyDescent="0.2">
      <c r="A10" s="66">
        <f>A9+1</f>
        <v>2</v>
      </c>
      <c r="C10" s="176" t="s">
        <v>135</v>
      </c>
      <c r="D10" s="77"/>
    </row>
    <row r="11" spans="1:5" s="65" customFormat="1" x14ac:dyDescent="0.2">
      <c r="A11" s="66">
        <f>A10+1</f>
        <v>3</v>
      </c>
      <c r="C11" s="65" t="s">
        <v>134</v>
      </c>
      <c r="D11" s="24">
        <f>'Exh CTM-7 (Cost Classification)'!D44</f>
        <v>4281418.5804254925</v>
      </c>
      <c r="E11" s="110"/>
    </row>
    <row r="12" spans="1:5" s="65" customFormat="1" x14ac:dyDescent="0.2">
      <c r="A12" s="66">
        <f>A11+1</f>
        <v>4</v>
      </c>
      <c r="C12" s="65" t="s">
        <v>133</v>
      </c>
      <c r="D12" s="24">
        <f>'Exh CTM-7 (Cost Classification)'!E44</f>
        <v>2695525.4940007352</v>
      </c>
      <c r="E12" s="110"/>
    </row>
    <row r="13" spans="1:5" s="65" customFormat="1" x14ac:dyDescent="0.2">
      <c r="A13" s="66">
        <f>A12+1</f>
        <v>5</v>
      </c>
      <c r="C13" s="65" t="s">
        <v>132</v>
      </c>
      <c r="D13" s="162">
        <v>1.3802713430599214E-2</v>
      </c>
      <c r="E13" s="110"/>
    </row>
    <row r="14" spans="1:5" s="65" customFormat="1" x14ac:dyDescent="0.2">
      <c r="A14" s="66">
        <f>A13+1</f>
        <v>6</v>
      </c>
      <c r="C14" s="65" t="s">
        <v>131</v>
      </c>
      <c r="D14" s="24">
        <f>D12*D13</f>
        <v>37205.565938566528</v>
      </c>
      <c r="E14" s="110"/>
    </row>
    <row r="15" spans="1:5" s="65" customFormat="1" ht="12" thickBot="1" x14ac:dyDescent="0.25">
      <c r="A15" s="66">
        <f>A14+1</f>
        <v>7</v>
      </c>
      <c r="C15" s="177" t="s">
        <v>130</v>
      </c>
      <c r="D15" s="28">
        <f>SUM(D11:D12)-D14</f>
        <v>6939738.5084876614</v>
      </c>
      <c r="E15" s="110"/>
    </row>
    <row r="16" spans="1:5" s="65" customFormat="1" ht="12" thickTop="1" x14ac:dyDescent="0.2">
      <c r="A16" s="66">
        <f>A15+1</f>
        <v>8</v>
      </c>
      <c r="C16" s="65" t="s">
        <v>129</v>
      </c>
      <c r="D16" s="24">
        <f>'Exh CTM-7 (Rate Design)'!I191</f>
        <v>126381660.56708331</v>
      </c>
      <c r="E16" s="110"/>
    </row>
    <row r="17" spans="1:5" s="65" customFormat="1" x14ac:dyDescent="0.2">
      <c r="A17" s="66">
        <f>A16+1</f>
        <v>9</v>
      </c>
      <c r="C17" s="65" t="s">
        <v>128</v>
      </c>
      <c r="D17" s="25">
        <f>IFERROR(D15/D16, 0)</f>
        <v>5.4910961585316817E-2</v>
      </c>
      <c r="E17" s="110"/>
    </row>
    <row r="18" spans="1:5" s="65" customFormat="1" ht="12" thickBot="1" x14ac:dyDescent="0.25">
      <c r="A18" s="66">
        <f>A17+1</f>
        <v>10</v>
      </c>
      <c r="C18" s="65" t="s">
        <v>127</v>
      </c>
      <c r="D18" s="20">
        <f>(D17/12)</f>
        <v>4.5759134654430678E-3</v>
      </c>
      <c r="E18" s="110"/>
    </row>
    <row r="19" spans="1:5" s="65" customFormat="1" ht="12" thickTop="1" x14ac:dyDescent="0.2">
      <c r="A19" s="66">
        <f>A18+1</f>
        <v>11</v>
      </c>
      <c r="E19" s="110"/>
    </row>
    <row r="20" spans="1:5" s="65" customFormat="1" x14ac:dyDescent="0.2">
      <c r="A20" s="66">
        <f>A19+1</f>
        <v>12</v>
      </c>
      <c r="C20" s="176" t="s">
        <v>126</v>
      </c>
      <c r="D20" s="77"/>
      <c r="E20" s="110"/>
    </row>
    <row r="21" spans="1:5" s="65" customFormat="1" x14ac:dyDescent="0.2">
      <c r="A21" s="66">
        <f>A20+1</f>
        <v>13</v>
      </c>
      <c r="C21" s="65" t="s">
        <v>125</v>
      </c>
      <c r="D21" s="24">
        <f>D14</f>
        <v>37205.565938566528</v>
      </c>
      <c r="E21" s="110"/>
    </row>
    <row r="22" spans="1:5" s="65" customFormat="1" x14ac:dyDescent="0.2">
      <c r="A22" s="66">
        <f>A21+1</f>
        <v>14</v>
      </c>
      <c r="C22" s="65" t="s">
        <v>124</v>
      </c>
      <c r="D22" s="26">
        <f>SUM('Exh CTM-7 (Rate Design)'!G188:G190)*'Exh CTM-7 (Rate Design)'!H188</f>
        <v>13933160.755040715</v>
      </c>
      <c r="E22" s="110"/>
    </row>
    <row r="23" spans="1:5" s="65" customFormat="1" ht="12" thickBot="1" x14ac:dyDescent="0.25">
      <c r="A23" s="66">
        <f>A22+1</f>
        <v>15</v>
      </c>
      <c r="C23" s="65" t="s">
        <v>123</v>
      </c>
      <c r="D23" s="19">
        <f>D21/D22</f>
        <v>2.6702890028098155E-3</v>
      </c>
      <c r="E23" s="110"/>
    </row>
    <row r="24" spans="1:5" s="65" customFormat="1" ht="12" thickTop="1" x14ac:dyDescent="0.2">
      <c r="A24" s="66">
        <f>A23+1</f>
        <v>16</v>
      </c>
      <c r="D24" s="21"/>
      <c r="E24" s="110"/>
    </row>
    <row r="25" spans="1:5" s="65" customFormat="1" x14ac:dyDescent="0.2">
      <c r="A25" s="66">
        <f>A24+1</f>
        <v>17</v>
      </c>
      <c r="C25" s="176" t="s">
        <v>122</v>
      </c>
      <c r="D25" s="77"/>
    </row>
    <row r="26" spans="1:5" s="65" customFormat="1" x14ac:dyDescent="0.2">
      <c r="A26" s="66">
        <f>A25+1</f>
        <v>18</v>
      </c>
      <c r="C26" s="73" t="s">
        <v>121</v>
      </c>
      <c r="D26" s="178" t="s">
        <v>120</v>
      </c>
    </row>
    <row r="27" spans="1:5" s="65" customFormat="1" x14ac:dyDescent="0.2">
      <c r="A27" s="66">
        <f>A26+1</f>
        <v>19</v>
      </c>
      <c r="C27" s="27">
        <v>30</v>
      </c>
      <c r="D27" s="84">
        <v>1426.7</v>
      </c>
    </row>
    <row r="28" spans="1:5" s="65" customFormat="1" x14ac:dyDescent="0.2">
      <c r="A28" s="66">
        <f>A27+1</f>
        <v>20</v>
      </c>
      <c r="C28" s="27">
        <v>60</v>
      </c>
      <c r="D28" s="84">
        <v>1401.77</v>
      </c>
    </row>
    <row r="29" spans="1:5" s="65" customFormat="1" x14ac:dyDescent="0.2">
      <c r="A29" s="66">
        <f>A28+1</f>
        <v>21</v>
      </c>
      <c r="C29" s="27">
        <v>90</v>
      </c>
      <c r="D29" s="84">
        <v>1562.875</v>
      </c>
    </row>
    <row r="30" spans="1:5" s="65" customFormat="1" x14ac:dyDescent="0.2">
      <c r="A30" s="66">
        <f>A29+1</f>
        <v>22</v>
      </c>
      <c r="C30" s="27">
        <v>150</v>
      </c>
      <c r="D30" s="84">
        <v>1456.9933333333331</v>
      </c>
    </row>
    <row r="31" spans="1:5" s="65" customFormat="1" x14ac:dyDescent="0.2">
      <c r="A31" s="66">
        <f>A30+1</f>
        <v>23</v>
      </c>
      <c r="C31" s="27">
        <v>240</v>
      </c>
      <c r="D31" s="84">
        <v>1576.8033333333335</v>
      </c>
    </row>
    <row r="32" spans="1:5" s="65" customFormat="1" x14ac:dyDescent="0.2">
      <c r="A32" s="66">
        <f>A31+1</f>
        <v>24</v>
      </c>
      <c r="C32" s="27">
        <v>340</v>
      </c>
      <c r="D32" s="84">
        <v>1602.95</v>
      </c>
    </row>
    <row r="33" spans="1:5" s="65" customFormat="1" x14ac:dyDescent="0.2">
      <c r="A33" s="66">
        <f>A32+1</f>
        <v>25</v>
      </c>
      <c r="C33" s="27">
        <v>600</v>
      </c>
      <c r="D33" s="84">
        <v>1388.9766666666667</v>
      </c>
    </row>
    <row r="34" spans="1:5" s="65" customFormat="1" x14ac:dyDescent="0.2">
      <c r="A34" s="66">
        <f>A33+1</f>
        <v>26</v>
      </c>
      <c r="C34" s="27">
        <v>1000</v>
      </c>
      <c r="D34" s="84">
        <v>1783.47</v>
      </c>
    </row>
    <row r="35" spans="1:5" s="65" customFormat="1" x14ac:dyDescent="0.2">
      <c r="A35" s="66">
        <f>A34+1</f>
        <v>27</v>
      </c>
      <c r="C35" s="27"/>
      <c r="D35" s="84"/>
    </row>
    <row r="36" spans="1:5" s="65" customFormat="1" x14ac:dyDescent="0.2">
      <c r="A36" s="66">
        <f>A35+1</f>
        <v>28</v>
      </c>
      <c r="B36" s="176" t="s">
        <v>119</v>
      </c>
      <c r="C36" s="77"/>
      <c r="D36" s="77"/>
      <c r="E36" s="110"/>
    </row>
    <row r="37" spans="1:5" s="65" customFormat="1" x14ac:dyDescent="0.2">
      <c r="A37" s="66">
        <f>A36+1</f>
        <v>29</v>
      </c>
      <c r="C37" s="179" t="s">
        <v>118</v>
      </c>
      <c r="D37" s="95"/>
    </row>
    <row r="38" spans="1:5" s="65" customFormat="1" x14ac:dyDescent="0.2">
      <c r="A38" s="66">
        <f>A37+1</f>
        <v>30</v>
      </c>
      <c r="C38" s="65" t="s">
        <v>103</v>
      </c>
      <c r="D38" s="24">
        <f>'Exh CTM-7 (Cost Classification)'!F44</f>
        <v>3551015.7491367734</v>
      </c>
    </row>
    <row r="39" spans="1:5" s="65" customFormat="1" x14ac:dyDescent="0.2">
      <c r="A39" s="66">
        <f>A38+1</f>
        <v>31</v>
      </c>
      <c r="C39" s="65" t="s">
        <v>117</v>
      </c>
      <c r="D39" s="26">
        <f>D49</f>
        <v>28616.797687756003</v>
      </c>
    </row>
    <row r="40" spans="1:5" s="65" customFormat="1" x14ac:dyDescent="0.2">
      <c r="A40" s="66">
        <f>A39+1</f>
        <v>32</v>
      </c>
      <c r="C40" s="177" t="s">
        <v>116</v>
      </c>
      <c r="D40" s="24">
        <f>D38-D39</f>
        <v>3522398.9514490175</v>
      </c>
    </row>
    <row r="41" spans="1:5" s="65" customFormat="1" x14ac:dyDescent="0.2">
      <c r="A41" s="66">
        <f>A40+1</f>
        <v>33</v>
      </c>
      <c r="C41" s="65" t="s">
        <v>115</v>
      </c>
      <c r="D41" s="47">
        <f>D57/12</f>
        <v>5067914.7045366392</v>
      </c>
    </row>
    <row r="42" spans="1:5" s="65" customFormat="1" x14ac:dyDescent="0.2">
      <c r="A42" s="66">
        <f>A41+1</f>
        <v>34</v>
      </c>
      <c r="C42" s="65" t="s">
        <v>114</v>
      </c>
      <c r="D42" s="25">
        <f>D40/D41</f>
        <v>0.69503911506163985</v>
      </c>
    </row>
    <row r="43" spans="1:5" s="65" customFormat="1" ht="12" thickBot="1" x14ac:dyDescent="0.25">
      <c r="A43" s="66">
        <f>A42+1</f>
        <v>35</v>
      </c>
      <c r="C43" s="65" t="s">
        <v>113</v>
      </c>
      <c r="D43" s="19">
        <f>D42/12</f>
        <v>5.7919926255136651E-2</v>
      </c>
    </row>
    <row r="44" spans="1:5" s="65" customFormat="1" ht="12" thickTop="1" x14ac:dyDescent="0.2">
      <c r="A44" s="66">
        <f>A43+1</f>
        <v>36</v>
      </c>
      <c r="D44" s="21"/>
    </row>
    <row r="45" spans="1:5" s="65" customFormat="1" x14ac:dyDescent="0.2">
      <c r="A45" s="66">
        <f>A44+1</f>
        <v>37</v>
      </c>
      <c r="C45" s="65" t="s">
        <v>103</v>
      </c>
      <c r="D45" s="24">
        <f>D38</f>
        <v>3551015.7491367734</v>
      </c>
    </row>
    <row r="46" spans="1:5" s="65" customFormat="1" x14ac:dyDescent="0.2">
      <c r="A46" s="66">
        <f>A45+1</f>
        <v>38</v>
      </c>
      <c r="C46" s="65" t="s">
        <v>112</v>
      </c>
      <c r="D46" s="47">
        <v>132371.41666666666</v>
      </c>
    </row>
    <row r="47" spans="1:5" s="65" customFormat="1" ht="12" thickBot="1" x14ac:dyDescent="0.25">
      <c r="A47" s="66">
        <f>A46+1</f>
        <v>39</v>
      </c>
      <c r="C47" s="65" t="s">
        <v>111</v>
      </c>
      <c r="D47" s="23">
        <f>D45/D46/12</f>
        <v>2.2355126699285996</v>
      </c>
    </row>
    <row r="48" spans="1:5" s="65" customFormat="1" ht="12" thickTop="1" x14ac:dyDescent="0.2">
      <c r="A48" s="66">
        <f>A47+1</f>
        <v>40</v>
      </c>
      <c r="C48" s="65" t="s">
        <v>110</v>
      </c>
      <c r="D48" s="27">
        <f>SUM('Exh CTM-7 (Rate Design)'!G188:G190)/12</f>
        <v>1066.75</v>
      </c>
    </row>
    <row r="49" spans="1:5" s="65" customFormat="1" ht="12" thickBot="1" x14ac:dyDescent="0.25">
      <c r="A49" s="66">
        <f>A48+1</f>
        <v>41</v>
      </c>
      <c r="C49" s="65" t="s">
        <v>109</v>
      </c>
      <c r="D49" s="22">
        <f>D48*D47*12</f>
        <v>28616.797687756003</v>
      </c>
    </row>
    <row r="50" spans="1:5" s="65" customFormat="1" ht="12" thickTop="1" x14ac:dyDescent="0.2">
      <c r="A50" s="66">
        <f>A49+1</f>
        <v>42</v>
      </c>
      <c r="D50" s="21"/>
      <c r="E50" s="110"/>
    </row>
    <row r="51" spans="1:5" s="65" customFormat="1" x14ac:dyDescent="0.2">
      <c r="A51" s="66">
        <f>A50+1</f>
        <v>43</v>
      </c>
      <c r="B51" s="176" t="s">
        <v>108</v>
      </c>
      <c r="C51" s="77"/>
      <c r="D51" s="77"/>
      <c r="E51" s="110"/>
    </row>
    <row r="52" spans="1:5" s="65" customFormat="1" x14ac:dyDescent="0.2">
      <c r="A52" s="66">
        <f>A51+1</f>
        <v>44</v>
      </c>
      <c r="C52" s="176" t="s">
        <v>107</v>
      </c>
      <c r="D52" s="77"/>
      <c r="E52" s="110"/>
    </row>
    <row r="53" spans="1:5" s="65" customFormat="1" x14ac:dyDescent="0.2">
      <c r="A53" s="66">
        <f>A52+1</f>
        <v>45</v>
      </c>
      <c r="C53" s="65" t="s">
        <v>106</v>
      </c>
      <c r="D53" s="24">
        <f>'Exh CTM-7 (Cost Classification)'!I44</f>
        <v>1394946.8784895362</v>
      </c>
      <c r="E53" s="110"/>
    </row>
    <row r="54" spans="1:5" s="65" customFormat="1" x14ac:dyDescent="0.2">
      <c r="A54" s="66">
        <f>A53+1</f>
        <v>46</v>
      </c>
      <c r="C54" s="65" t="s">
        <v>105</v>
      </c>
      <c r="D54" s="24">
        <f>SUM('Exh CTM-7 (Cost Classification)'!H44, 'Exh CTM-7 (Cost Classification)'!K44)</f>
        <v>6000144.980016469</v>
      </c>
      <c r="E54" s="110"/>
    </row>
    <row r="55" spans="1:5" s="65" customFormat="1" x14ac:dyDescent="0.2">
      <c r="A55" s="66">
        <f>A54+1</f>
        <v>47</v>
      </c>
      <c r="C55" s="65" t="s">
        <v>104</v>
      </c>
      <c r="D55" s="26">
        <f>SUM('Exh CTM-7 (Cost Classification)'!G44, 'Exh CTM-7 (Cost Classification)'!J44)</f>
        <v>606955.80153195933</v>
      </c>
      <c r="E55" s="110"/>
    </row>
    <row r="56" spans="1:5" s="65" customFormat="1" x14ac:dyDescent="0.2">
      <c r="A56" s="66">
        <f>A55+1</f>
        <v>48</v>
      </c>
      <c r="C56" s="65" t="s">
        <v>103</v>
      </c>
      <c r="D56" s="24">
        <f>SUM(D53:D55)</f>
        <v>8002047.6600379646</v>
      </c>
      <c r="E56" s="110"/>
    </row>
    <row r="57" spans="1:5" s="65" customFormat="1" x14ac:dyDescent="0.2">
      <c r="A57" s="66">
        <f>A56+1</f>
        <v>49</v>
      </c>
      <c r="C57" s="65" t="s">
        <v>102</v>
      </c>
      <c r="D57" s="47">
        <f>'Exh CTM-7 (Rate Design)'!L191</f>
        <v>60814976.45443967</v>
      </c>
      <c r="E57" s="110"/>
    </row>
    <row r="58" spans="1:5" s="65" customFormat="1" ht="12" thickBot="1" x14ac:dyDescent="0.25">
      <c r="A58" s="66">
        <f>A57+1</f>
        <v>50</v>
      </c>
      <c r="C58" s="65" t="s">
        <v>101</v>
      </c>
      <c r="D58" s="20">
        <f>D56/D57</f>
        <v>0.13158021471952394</v>
      </c>
      <c r="E58" s="110"/>
    </row>
    <row r="59" spans="1:5" s="65" customFormat="1" ht="12.75" thickTop="1" thickBot="1" x14ac:dyDescent="0.25">
      <c r="A59" s="66">
        <f>A58+1</f>
        <v>51</v>
      </c>
      <c r="C59" s="65" t="s">
        <v>100</v>
      </c>
      <c r="D59" s="19">
        <f>D58/12</f>
        <v>1.0965017893293662E-2</v>
      </c>
      <c r="E59" s="110"/>
    </row>
    <row r="60" spans="1:5" s="65" customFormat="1" ht="12" thickTop="1" x14ac:dyDescent="0.2">
      <c r="A60" s="66">
        <f>A59+1</f>
        <v>52</v>
      </c>
    </row>
    <row r="61" spans="1:5" s="65" customFormat="1" x14ac:dyDescent="0.2">
      <c r="A61" s="66">
        <f>A60+1</f>
        <v>53</v>
      </c>
      <c r="B61" s="176" t="s">
        <v>99</v>
      </c>
      <c r="C61" s="77"/>
      <c r="D61" s="77"/>
    </row>
    <row r="62" spans="1:5" s="65" customFormat="1" x14ac:dyDescent="0.2">
      <c r="A62" s="66">
        <f>A61+1</f>
        <v>54</v>
      </c>
      <c r="C62" s="176" t="s">
        <v>98</v>
      </c>
      <c r="D62" s="77"/>
    </row>
    <row r="63" spans="1:5" s="65" customFormat="1" x14ac:dyDescent="0.2">
      <c r="A63" s="66">
        <f>A62+1</f>
        <v>55</v>
      </c>
      <c r="C63" s="65" t="s">
        <v>97</v>
      </c>
      <c r="D63" s="180">
        <v>5.3155059209482297E-2</v>
      </c>
    </row>
    <row r="64" spans="1:5" s="65" customFormat="1" ht="12" thickBot="1" x14ac:dyDescent="0.25">
      <c r="A64" s="66">
        <f>A63+1</f>
        <v>56</v>
      </c>
      <c r="C64" s="65" t="s">
        <v>96</v>
      </c>
      <c r="D64" s="181">
        <f>D63/12</f>
        <v>4.4295882674568578E-3</v>
      </c>
    </row>
    <row r="65" spans="1:1" s="65" customFormat="1" ht="12" thickTop="1" x14ac:dyDescent="0.2">
      <c r="A65" s="66"/>
    </row>
  </sheetData>
  <pageMargins left="0.7" right="0.7" top="0.75" bottom="0.75" header="0.3" footer="0.3"/>
  <pageSetup fitToHeight="10" orientation="portrait" r:id="rId1"/>
  <headerFooter>
    <oddFooter>&amp;R&amp;F
&amp;A
&amp;P of &amp;N</oddFooter>
  </headerFooter>
  <customProperties>
    <customPr name="_pios_id" r:id="rId2"/>
    <customPr name="EpmWorksheetKeyString_GUID" r:id="rId3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0B1CF0-FDAC-40ED-A4BB-2AB4070A5200}">
  <sheetPr>
    <tabColor theme="6" tint="0.79998168889431442"/>
    <pageSetUpPr fitToPage="1"/>
  </sheetPr>
  <dimension ref="A1:Q61"/>
  <sheetViews>
    <sheetView zoomScaleNormal="100" workbookViewId="0">
      <selection activeCell="H13" sqref="H13"/>
    </sheetView>
  </sheetViews>
  <sheetFormatPr defaultRowHeight="10.15" customHeight="1" x14ac:dyDescent="0.2"/>
  <cols>
    <col min="1" max="1" width="4.5703125" style="65" customWidth="1"/>
    <col min="2" max="2" width="36.7109375" style="65" customWidth="1"/>
    <col min="3" max="3" width="11.28515625" style="65" customWidth="1"/>
    <col min="4" max="4" width="13.85546875" style="65" bestFit="1" customWidth="1"/>
    <col min="5" max="5" width="13.5703125" style="65" bestFit="1" customWidth="1"/>
    <col min="6" max="6" width="13" style="65" customWidth="1"/>
    <col min="7" max="7" width="12.85546875" style="65" bestFit="1" customWidth="1"/>
    <col min="8" max="8" width="11.85546875" style="65" bestFit="1" customWidth="1"/>
    <col min="9" max="9" width="13.7109375" style="65" bestFit="1" customWidth="1"/>
    <col min="10" max="10" width="14.28515625" style="65" customWidth="1"/>
    <col min="11" max="11" width="12.85546875" style="65" customWidth="1"/>
    <col min="12" max="12" width="8.7109375" style="65" bestFit="1" customWidth="1"/>
    <col min="13" max="244" width="9.140625" style="65"/>
    <col min="245" max="245" width="32.85546875" style="65" customWidth="1"/>
    <col min="246" max="246" width="15.42578125" style="65" bestFit="1" customWidth="1"/>
    <col min="247" max="247" width="15.7109375" style="65" bestFit="1" customWidth="1"/>
    <col min="248" max="248" width="14.140625" style="65" bestFit="1" customWidth="1"/>
    <col min="249" max="249" width="11.28515625" style="65" customWidth="1"/>
    <col min="250" max="250" width="15.140625" style="65" bestFit="1" customWidth="1"/>
    <col min="251" max="251" width="9.140625" style="65"/>
    <col min="252" max="252" width="12.28515625" style="65" bestFit="1" customWidth="1"/>
    <col min="253" max="500" width="9.140625" style="65"/>
    <col min="501" max="501" width="32.85546875" style="65" customWidth="1"/>
    <col min="502" max="502" width="15.42578125" style="65" bestFit="1" customWidth="1"/>
    <col min="503" max="503" width="15.7109375" style="65" bestFit="1" customWidth="1"/>
    <col min="504" max="504" width="14.140625" style="65" bestFit="1" customWidth="1"/>
    <col min="505" max="505" width="11.28515625" style="65" customWidth="1"/>
    <col min="506" max="506" width="15.140625" style="65" bestFit="1" customWidth="1"/>
    <col min="507" max="507" width="9.140625" style="65"/>
    <col min="508" max="508" width="12.28515625" style="65" bestFit="1" customWidth="1"/>
    <col min="509" max="756" width="9.140625" style="65"/>
    <col min="757" max="757" width="32.85546875" style="65" customWidth="1"/>
    <col min="758" max="758" width="15.42578125" style="65" bestFit="1" customWidth="1"/>
    <col min="759" max="759" width="15.7109375" style="65" bestFit="1" customWidth="1"/>
    <col min="760" max="760" width="14.140625" style="65" bestFit="1" customWidth="1"/>
    <col min="761" max="761" width="11.28515625" style="65" customWidth="1"/>
    <col min="762" max="762" width="15.140625" style="65" bestFit="1" customWidth="1"/>
    <col min="763" max="763" width="9.140625" style="65"/>
    <col min="764" max="764" width="12.28515625" style="65" bestFit="1" customWidth="1"/>
    <col min="765" max="1012" width="9.140625" style="65"/>
    <col min="1013" max="1013" width="32.85546875" style="65" customWidth="1"/>
    <col min="1014" max="1014" width="15.42578125" style="65" bestFit="1" customWidth="1"/>
    <col min="1015" max="1015" width="15.7109375" style="65" bestFit="1" customWidth="1"/>
    <col min="1016" max="1016" width="14.140625" style="65" bestFit="1" customWidth="1"/>
    <col min="1017" max="1017" width="11.28515625" style="65" customWidth="1"/>
    <col min="1018" max="1018" width="15.140625" style="65" bestFit="1" customWidth="1"/>
    <col min="1019" max="1019" width="9.140625" style="65"/>
    <col min="1020" max="1020" width="12.28515625" style="65" bestFit="1" customWidth="1"/>
    <col min="1021" max="1268" width="9.140625" style="65"/>
    <col min="1269" max="1269" width="32.85546875" style="65" customWidth="1"/>
    <col min="1270" max="1270" width="15.42578125" style="65" bestFit="1" customWidth="1"/>
    <col min="1271" max="1271" width="15.7109375" style="65" bestFit="1" customWidth="1"/>
    <col min="1272" max="1272" width="14.140625" style="65" bestFit="1" customWidth="1"/>
    <col min="1273" max="1273" width="11.28515625" style="65" customWidth="1"/>
    <col min="1274" max="1274" width="15.140625" style="65" bestFit="1" customWidth="1"/>
    <col min="1275" max="1275" width="9.140625" style="65"/>
    <col min="1276" max="1276" width="12.28515625" style="65" bestFit="1" customWidth="1"/>
    <col min="1277" max="1524" width="9.140625" style="65"/>
    <col min="1525" max="1525" width="32.85546875" style="65" customWidth="1"/>
    <col min="1526" max="1526" width="15.42578125" style="65" bestFit="1" customWidth="1"/>
    <col min="1527" max="1527" width="15.7109375" style="65" bestFit="1" customWidth="1"/>
    <col min="1528" max="1528" width="14.140625" style="65" bestFit="1" customWidth="1"/>
    <col min="1529" max="1529" width="11.28515625" style="65" customWidth="1"/>
    <col min="1530" max="1530" width="15.140625" style="65" bestFit="1" customWidth="1"/>
    <col min="1531" max="1531" width="9.140625" style="65"/>
    <col min="1532" max="1532" width="12.28515625" style="65" bestFit="1" customWidth="1"/>
    <col min="1533" max="1780" width="9.140625" style="65"/>
    <col min="1781" max="1781" width="32.85546875" style="65" customWidth="1"/>
    <col min="1782" max="1782" width="15.42578125" style="65" bestFit="1" customWidth="1"/>
    <col min="1783" max="1783" width="15.7109375" style="65" bestFit="1" customWidth="1"/>
    <col min="1784" max="1784" width="14.140625" style="65" bestFit="1" customWidth="1"/>
    <col min="1785" max="1785" width="11.28515625" style="65" customWidth="1"/>
    <col min="1786" max="1786" width="15.140625" style="65" bestFit="1" customWidth="1"/>
    <col min="1787" max="1787" width="9.140625" style="65"/>
    <col min="1788" max="1788" width="12.28515625" style="65" bestFit="1" customWidth="1"/>
    <col min="1789" max="2036" width="9.140625" style="65"/>
    <col min="2037" max="2037" width="32.85546875" style="65" customWidth="1"/>
    <col min="2038" max="2038" width="15.42578125" style="65" bestFit="1" customWidth="1"/>
    <col min="2039" max="2039" width="15.7109375" style="65" bestFit="1" customWidth="1"/>
    <col min="2040" max="2040" width="14.140625" style="65" bestFit="1" customWidth="1"/>
    <col min="2041" max="2041" width="11.28515625" style="65" customWidth="1"/>
    <col min="2042" max="2042" width="15.140625" style="65" bestFit="1" customWidth="1"/>
    <col min="2043" max="2043" width="9.140625" style="65"/>
    <col min="2044" max="2044" width="12.28515625" style="65" bestFit="1" customWidth="1"/>
    <col min="2045" max="2292" width="9.140625" style="65"/>
    <col min="2293" max="2293" width="32.85546875" style="65" customWidth="1"/>
    <col min="2294" max="2294" width="15.42578125" style="65" bestFit="1" customWidth="1"/>
    <col min="2295" max="2295" width="15.7109375" style="65" bestFit="1" customWidth="1"/>
    <col min="2296" max="2296" width="14.140625" style="65" bestFit="1" customWidth="1"/>
    <col min="2297" max="2297" width="11.28515625" style="65" customWidth="1"/>
    <col min="2298" max="2298" width="15.140625" style="65" bestFit="1" customWidth="1"/>
    <col min="2299" max="2299" width="9.140625" style="65"/>
    <col min="2300" max="2300" width="12.28515625" style="65" bestFit="1" customWidth="1"/>
    <col min="2301" max="2548" width="9.140625" style="65"/>
    <col min="2549" max="2549" width="32.85546875" style="65" customWidth="1"/>
    <col min="2550" max="2550" width="15.42578125" style="65" bestFit="1" customWidth="1"/>
    <col min="2551" max="2551" width="15.7109375" style="65" bestFit="1" customWidth="1"/>
    <col min="2552" max="2552" width="14.140625" style="65" bestFit="1" customWidth="1"/>
    <col min="2553" max="2553" width="11.28515625" style="65" customWidth="1"/>
    <col min="2554" max="2554" width="15.140625" style="65" bestFit="1" customWidth="1"/>
    <col min="2555" max="2555" width="9.140625" style="65"/>
    <col min="2556" max="2556" width="12.28515625" style="65" bestFit="1" customWidth="1"/>
    <col min="2557" max="2804" width="9.140625" style="65"/>
    <col min="2805" max="2805" width="32.85546875" style="65" customWidth="1"/>
    <col min="2806" max="2806" width="15.42578125" style="65" bestFit="1" customWidth="1"/>
    <col min="2807" max="2807" width="15.7109375" style="65" bestFit="1" customWidth="1"/>
    <col min="2808" max="2808" width="14.140625" style="65" bestFit="1" customWidth="1"/>
    <col min="2809" max="2809" width="11.28515625" style="65" customWidth="1"/>
    <col min="2810" max="2810" width="15.140625" style="65" bestFit="1" customWidth="1"/>
    <col min="2811" max="2811" width="9.140625" style="65"/>
    <col min="2812" max="2812" width="12.28515625" style="65" bestFit="1" customWidth="1"/>
    <col min="2813" max="3060" width="9.140625" style="65"/>
    <col min="3061" max="3061" width="32.85546875" style="65" customWidth="1"/>
    <col min="3062" max="3062" width="15.42578125" style="65" bestFit="1" customWidth="1"/>
    <col min="3063" max="3063" width="15.7109375" style="65" bestFit="1" customWidth="1"/>
    <col min="3064" max="3064" width="14.140625" style="65" bestFit="1" customWidth="1"/>
    <col min="3065" max="3065" width="11.28515625" style="65" customWidth="1"/>
    <col min="3066" max="3066" width="15.140625" style="65" bestFit="1" customWidth="1"/>
    <col min="3067" max="3067" width="9.140625" style="65"/>
    <col min="3068" max="3068" width="12.28515625" style="65" bestFit="1" customWidth="1"/>
    <col min="3069" max="3316" width="9.140625" style="65"/>
    <col min="3317" max="3317" width="32.85546875" style="65" customWidth="1"/>
    <col min="3318" max="3318" width="15.42578125" style="65" bestFit="1" customWidth="1"/>
    <col min="3319" max="3319" width="15.7109375" style="65" bestFit="1" customWidth="1"/>
    <col min="3320" max="3320" width="14.140625" style="65" bestFit="1" customWidth="1"/>
    <col min="3321" max="3321" width="11.28515625" style="65" customWidth="1"/>
    <col min="3322" max="3322" width="15.140625" style="65" bestFit="1" customWidth="1"/>
    <col min="3323" max="3323" width="9.140625" style="65"/>
    <col min="3324" max="3324" width="12.28515625" style="65" bestFit="1" customWidth="1"/>
    <col min="3325" max="3572" width="9.140625" style="65"/>
    <col min="3573" max="3573" width="32.85546875" style="65" customWidth="1"/>
    <col min="3574" max="3574" width="15.42578125" style="65" bestFit="1" customWidth="1"/>
    <col min="3575" max="3575" width="15.7109375" style="65" bestFit="1" customWidth="1"/>
    <col min="3576" max="3576" width="14.140625" style="65" bestFit="1" customWidth="1"/>
    <col min="3577" max="3577" width="11.28515625" style="65" customWidth="1"/>
    <col min="3578" max="3578" width="15.140625" style="65" bestFit="1" customWidth="1"/>
    <col min="3579" max="3579" width="9.140625" style="65"/>
    <col min="3580" max="3580" width="12.28515625" style="65" bestFit="1" customWidth="1"/>
    <col min="3581" max="3828" width="9.140625" style="65"/>
    <col min="3829" max="3829" width="32.85546875" style="65" customWidth="1"/>
    <col min="3830" max="3830" width="15.42578125" style="65" bestFit="1" customWidth="1"/>
    <col min="3831" max="3831" width="15.7109375" style="65" bestFit="1" customWidth="1"/>
    <col min="3832" max="3832" width="14.140625" style="65" bestFit="1" customWidth="1"/>
    <col min="3833" max="3833" width="11.28515625" style="65" customWidth="1"/>
    <col min="3834" max="3834" width="15.140625" style="65" bestFit="1" customWidth="1"/>
    <col min="3835" max="3835" width="9.140625" style="65"/>
    <col min="3836" max="3836" width="12.28515625" style="65" bestFit="1" customWidth="1"/>
    <col min="3837" max="4084" width="9.140625" style="65"/>
    <col min="4085" max="4085" width="32.85546875" style="65" customWidth="1"/>
    <col min="4086" max="4086" width="15.42578125" style="65" bestFit="1" customWidth="1"/>
    <col min="4087" max="4087" width="15.7109375" style="65" bestFit="1" customWidth="1"/>
    <col min="4088" max="4088" width="14.140625" style="65" bestFit="1" customWidth="1"/>
    <col min="4089" max="4089" width="11.28515625" style="65" customWidth="1"/>
    <col min="4090" max="4090" width="15.140625" style="65" bestFit="1" customWidth="1"/>
    <col min="4091" max="4091" width="9.140625" style="65"/>
    <col min="4092" max="4092" width="12.28515625" style="65" bestFit="1" customWidth="1"/>
    <col min="4093" max="4340" width="9.140625" style="65"/>
    <col min="4341" max="4341" width="32.85546875" style="65" customWidth="1"/>
    <col min="4342" max="4342" width="15.42578125" style="65" bestFit="1" customWidth="1"/>
    <col min="4343" max="4343" width="15.7109375" style="65" bestFit="1" customWidth="1"/>
    <col min="4344" max="4344" width="14.140625" style="65" bestFit="1" customWidth="1"/>
    <col min="4345" max="4345" width="11.28515625" style="65" customWidth="1"/>
    <col min="4346" max="4346" width="15.140625" style="65" bestFit="1" customWidth="1"/>
    <col min="4347" max="4347" width="9.140625" style="65"/>
    <col min="4348" max="4348" width="12.28515625" style="65" bestFit="1" customWidth="1"/>
    <col min="4349" max="4596" width="9.140625" style="65"/>
    <col min="4597" max="4597" width="32.85546875" style="65" customWidth="1"/>
    <col min="4598" max="4598" width="15.42578125" style="65" bestFit="1" customWidth="1"/>
    <col min="4599" max="4599" width="15.7109375" style="65" bestFit="1" customWidth="1"/>
    <col min="4600" max="4600" width="14.140625" style="65" bestFit="1" customWidth="1"/>
    <col min="4601" max="4601" width="11.28515625" style="65" customWidth="1"/>
    <col min="4602" max="4602" width="15.140625" style="65" bestFit="1" customWidth="1"/>
    <col min="4603" max="4603" width="9.140625" style="65"/>
    <col min="4604" max="4604" width="12.28515625" style="65" bestFit="1" customWidth="1"/>
    <col min="4605" max="4852" width="9.140625" style="65"/>
    <col min="4853" max="4853" width="32.85546875" style="65" customWidth="1"/>
    <col min="4854" max="4854" width="15.42578125" style="65" bestFit="1" customWidth="1"/>
    <col min="4855" max="4855" width="15.7109375" style="65" bestFit="1" customWidth="1"/>
    <col min="4856" max="4856" width="14.140625" style="65" bestFit="1" customWidth="1"/>
    <col min="4857" max="4857" width="11.28515625" style="65" customWidth="1"/>
    <col min="4858" max="4858" width="15.140625" style="65" bestFit="1" customWidth="1"/>
    <col min="4859" max="4859" width="9.140625" style="65"/>
    <col min="4860" max="4860" width="12.28515625" style="65" bestFit="1" customWidth="1"/>
    <col min="4861" max="5108" width="9.140625" style="65"/>
    <col min="5109" max="5109" width="32.85546875" style="65" customWidth="1"/>
    <col min="5110" max="5110" width="15.42578125" style="65" bestFit="1" customWidth="1"/>
    <col min="5111" max="5111" width="15.7109375" style="65" bestFit="1" customWidth="1"/>
    <col min="5112" max="5112" width="14.140625" style="65" bestFit="1" customWidth="1"/>
    <col min="5113" max="5113" width="11.28515625" style="65" customWidth="1"/>
    <col min="5114" max="5114" width="15.140625" style="65" bestFit="1" customWidth="1"/>
    <col min="5115" max="5115" width="9.140625" style="65"/>
    <col min="5116" max="5116" width="12.28515625" style="65" bestFit="1" customWidth="1"/>
    <col min="5117" max="5364" width="9.140625" style="65"/>
    <col min="5365" max="5365" width="32.85546875" style="65" customWidth="1"/>
    <col min="5366" max="5366" width="15.42578125" style="65" bestFit="1" customWidth="1"/>
    <col min="5367" max="5367" width="15.7109375" style="65" bestFit="1" customWidth="1"/>
    <col min="5368" max="5368" width="14.140625" style="65" bestFit="1" customWidth="1"/>
    <col min="5369" max="5369" width="11.28515625" style="65" customWidth="1"/>
    <col min="5370" max="5370" width="15.140625" style="65" bestFit="1" customWidth="1"/>
    <col min="5371" max="5371" width="9.140625" style="65"/>
    <col min="5372" max="5372" width="12.28515625" style="65" bestFit="1" customWidth="1"/>
    <col min="5373" max="5620" width="9.140625" style="65"/>
    <col min="5621" max="5621" width="32.85546875" style="65" customWidth="1"/>
    <col min="5622" max="5622" width="15.42578125" style="65" bestFit="1" customWidth="1"/>
    <col min="5623" max="5623" width="15.7109375" style="65" bestFit="1" customWidth="1"/>
    <col min="5624" max="5624" width="14.140625" style="65" bestFit="1" customWidth="1"/>
    <col min="5625" max="5625" width="11.28515625" style="65" customWidth="1"/>
    <col min="5626" max="5626" width="15.140625" style="65" bestFit="1" customWidth="1"/>
    <col min="5627" max="5627" width="9.140625" style="65"/>
    <col min="5628" max="5628" width="12.28515625" style="65" bestFit="1" customWidth="1"/>
    <col min="5629" max="5876" width="9.140625" style="65"/>
    <col min="5877" max="5877" width="32.85546875" style="65" customWidth="1"/>
    <col min="5878" max="5878" width="15.42578125" style="65" bestFit="1" customWidth="1"/>
    <col min="5879" max="5879" width="15.7109375" style="65" bestFit="1" customWidth="1"/>
    <col min="5880" max="5880" width="14.140625" style="65" bestFit="1" customWidth="1"/>
    <col min="5881" max="5881" width="11.28515625" style="65" customWidth="1"/>
    <col min="5882" max="5882" width="15.140625" style="65" bestFit="1" customWidth="1"/>
    <col min="5883" max="5883" width="9.140625" style="65"/>
    <col min="5884" max="5884" width="12.28515625" style="65" bestFit="1" customWidth="1"/>
    <col min="5885" max="6132" width="9.140625" style="65"/>
    <col min="6133" max="6133" width="32.85546875" style="65" customWidth="1"/>
    <col min="6134" max="6134" width="15.42578125" style="65" bestFit="1" customWidth="1"/>
    <col min="6135" max="6135" width="15.7109375" style="65" bestFit="1" customWidth="1"/>
    <col min="6136" max="6136" width="14.140625" style="65" bestFit="1" customWidth="1"/>
    <col min="6137" max="6137" width="11.28515625" style="65" customWidth="1"/>
    <col min="6138" max="6138" width="15.140625" style="65" bestFit="1" customWidth="1"/>
    <col min="6139" max="6139" width="9.140625" style="65"/>
    <col min="6140" max="6140" width="12.28515625" style="65" bestFit="1" customWidth="1"/>
    <col min="6141" max="6388" width="9.140625" style="65"/>
    <col min="6389" max="6389" width="32.85546875" style="65" customWidth="1"/>
    <col min="6390" max="6390" width="15.42578125" style="65" bestFit="1" customWidth="1"/>
    <col min="6391" max="6391" width="15.7109375" style="65" bestFit="1" customWidth="1"/>
    <col min="6392" max="6392" width="14.140625" style="65" bestFit="1" customWidth="1"/>
    <col min="6393" max="6393" width="11.28515625" style="65" customWidth="1"/>
    <col min="6394" max="6394" width="15.140625" style="65" bestFit="1" customWidth="1"/>
    <col min="6395" max="6395" width="9.140625" style="65"/>
    <col min="6396" max="6396" width="12.28515625" style="65" bestFit="1" customWidth="1"/>
    <col min="6397" max="6644" width="9.140625" style="65"/>
    <col min="6645" max="6645" width="32.85546875" style="65" customWidth="1"/>
    <col min="6646" max="6646" width="15.42578125" style="65" bestFit="1" customWidth="1"/>
    <col min="6647" max="6647" width="15.7109375" style="65" bestFit="1" customWidth="1"/>
    <col min="6648" max="6648" width="14.140625" style="65" bestFit="1" customWidth="1"/>
    <col min="6649" max="6649" width="11.28515625" style="65" customWidth="1"/>
    <col min="6650" max="6650" width="15.140625" style="65" bestFit="1" customWidth="1"/>
    <col min="6651" max="6651" width="9.140625" style="65"/>
    <col min="6652" max="6652" width="12.28515625" style="65" bestFit="1" customWidth="1"/>
    <col min="6653" max="6900" width="9.140625" style="65"/>
    <col min="6901" max="6901" width="32.85546875" style="65" customWidth="1"/>
    <col min="6902" max="6902" width="15.42578125" style="65" bestFit="1" customWidth="1"/>
    <col min="6903" max="6903" width="15.7109375" style="65" bestFit="1" customWidth="1"/>
    <col min="6904" max="6904" width="14.140625" style="65" bestFit="1" customWidth="1"/>
    <col min="6905" max="6905" width="11.28515625" style="65" customWidth="1"/>
    <col min="6906" max="6906" width="15.140625" style="65" bestFit="1" customWidth="1"/>
    <col min="6907" max="6907" width="9.140625" style="65"/>
    <col min="6908" max="6908" width="12.28515625" style="65" bestFit="1" customWidth="1"/>
    <col min="6909" max="7156" width="9.140625" style="65"/>
    <col min="7157" max="7157" width="32.85546875" style="65" customWidth="1"/>
    <col min="7158" max="7158" width="15.42578125" style="65" bestFit="1" customWidth="1"/>
    <col min="7159" max="7159" width="15.7109375" style="65" bestFit="1" customWidth="1"/>
    <col min="7160" max="7160" width="14.140625" style="65" bestFit="1" customWidth="1"/>
    <col min="7161" max="7161" width="11.28515625" style="65" customWidth="1"/>
    <col min="7162" max="7162" width="15.140625" style="65" bestFit="1" customWidth="1"/>
    <col min="7163" max="7163" width="9.140625" style="65"/>
    <col min="7164" max="7164" width="12.28515625" style="65" bestFit="1" customWidth="1"/>
    <col min="7165" max="7412" width="9.140625" style="65"/>
    <col min="7413" max="7413" width="32.85546875" style="65" customWidth="1"/>
    <col min="7414" max="7414" width="15.42578125" style="65" bestFit="1" customWidth="1"/>
    <col min="7415" max="7415" width="15.7109375" style="65" bestFit="1" customWidth="1"/>
    <col min="7416" max="7416" width="14.140625" style="65" bestFit="1" customWidth="1"/>
    <col min="7417" max="7417" width="11.28515625" style="65" customWidth="1"/>
    <col min="7418" max="7418" width="15.140625" style="65" bestFit="1" customWidth="1"/>
    <col min="7419" max="7419" width="9.140625" style="65"/>
    <col min="7420" max="7420" width="12.28515625" style="65" bestFit="1" customWidth="1"/>
    <col min="7421" max="7668" width="9.140625" style="65"/>
    <col min="7669" max="7669" width="32.85546875" style="65" customWidth="1"/>
    <col min="7670" max="7670" width="15.42578125" style="65" bestFit="1" customWidth="1"/>
    <col min="7671" max="7671" width="15.7109375" style="65" bestFit="1" customWidth="1"/>
    <col min="7672" max="7672" width="14.140625" style="65" bestFit="1" customWidth="1"/>
    <col min="7673" max="7673" width="11.28515625" style="65" customWidth="1"/>
    <col min="7674" max="7674" width="15.140625" style="65" bestFit="1" customWidth="1"/>
    <col min="7675" max="7675" width="9.140625" style="65"/>
    <col min="7676" max="7676" width="12.28515625" style="65" bestFit="1" customWidth="1"/>
    <col min="7677" max="7924" width="9.140625" style="65"/>
    <col min="7925" max="7925" width="32.85546875" style="65" customWidth="1"/>
    <col min="7926" max="7926" width="15.42578125" style="65" bestFit="1" customWidth="1"/>
    <col min="7927" max="7927" width="15.7109375" style="65" bestFit="1" customWidth="1"/>
    <col min="7928" max="7928" width="14.140625" style="65" bestFit="1" customWidth="1"/>
    <col min="7929" max="7929" width="11.28515625" style="65" customWidth="1"/>
    <col min="7930" max="7930" width="15.140625" style="65" bestFit="1" customWidth="1"/>
    <col min="7931" max="7931" width="9.140625" style="65"/>
    <col min="7932" max="7932" width="12.28515625" style="65" bestFit="1" customWidth="1"/>
    <col min="7933" max="8180" width="9.140625" style="65"/>
    <col min="8181" max="8181" width="32.85546875" style="65" customWidth="1"/>
    <col min="8182" max="8182" width="15.42578125" style="65" bestFit="1" customWidth="1"/>
    <col min="8183" max="8183" width="15.7109375" style="65" bestFit="1" customWidth="1"/>
    <col min="8184" max="8184" width="14.140625" style="65" bestFit="1" customWidth="1"/>
    <col min="8185" max="8185" width="11.28515625" style="65" customWidth="1"/>
    <col min="8186" max="8186" width="15.140625" style="65" bestFit="1" customWidth="1"/>
    <col min="8187" max="8187" width="9.140625" style="65"/>
    <col min="8188" max="8188" width="12.28515625" style="65" bestFit="1" customWidth="1"/>
    <col min="8189" max="8436" width="9.140625" style="65"/>
    <col min="8437" max="8437" width="32.85546875" style="65" customWidth="1"/>
    <col min="8438" max="8438" width="15.42578125" style="65" bestFit="1" customWidth="1"/>
    <col min="8439" max="8439" width="15.7109375" style="65" bestFit="1" customWidth="1"/>
    <col min="8440" max="8440" width="14.140625" style="65" bestFit="1" customWidth="1"/>
    <col min="8441" max="8441" width="11.28515625" style="65" customWidth="1"/>
    <col min="8442" max="8442" width="15.140625" style="65" bestFit="1" customWidth="1"/>
    <col min="8443" max="8443" width="9.140625" style="65"/>
    <col min="8444" max="8444" width="12.28515625" style="65" bestFit="1" customWidth="1"/>
    <col min="8445" max="8692" width="9.140625" style="65"/>
    <col min="8693" max="8693" width="32.85546875" style="65" customWidth="1"/>
    <col min="8694" max="8694" width="15.42578125" style="65" bestFit="1" customWidth="1"/>
    <col min="8695" max="8695" width="15.7109375" style="65" bestFit="1" customWidth="1"/>
    <col min="8696" max="8696" width="14.140625" style="65" bestFit="1" customWidth="1"/>
    <col min="8697" max="8697" width="11.28515625" style="65" customWidth="1"/>
    <col min="8698" max="8698" width="15.140625" style="65" bestFit="1" customWidth="1"/>
    <col min="8699" max="8699" width="9.140625" style="65"/>
    <col min="8700" max="8700" width="12.28515625" style="65" bestFit="1" customWidth="1"/>
    <col min="8701" max="8948" width="9.140625" style="65"/>
    <col min="8949" max="8949" width="32.85546875" style="65" customWidth="1"/>
    <col min="8950" max="8950" width="15.42578125" style="65" bestFit="1" customWidth="1"/>
    <col min="8951" max="8951" width="15.7109375" style="65" bestFit="1" customWidth="1"/>
    <col min="8952" max="8952" width="14.140625" style="65" bestFit="1" customWidth="1"/>
    <col min="8953" max="8953" width="11.28515625" style="65" customWidth="1"/>
    <col min="8954" max="8954" width="15.140625" style="65" bestFit="1" customWidth="1"/>
    <col min="8955" max="8955" width="9.140625" style="65"/>
    <col min="8956" max="8956" width="12.28515625" style="65" bestFit="1" customWidth="1"/>
    <col min="8957" max="9204" width="9.140625" style="65"/>
    <col min="9205" max="9205" width="32.85546875" style="65" customWidth="1"/>
    <col min="9206" max="9206" width="15.42578125" style="65" bestFit="1" customWidth="1"/>
    <col min="9207" max="9207" width="15.7109375" style="65" bestFit="1" customWidth="1"/>
    <col min="9208" max="9208" width="14.140625" style="65" bestFit="1" customWidth="1"/>
    <col min="9209" max="9209" width="11.28515625" style="65" customWidth="1"/>
    <col min="9210" max="9210" width="15.140625" style="65" bestFit="1" customWidth="1"/>
    <col min="9211" max="9211" width="9.140625" style="65"/>
    <col min="9212" max="9212" width="12.28515625" style="65" bestFit="1" customWidth="1"/>
    <col min="9213" max="9460" width="9.140625" style="65"/>
    <col min="9461" max="9461" width="32.85546875" style="65" customWidth="1"/>
    <col min="9462" max="9462" width="15.42578125" style="65" bestFit="1" customWidth="1"/>
    <col min="9463" max="9463" width="15.7109375" style="65" bestFit="1" customWidth="1"/>
    <col min="9464" max="9464" width="14.140625" style="65" bestFit="1" customWidth="1"/>
    <col min="9465" max="9465" width="11.28515625" style="65" customWidth="1"/>
    <col min="9466" max="9466" width="15.140625" style="65" bestFit="1" customWidth="1"/>
    <col min="9467" max="9467" width="9.140625" style="65"/>
    <col min="9468" max="9468" width="12.28515625" style="65" bestFit="1" customWidth="1"/>
    <col min="9469" max="9716" width="9.140625" style="65"/>
    <col min="9717" max="9717" width="32.85546875" style="65" customWidth="1"/>
    <col min="9718" max="9718" width="15.42578125" style="65" bestFit="1" customWidth="1"/>
    <col min="9719" max="9719" width="15.7109375" style="65" bestFit="1" customWidth="1"/>
    <col min="9720" max="9720" width="14.140625" style="65" bestFit="1" customWidth="1"/>
    <col min="9721" max="9721" width="11.28515625" style="65" customWidth="1"/>
    <col min="9722" max="9722" width="15.140625" style="65" bestFit="1" customWidth="1"/>
    <col min="9723" max="9723" width="9.140625" style="65"/>
    <col min="9724" max="9724" width="12.28515625" style="65" bestFit="1" customWidth="1"/>
    <col min="9725" max="9972" width="9.140625" style="65"/>
    <col min="9973" max="9973" width="32.85546875" style="65" customWidth="1"/>
    <col min="9974" max="9974" width="15.42578125" style="65" bestFit="1" customWidth="1"/>
    <col min="9975" max="9975" width="15.7109375" style="65" bestFit="1" customWidth="1"/>
    <col min="9976" max="9976" width="14.140625" style="65" bestFit="1" customWidth="1"/>
    <col min="9977" max="9977" width="11.28515625" style="65" customWidth="1"/>
    <col min="9978" max="9978" width="15.140625" style="65" bestFit="1" customWidth="1"/>
    <col min="9979" max="9979" width="9.140625" style="65"/>
    <col min="9980" max="9980" width="12.28515625" style="65" bestFit="1" customWidth="1"/>
    <col min="9981" max="10228" width="9.140625" style="65"/>
    <col min="10229" max="10229" width="32.85546875" style="65" customWidth="1"/>
    <col min="10230" max="10230" width="15.42578125" style="65" bestFit="1" customWidth="1"/>
    <col min="10231" max="10231" width="15.7109375" style="65" bestFit="1" customWidth="1"/>
    <col min="10232" max="10232" width="14.140625" style="65" bestFit="1" customWidth="1"/>
    <col min="10233" max="10233" width="11.28515625" style="65" customWidth="1"/>
    <col min="10234" max="10234" width="15.140625" style="65" bestFit="1" customWidth="1"/>
    <col min="10235" max="10235" width="9.140625" style="65"/>
    <col min="10236" max="10236" width="12.28515625" style="65" bestFit="1" customWidth="1"/>
    <col min="10237" max="10484" width="9.140625" style="65"/>
    <col min="10485" max="10485" width="32.85546875" style="65" customWidth="1"/>
    <col min="10486" max="10486" width="15.42578125" style="65" bestFit="1" customWidth="1"/>
    <col min="10487" max="10487" width="15.7109375" style="65" bestFit="1" customWidth="1"/>
    <col min="10488" max="10488" width="14.140625" style="65" bestFit="1" customWidth="1"/>
    <col min="10489" max="10489" width="11.28515625" style="65" customWidth="1"/>
    <col min="10490" max="10490" width="15.140625" style="65" bestFit="1" customWidth="1"/>
    <col min="10491" max="10491" width="9.140625" style="65"/>
    <col min="10492" max="10492" width="12.28515625" style="65" bestFit="1" customWidth="1"/>
    <col min="10493" max="10740" width="9.140625" style="65"/>
    <col min="10741" max="10741" width="32.85546875" style="65" customWidth="1"/>
    <col min="10742" max="10742" width="15.42578125" style="65" bestFit="1" customWidth="1"/>
    <col min="10743" max="10743" width="15.7109375" style="65" bestFit="1" customWidth="1"/>
    <col min="10744" max="10744" width="14.140625" style="65" bestFit="1" customWidth="1"/>
    <col min="10745" max="10745" width="11.28515625" style="65" customWidth="1"/>
    <col min="10746" max="10746" width="15.140625" style="65" bestFit="1" customWidth="1"/>
    <col min="10747" max="10747" width="9.140625" style="65"/>
    <col min="10748" max="10748" width="12.28515625" style="65" bestFit="1" customWidth="1"/>
    <col min="10749" max="10996" width="9.140625" style="65"/>
    <col min="10997" max="10997" width="32.85546875" style="65" customWidth="1"/>
    <col min="10998" max="10998" width="15.42578125" style="65" bestFit="1" customWidth="1"/>
    <col min="10999" max="10999" width="15.7109375" style="65" bestFit="1" customWidth="1"/>
    <col min="11000" max="11000" width="14.140625" style="65" bestFit="1" customWidth="1"/>
    <col min="11001" max="11001" width="11.28515625" style="65" customWidth="1"/>
    <col min="11002" max="11002" width="15.140625" style="65" bestFit="1" customWidth="1"/>
    <col min="11003" max="11003" width="9.140625" style="65"/>
    <col min="11004" max="11004" width="12.28515625" style="65" bestFit="1" customWidth="1"/>
    <col min="11005" max="11252" width="9.140625" style="65"/>
    <col min="11253" max="11253" width="32.85546875" style="65" customWidth="1"/>
    <col min="11254" max="11254" width="15.42578125" style="65" bestFit="1" customWidth="1"/>
    <col min="11255" max="11255" width="15.7109375" style="65" bestFit="1" customWidth="1"/>
    <col min="11256" max="11256" width="14.140625" style="65" bestFit="1" customWidth="1"/>
    <col min="11257" max="11257" width="11.28515625" style="65" customWidth="1"/>
    <col min="11258" max="11258" width="15.140625" style="65" bestFit="1" customWidth="1"/>
    <col min="11259" max="11259" width="9.140625" style="65"/>
    <col min="11260" max="11260" width="12.28515625" style="65" bestFit="1" customWidth="1"/>
    <col min="11261" max="11508" width="9.140625" style="65"/>
    <col min="11509" max="11509" width="32.85546875" style="65" customWidth="1"/>
    <col min="11510" max="11510" width="15.42578125" style="65" bestFit="1" customWidth="1"/>
    <col min="11511" max="11511" width="15.7109375" style="65" bestFit="1" customWidth="1"/>
    <col min="11512" max="11512" width="14.140625" style="65" bestFit="1" customWidth="1"/>
    <col min="11513" max="11513" width="11.28515625" style="65" customWidth="1"/>
    <col min="11514" max="11514" width="15.140625" style="65" bestFit="1" customWidth="1"/>
    <col min="11515" max="11515" width="9.140625" style="65"/>
    <col min="11516" max="11516" width="12.28515625" style="65" bestFit="1" customWidth="1"/>
    <col min="11517" max="11764" width="9.140625" style="65"/>
    <col min="11765" max="11765" width="32.85546875" style="65" customWidth="1"/>
    <col min="11766" max="11766" width="15.42578125" style="65" bestFit="1" customWidth="1"/>
    <col min="11767" max="11767" width="15.7109375" style="65" bestFit="1" customWidth="1"/>
    <col min="11768" max="11768" width="14.140625" style="65" bestFit="1" customWidth="1"/>
    <col min="11769" max="11769" width="11.28515625" style="65" customWidth="1"/>
    <col min="11770" max="11770" width="15.140625" style="65" bestFit="1" customWidth="1"/>
    <col min="11771" max="11771" width="9.140625" style="65"/>
    <col min="11772" max="11772" width="12.28515625" style="65" bestFit="1" customWidth="1"/>
    <col min="11773" max="12020" width="9.140625" style="65"/>
    <col min="12021" max="12021" width="32.85546875" style="65" customWidth="1"/>
    <col min="12022" max="12022" width="15.42578125" style="65" bestFit="1" customWidth="1"/>
    <col min="12023" max="12023" width="15.7109375" style="65" bestFit="1" customWidth="1"/>
    <col min="12024" max="12024" width="14.140625" style="65" bestFit="1" customWidth="1"/>
    <col min="12025" max="12025" width="11.28515625" style="65" customWidth="1"/>
    <col min="12026" max="12026" width="15.140625" style="65" bestFit="1" customWidth="1"/>
    <col min="12027" max="12027" width="9.140625" style="65"/>
    <col min="12028" max="12028" width="12.28515625" style="65" bestFit="1" customWidth="1"/>
    <col min="12029" max="12276" width="9.140625" style="65"/>
    <col min="12277" max="12277" width="32.85546875" style="65" customWidth="1"/>
    <col min="12278" max="12278" width="15.42578125" style="65" bestFit="1" customWidth="1"/>
    <col min="12279" max="12279" width="15.7109375" style="65" bestFit="1" customWidth="1"/>
    <col min="12280" max="12280" width="14.140625" style="65" bestFit="1" customWidth="1"/>
    <col min="12281" max="12281" width="11.28515625" style="65" customWidth="1"/>
    <col min="12282" max="12282" width="15.140625" style="65" bestFit="1" customWidth="1"/>
    <col min="12283" max="12283" width="9.140625" style="65"/>
    <col min="12284" max="12284" width="12.28515625" style="65" bestFit="1" customWidth="1"/>
    <col min="12285" max="12532" width="9.140625" style="65"/>
    <col min="12533" max="12533" width="32.85546875" style="65" customWidth="1"/>
    <col min="12534" max="12534" width="15.42578125" style="65" bestFit="1" customWidth="1"/>
    <col min="12535" max="12535" width="15.7109375" style="65" bestFit="1" customWidth="1"/>
    <col min="12536" max="12536" width="14.140625" style="65" bestFit="1" customWidth="1"/>
    <col min="12537" max="12537" width="11.28515625" style="65" customWidth="1"/>
    <col min="12538" max="12538" width="15.140625" style="65" bestFit="1" customWidth="1"/>
    <col min="12539" max="12539" width="9.140625" style="65"/>
    <col min="12540" max="12540" width="12.28515625" style="65" bestFit="1" customWidth="1"/>
    <col min="12541" max="12788" width="9.140625" style="65"/>
    <col min="12789" max="12789" width="32.85546875" style="65" customWidth="1"/>
    <col min="12790" max="12790" width="15.42578125" style="65" bestFit="1" customWidth="1"/>
    <col min="12791" max="12791" width="15.7109375" style="65" bestFit="1" customWidth="1"/>
    <col min="12792" max="12792" width="14.140625" style="65" bestFit="1" customWidth="1"/>
    <col min="12793" max="12793" width="11.28515625" style="65" customWidth="1"/>
    <col min="12794" max="12794" width="15.140625" style="65" bestFit="1" customWidth="1"/>
    <col min="12795" max="12795" width="9.140625" style="65"/>
    <col min="12796" max="12796" width="12.28515625" style="65" bestFit="1" customWidth="1"/>
    <col min="12797" max="13044" width="9.140625" style="65"/>
    <col min="13045" max="13045" width="32.85546875" style="65" customWidth="1"/>
    <col min="13046" max="13046" width="15.42578125" style="65" bestFit="1" customWidth="1"/>
    <col min="13047" max="13047" width="15.7109375" style="65" bestFit="1" customWidth="1"/>
    <col min="13048" max="13048" width="14.140625" style="65" bestFit="1" customWidth="1"/>
    <col min="13049" max="13049" width="11.28515625" style="65" customWidth="1"/>
    <col min="13050" max="13050" width="15.140625" style="65" bestFit="1" customWidth="1"/>
    <col min="13051" max="13051" width="9.140625" style="65"/>
    <col min="13052" max="13052" width="12.28515625" style="65" bestFit="1" customWidth="1"/>
    <col min="13053" max="13300" width="9.140625" style="65"/>
    <col min="13301" max="13301" width="32.85546875" style="65" customWidth="1"/>
    <col min="13302" max="13302" width="15.42578125" style="65" bestFit="1" customWidth="1"/>
    <col min="13303" max="13303" width="15.7109375" style="65" bestFit="1" customWidth="1"/>
    <col min="13304" max="13304" width="14.140625" style="65" bestFit="1" customWidth="1"/>
    <col min="13305" max="13305" width="11.28515625" style="65" customWidth="1"/>
    <col min="13306" max="13306" width="15.140625" style="65" bestFit="1" customWidth="1"/>
    <col min="13307" max="13307" width="9.140625" style="65"/>
    <col min="13308" max="13308" width="12.28515625" style="65" bestFit="1" customWidth="1"/>
    <col min="13309" max="13556" width="9.140625" style="65"/>
    <col min="13557" max="13557" width="32.85546875" style="65" customWidth="1"/>
    <col min="13558" max="13558" width="15.42578125" style="65" bestFit="1" customWidth="1"/>
    <col min="13559" max="13559" width="15.7109375" style="65" bestFit="1" customWidth="1"/>
    <col min="13560" max="13560" width="14.140625" style="65" bestFit="1" customWidth="1"/>
    <col min="13561" max="13561" width="11.28515625" style="65" customWidth="1"/>
    <col min="13562" max="13562" width="15.140625" style="65" bestFit="1" customWidth="1"/>
    <col min="13563" max="13563" width="9.140625" style="65"/>
    <col min="13564" max="13564" width="12.28515625" style="65" bestFit="1" customWidth="1"/>
    <col min="13565" max="13812" width="9.140625" style="65"/>
    <col min="13813" max="13813" width="32.85546875" style="65" customWidth="1"/>
    <col min="13814" max="13814" width="15.42578125" style="65" bestFit="1" customWidth="1"/>
    <col min="13815" max="13815" width="15.7109375" style="65" bestFit="1" customWidth="1"/>
    <col min="13816" max="13816" width="14.140625" style="65" bestFit="1" customWidth="1"/>
    <col min="13817" max="13817" width="11.28515625" style="65" customWidth="1"/>
    <col min="13818" max="13818" width="15.140625" style="65" bestFit="1" customWidth="1"/>
    <col min="13819" max="13819" width="9.140625" style="65"/>
    <col min="13820" max="13820" width="12.28515625" style="65" bestFit="1" customWidth="1"/>
    <col min="13821" max="14068" width="9.140625" style="65"/>
    <col min="14069" max="14069" width="32.85546875" style="65" customWidth="1"/>
    <col min="14070" max="14070" width="15.42578125" style="65" bestFit="1" customWidth="1"/>
    <col min="14071" max="14071" width="15.7109375" style="65" bestFit="1" customWidth="1"/>
    <col min="14072" max="14072" width="14.140625" style="65" bestFit="1" customWidth="1"/>
    <col min="14073" max="14073" width="11.28515625" style="65" customWidth="1"/>
    <col min="14074" max="14074" width="15.140625" style="65" bestFit="1" customWidth="1"/>
    <col min="14075" max="14075" width="9.140625" style="65"/>
    <col min="14076" max="14076" width="12.28515625" style="65" bestFit="1" customWidth="1"/>
    <col min="14077" max="14324" width="9.140625" style="65"/>
    <col min="14325" max="14325" width="32.85546875" style="65" customWidth="1"/>
    <col min="14326" max="14326" width="15.42578125" style="65" bestFit="1" customWidth="1"/>
    <col min="14327" max="14327" width="15.7109375" style="65" bestFit="1" customWidth="1"/>
    <col min="14328" max="14328" width="14.140625" style="65" bestFit="1" customWidth="1"/>
    <col min="14329" max="14329" width="11.28515625" style="65" customWidth="1"/>
    <col min="14330" max="14330" width="15.140625" style="65" bestFit="1" customWidth="1"/>
    <col min="14331" max="14331" width="9.140625" style="65"/>
    <col min="14332" max="14332" width="12.28515625" style="65" bestFit="1" customWidth="1"/>
    <col min="14333" max="14580" width="9.140625" style="65"/>
    <col min="14581" max="14581" width="32.85546875" style="65" customWidth="1"/>
    <col min="14582" max="14582" width="15.42578125" style="65" bestFit="1" customWidth="1"/>
    <col min="14583" max="14583" width="15.7109375" style="65" bestFit="1" customWidth="1"/>
    <col min="14584" max="14584" width="14.140625" style="65" bestFit="1" customWidth="1"/>
    <col min="14585" max="14585" width="11.28515625" style="65" customWidth="1"/>
    <col min="14586" max="14586" width="15.140625" style="65" bestFit="1" customWidth="1"/>
    <col min="14587" max="14587" width="9.140625" style="65"/>
    <col min="14588" max="14588" width="12.28515625" style="65" bestFit="1" customWidth="1"/>
    <col min="14589" max="14836" width="9.140625" style="65"/>
    <col min="14837" max="14837" width="32.85546875" style="65" customWidth="1"/>
    <col min="14838" max="14838" width="15.42578125" style="65" bestFit="1" customWidth="1"/>
    <col min="14839" max="14839" width="15.7109375" style="65" bestFit="1" customWidth="1"/>
    <col min="14840" max="14840" width="14.140625" style="65" bestFit="1" customWidth="1"/>
    <col min="14841" max="14841" width="11.28515625" style="65" customWidth="1"/>
    <col min="14842" max="14842" width="15.140625" style="65" bestFit="1" customWidth="1"/>
    <col min="14843" max="14843" width="9.140625" style="65"/>
    <col min="14844" max="14844" width="12.28515625" style="65" bestFit="1" customWidth="1"/>
    <col min="14845" max="15092" width="9.140625" style="65"/>
    <col min="15093" max="15093" width="32.85546875" style="65" customWidth="1"/>
    <col min="15094" max="15094" width="15.42578125" style="65" bestFit="1" customWidth="1"/>
    <col min="15095" max="15095" width="15.7109375" style="65" bestFit="1" customWidth="1"/>
    <col min="15096" max="15096" width="14.140625" style="65" bestFit="1" customWidth="1"/>
    <col min="15097" max="15097" width="11.28515625" style="65" customWidth="1"/>
    <col min="15098" max="15098" width="15.140625" style="65" bestFit="1" customWidth="1"/>
    <col min="15099" max="15099" width="9.140625" style="65"/>
    <col min="15100" max="15100" width="12.28515625" style="65" bestFit="1" customWidth="1"/>
    <col min="15101" max="15348" width="9.140625" style="65"/>
    <col min="15349" max="15349" width="32.85546875" style="65" customWidth="1"/>
    <col min="15350" max="15350" width="15.42578125" style="65" bestFit="1" customWidth="1"/>
    <col min="15351" max="15351" width="15.7109375" style="65" bestFit="1" customWidth="1"/>
    <col min="15352" max="15352" width="14.140625" style="65" bestFit="1" customWidth="1"/>
    <col min="15353" max="15353" width="11.28515625" style="65" customWidth="1"/>
    <col min="15354" max="15354" width="15.140625" style="65" bestFit="1" customWidth="1"/>
    <col min="15355" max="15355" width="9.140625" style="65"/>
    <col min="15356" max="15356" width="12.28515625" style="65" bestFit="1" customWidth="1"/>
    <col min="15357" max="15604" width="9.140625" style="65"/>
    <col min="15605" max="15605" width="32.85546875" style="65" customWidth="1"/>
    <col min="15606" max="15606" width="15.42578125" style="65" bestFit="1" customWidth="1"/>
    <col min="15607" max="15607" width="15.7109375" style="65" bestFit="1" customWidth="1"/>
    <col min="15608" max="15608" width="14.140625" style="65" bestFit="1" customWidth="1"/>
    <col min="15609" max="15609" width="11.28515625" style="65" customWidth="1"/>
    <col min="15610" max="15610" width="15.140625" style="65" bestFit="1" customWidth="1"/>
    <col min="15611" max="15611" width="9.140625" style="65"/>
    <col min="15612" max="15612" width="12.28515625" style="65" bestFit="1" customWidth="1"/>
    <col min="15613" max="15860" width="9.140625" style="65"/>
    <col min="15861" max="15861" width="32.85546875" style="65" customWidth="1"/>
    <col min="15862" max="15862" width="15.42578125" style="65" bestFit="1" customWidth="1"/>
    <col min="15863" max="15863" width="15.7109375" style="65" bestFit="1" customWidth="1"/>
    <col min="15864" max="15864" width="14.140625" style="65" bestFit="1" customWidth="1"/>
    <col min="15865" max="15865" width="11.28515625" style="65" customWidth="1"/>
    <col min="15866" max="15866" width="15.140625" style="65" bestFit="1" customWidth="1"/>
    <col min="15867" max="15867" width="9.140625" style="65"/>
    <col min="15868" max="15868" width="12.28515625" style="65" bestFit="1" customWidth="1"/>
    <col min="15869" max="16116" width="9.140625" style="65"/>
    <col min="16117" max="16117" width="32.85546875" style="65" customWidth="1"/>
    <col min="16118" max="16118" width="15.42578125" style="65" bestFit="1" customWidth="1"/>
    <col min="16119" max="16119" width="15.7109375" style="65" bestFit="1" customWidth="1"/>
    <col min="16120" max="16120" width="14.140625" style="65" bestFit="1" customWidth="1"/>
    <col min="16121" max="16121" width="11.28515625" style="65" customWidth="1"/>
    <col min="16122" max="16122" width="15.140625" style="65" bestFit="1" customWidth="1"/>
    <col min="16123" max="16123" width="9.140625" style="65"/>
    <col min="16124" max="16124" width="12.28515625" style="65" bestFit="1" customWidth="1"/>
    <col min="16125" max="16368" width="9.140625" style="65"/>
    <col min="16369" max="16384" width="8.85546875" style="65" customWidth="1"/>
  </cols>
  <sheetData>
    <row r="1" spans="1:17" s="64" customFormat="1" ht="10.15" customHeight="1" x14ac:dyDescent="0.25">
      <c r="A1" s="62" t="str">
        <f>'Exh CTM-7 (Lighting Summary)'!A1:J1</f>
        <v>PUGET SOUND ENERGY</v>
      </c>
      <c r="B1" s="62"/>
      <c r="C1" s="62"/>
      <c r="D1" s="62"/>
      <c r="E1" s="62"/>
      <c r="F1" s="62"/>
      <c r="G1" s="62"/>
      <c r="H1" s="62"/>
      <c r="I1" s="62"/>
      <c r="J1" s="62"/>
      <c r="K1" s="62"/>
    </row>
    <row r="2" spans="1:17" s="64" customFormat="1" ht="10.15" customHeight="1" x14ac:dyDescent="0.25">
      <c r="A2" s="62" t="str">
        <f>'Exh CTM-7 (Unitized Costs)'!A2</f>
        <v>2024 GRC Test year: 12 Months ended June 2023</v>
      </c>
      <c r="B2" s="62"/>
      <c r="C2" s="62"/>
      <c r="D2" s="62"/>
      <c r="E2" s="62"/>
      <c r="F2" s="62"/>
      <c r="G2" s="62"/>
      <c r="H2" s="62"/>
      <c r="I2" s="62"/>
      <c r="J2" s="62"/>
      <c r="K2" s="62"/>
    </row>
    <row r="3" spans="1:17" s="64" customFormat="1" ht="10.15" customHeight="1" x14ac:dyDescent="0.25">
      <c r="A3" s="62" t="str">
        <f>'Exh CTM-7 (Lighting Summary)'!A3:J3</f>
        <v>2024 General Rate Case Docket No. UE-240004 and UG-240005</v>
      </c>
      <c r="B3" s="62"/>
      <c r="C3" s="62"/>
      <c r="D3" s="62"/>
      <c r="E3" s="62"/>
      <c r="F3" s="62"/>
      <c r="G3" s="62"/>
      <c r="H3" s="62"/>
      <c r="I3" s="62"/>
      <c r="J3" s="62"/>
      <c r="K3" s="62"/>
    </row>
    <row r="4" spans="1:17" s="65" customFormat="1" ht="10.15" customHeight="1" x14ac:dyDescent="0.2">
      <c r="A4" s="62" t="s">
        <v>184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</row>
    <row r="6" spans="1:17" s="65" customFormat="1" ht="11.25" x14ac:dyDescent="0.2">
      <c r="B6" s="103"/>
      <c r="C6" s="122" t="s">
        <v>183</v>
      </c>
      <c r="D6" s="123" t="s">
        <v>136</v>
      </c>
      <c r="E6" s="124"/>
      <c r="F6" s="125" t="s">
        <v>182</v>
      </c>
      <c r="G6" s="123" t="s">
        <v>181</v>
      </c>
      <c r="H6" s="102"/>
      <c r="I6" s="124"/>
      <c r="J6" s="125" t="s">
        <v>180</v>
      </c>
      <c r="K6" s="126" t="s">
        <v>179</v>
      </c>
    </row>
    <row r="7" spans="1:17" s="65" customFormat="1" ht="33.75" x14ac:dyDescent="0.2">
      <c r="A7" s="127" t="s">
        <v>36</v>
      </c>
      <c r="B7" s="71" t="s">
        <v>178</v>
      </c>
      <c r="C7" s="128"/>
      <c r="D7" s="72" t="s">
        <v>177</v>
      </c>
      <c r="E7" s="129" t="s">
        <v>176</v>
      </c>
      <c r="F7" s="130"/>
      <c r="G7" s="71" t="s">
        <v>175</v>
      </c>
      <c r="H7" s="71" t="s">
        <v>174</v>
      </c>
      <c r="I7" s="131" t="s">
        <v>173</v>
      </c>
      <c r="J7" s="130"/>
      <c r="K7" s="132"/>
    </row>
    <row r="8" spans="1:17" s="65" customFormat="1" ht="10.15" customHeight="1" x14ac:dyDescent="0.2">
      <c r="A8" s="133"/>
      <c r="B8" s="74" t="s">
        <v>23</v>
      </c>
      <c r="C8" s="75" t="s">
        <v>22</v>
      </c>
      <c r="D8" s="75" t="s">
        <v>21</v>
      </c>
      <c r="E8" s="75" t="s">
        <v>20</v>
      </c>
      <c r="F8" s="75" t="s">
        <v>19</v>
      </c>
      <c r="G8" s="75" t="s">
        <v>18</v>
      </c>
      <c r="H8" s="75" t="s">
        <v>17</v>
      </c>
      <c r="I8" s="75" t="s">
        <v>16</v>
      </c>
      <c r="J8" s="75" t="s">
        <v>15</v>
      </c>
      <c r="K8" s="74" t="s">
        <v>14</v>
      </c>
    </row>
    <row r="9" spans="1:17" s="65" customFormat="1" ht="10.15" customHeight="1" x14ac:dyDescent="0.2">
      <c r="A9" s="134"/>
      <c r="B9" s="65" t="s">
        <v>172</v>
      </c>
      <c r="C9" s="135"/>
      <c r="E9" s="135"/>
      <c r="F9" s="136"/>
      <c r="I9" s="135"/>
      <c r="J9" s="136"/>
      <c r="K9" s="137"/>
    </row>
    <row r="10" spans="1:17" s="65" customFormat="1" ht="10.15" customHeight="1" x14ac:dyDescent="0.2">
      <c r="A10" s="138">
        <v>1</v>
      </c>
      <c r="B10" s="65" t="s">
        <v>171</v>
      </c>
      <c r="C10" s="139"/>
      <c r="D10" s="82"/>
      <c r="E10" s="139"/>
      <c r="F10" s="140"/>
      <c r="G10" s="82"/>
      <c r="H10" s="82"/>
      <c r="I10" s="139"/>
      <c r="J10" s="140"/>
      <c r="K10" s="141"/>
      <c r="L10" s="82"/>
      <c r="M10" s="82"/>
      <c r="N10" s="82"/>
      <c r="O10" s="82"/>
      <c r="P10" s="82"/>
      <c r="Q10" s="82"/>
    </row>
    <row r="11" spans="1:17" s="65" customFormat="1" ht="10.15" customHeight="1" x14ac:dyDescent="0.2">
      <c r="A11" s="138">
        <f>A10+1</f>
        <v>2</v>
      </c>
      <c r="B11" s="120" t="s">
        <v>170</v>
      </c>
      <c r="C11" s="139">
        <f>SUM(D11:K11)</f>
        <v>61401778.83208333</v>
      </c>
      <c r="D11" s="82">
        <v>27755647.38341793</v>
      </c>
      <c r="E11" s="139">
        <v>33646131.448665403</v>
      </c>
      <c r="F11" s="140"/>
      <c r="G11" s="82"/>
      <c r="H11" s="82"/>
      <c r="I11" s="139"/>
      <c r="J11" s="140"/>
      <c r="K11" s="141"/>
      <c r="L11" s="82"/>
      <c r="M11" s="82"/>
      <c r="N11" s="82"/>
      <c r="O11" s="82"/>
      <c r="P11" s="82"/>
      <c r="Q11" s="82"/>
    </row>
    <row r="12" spans="1:17" s="65" customFormat="1" ht="10.15" customHeight="1" x14ac:dyDescent="0.2">
      <c r="A12" s="138">
        <f>A11+1</f>
        <v>3</v>
      </c>
      <c r="B12" s="120" t="s">
        <v>169</v>
      </c>
      <c r="C12" s="139">
        <f>SUM(D12:K12)</f>
        <v>-33898384.670000002</v>
      </c>
      <c r="D12" s="82">
        <v>-15323197.953938767</v>
      </c>
      <c r="E12" s="139">
        <v>-18575186.716061234</v>
      </c>
      <c r="F12" s="140"/>
      <c r="G12" s="82"/>
      <c r="H12" s="82"/>
      <c r="I12" s="139"/>
      <c r="J12" s="140"/>
      <c r="K12" s="141"/>
      <c r="L12" s="142"/>
      <c r="M12" s="82"/>
      <c r="N12" s="82"/>
      <c r="O12" s="82"/>
      <c r="P12" s="82"/>
      <c r="Q12" s="82"/>
    </row>
    <row r="13" spans="1:17" s="65" customFormat="1" ht="10.15" customHeight="1" x14ac:dyDescent="0.2">
      <c r="A13" s="138">
        <f>A12+1</f>
        <v>4</v>
      </c>
      <c r="B13" s="120" t="s">
        <v>168</v>
      </c>
      <c r="C13" s="139">
        <f>SUM(D13:K13)</f>
        <v>51246942.065506451</v>
      </c>
      <c r="D13" s="82">
        <v>44440505.494112402</v>
      </c>
      <c r="E13" s="139"/>
      <c r="F13" s="140"/>
      <c r="G13" s="82"/>
      <c r="H13" s="82"/>
      <c r="I13" s="139"/>
      <c r="J13" s="140">
        <v>3618572.452379154</v>
      </c>
      <c r="K13" s="141">
        <v>3187864.1190148992</v>
      </c>
      <c r="L13" s="143">
        <v>0</v>
      </c>
      <c r="M13" s="82"/>
      <c r="N13" s="82"/>
      <c r="O13" s="82"/>
      <c r="P13" s="82"/>
      <c r="Q13" s="82"/>
    </row>
    <row r="14" spans="1:17" s="65" customFormat="1" ht="10.15" customHeight="1" x14ac:dyDescent="0.2">
      <c r="A14" s="138">
        <f>A13+1</f>
        <v>5</v>
      </c>
      <c r="B14" s="120" t="s">
        <v>167</v>
      </c>
      <c r="C14" s="139">
        <f>SUM(D14:K14)</f>
        <v>-22039769.836400047</v>
      </c>
      <c r="D14" s="82">
        <v>-18760425.946944483</v>
      </c>
      <c r="E14" s="139"/>
      <c r="F14" s="140"/>
      <c r="G14" s="82"/>
      <c r="H14" s="82"/>
      <c r="I14" s="139"/>
      <c r="J14" s="140">
        <v>-1612852.2608831285</v>
      </c>
      <c r="K14" s="141">
        <v>-1666491.6285724356</v>
      </c>
      <c r="L14" s="143">
        <v>0</v>
      </c>
      <c r="M14" s="82"/>
      <c r="N14" s="82"/>
      <c r="O14" s="82"/>
      <c r="P14" s="82"/>
      <c r="Q14" s="82"/>
    </row>
    <row r="15" spans="1:17" s="65" customFormat="1" ht="10.15" customHeight="1" x14ac:dyDescent="0.2">
      <c r="A15" s="138">
        <f>A14+1</f>
        <v>6</v>
      </c>
      <c r="B15" s="120" t="s">
        <v>166</v>
      </c>
      <c r="C15" s="139">
        <f>SUM(D15:K15)</f>
        <v>-4365452.1616676189</v>
      </c>
      <c r="D15" s="82">
        <v>-5045005.1660288032</v>
      </c>
      <c r="E15" s="82"/>
      <c r="F15" s="140"/>
      <c r="G15" s="82"/>
      <c r="H15" s="82"/>
      <c r="I15" s="139"/>
      <c r="J15" s="140">
        <v>276478.34164094628</v>
      </c>
      <c r="K15" s="140">
        <v>403074.66272023757</v>
      </c>
      <c r="L15" s="143">
        <v>0</v>
      </c>
      <c r="M15" s="82"/>
      <c r="N15" s="82"/>
      <c r="O15" s="82"/>
      <c r="P15" s="82"/>
      <c r="Q15" s="82"/>
    </row>
    <row r="16" spans="1:17" s="65" customFormat="1" ht="10.15" customHeight="1" x14ac:dyDescent="0.2">
      <c r="A16" s="138">
        <f>A15+1</f>
        <v>7</v>
      </c>
      <c r="B16" s="65" t="s">
        <v>165</v>
      </c>
      <c r="C16" s="144">
        <f>SUM(D16:K16)</f>
        <v>52345114.229522124</v>
      </c>
      <c r="D16" s="145">
        <f>SUM(D11:D15)</f>
        <v>33067523.810618281</v>
      </c>
      <c r="E16" s="144">
        <f>SUM(E11:E15)</f>
        <v>15070944.732604168</v>
      </c>
      <c r="F16" s="146">
        <f>SUM(F11:F15)</f>
        <v>0</v>
      </c>
      <c r="G16" s="145">
        <f>SUM(G11:G15)</f>
        <v>0</v>
      </c>
      <c r="H16" s="145">
        <f>SUM(H11:H15)</f>
        <v>0</v>
      </c>
      <c r="I16" s="144">
        <f>SUM(I11:I15)</f>
        <v>0</v>
      </c>
      <c r="J16" s="146">
        <f>SUM(J11:J15)</f>
        <v>2282198.5331369718</v>
      </c>
      <c r="K16" s="147">
        <f>SUM(K11:K15)</f>
        <v>1924447.1531627013</v>
      </c>
      <c r="L16" s="148"/>
      <c r="M16" s="82"/>
      <c r="N16" s="82"/>
      <c r="O16" s="82"/>
      <c r="P16" s="82"/>
      <c r="Q16" s="82"/>
    </row>
    <row r="17" spans="1:17" s="65" customFormat="1" ht="10.15" customHeight="1" x14ac:dyDescent="0.2">
      <c r="A17" s="138">
        <f>A16+1</f>
        <v>8</v>
      </c>
      <c r="B17" s="142" t="s">
        <v>143</v>
      </c>
      <c r="C17" s="149">
        <v>0</v>
      </c>
      <c r="D17" s="82"/>
      <c r="E17" s="139"/>
      <c r="F17" s="140"/>
      <c r="G17" s="82"/>
      <c r="H17" s="82"/>
      <c r="I17" s="139"/>
      <c r="J17" s="140"/>
      <c r="K17" s="141"/>
      <c r="L17" s="150"/>
      <c r="M17" s="82"/>
      <c r="N17" s="82"/>
      <c r="O17" s="82"/>
      <c r="P17" s="82"/>
      <c r="Q17" s="82"/>
    </row>
    <row r="18" spans="1:17" s="65" customFormat="1" ht="10.15" customHeight="1" x14ac:dyDescent="0.2">
      <c r="A18" s="138">
        <f>A17+1</f>
        <v>9</v>
      </c>
      <c r="B18" s="65" t="s">
        <v>164</v>
      </c>
      <c r="C18" s="151">
        <v>7.6499999999999999E-2</v>
      </c>
      <c r="D18" s="82"/>
      <c r="E18" s="139"/>
      <c r="F18" s="140"/>
      <c r="G18" s="82"/>
      <c r="H18" s="82"/>
      <c r="I18" s="139"/>
      <c r="J18" s="140"/>
      <c r="K18" s="141"/>
      <c r="L18" s="150"/>
      <c r="M18" s="82"/>
      <c r="N18" s="82"/>
      <c r="O18" s="82"/>
      <c r="P18" s="82"/>
      <c r="Q18" s="82"/>
    </row>
    <row r="19" spans="1:17" s="65" customFormat="1" ht="10.15" customHeight="1" x14ac:dyDescent="0.2">
      <c r="A19" s="138">
        <f>A18+1</f>
        <v>10</v>
      </c>
      <c r="B19" s="109" t="s">
        <v>163</v>
      </c>
      <c r="C19" s="139">
        <f>SUM(D19:K19)</f>
        <v>4004401.2385584423</v>
      </c>
      <c r="D19" s="82">
        <f>+D16*$C$18</f>
        <v>2529665.5715122987</v>
      </c>
      <c r="E19" s="139">
        <f>+E16*$C$18</f>
        <v>1152927.2720442188</v>
      </c>
      <c r="F19" s="140">
        <f>+F16*$C$18</f>
        <v>0</v>
      </c>
      <c r="G19" s="82">
        <f>+G16*$C$18</f>
        <v>0</v>
      </c>
      <c r="H19" s="82">
        <f>+H16*$C$18</f>
        <v>0</v>
      </c>
      <c r="I19" s="139">
        <f>+I16*$C$18</f>
        <v>0</v>
      </c>
      <c r="J19" s="140">
        <f>+J16*$C$18</f>
        <v>174588.18778497833</v>
      </c>
      <c r="K19" s="141">
        <f>+K16*$C$18</f>
        <v>147220.20721694664</v>
      </c>
      <c r="L19" s="150"/>
      <c r="M19" s="82"/>
      <c r="N19" s="82"/>
      <c r="O19" s="82"/>
      <c r="P19" s="82"/>
      <c r="Q19" s="82"/>
    </row>
    <row r="20" spans="1:17" s="65" customFormat="1" ht="10.15" customHeight="1" x14ac:dyDescent="0.2">
      <c r="A20" s="138">
        <f>A19+1</f>
        <v>11</v>
      </c>
      <c r="C20" s="139"/>
      <c r="D20" s="82"/>
      <c r="E20" s="139"/>
      <c r="F20" s="140"/>
      <c r="G20" s="82"/>
      <c r="H20" s="82"/>
      <c r="I20" s="139"/>
      <c r="J20" s="140"/>
      <c r="K20" s="141"/>
      <c r="L20" s="150"/>
      <c r="M20" s="82"/>
      <c r="N20" s="82"/>
      <c r="O20" s="82"/>
      <c r="P20" s="82"/>
      <c r="Q20" s="82"/>
    </row>
    <row r="21" spans="1:17" s="65" customFormat="1" ht="10.15" customHeight="1" x14ac:dyDescent="0.2">
      <c r="A21" s="138">
        <f>A20+1</f>
        <v>12</v>
      </c>
      <c r="B21" s="65" t="s">
        <v>162</v>
      </c>
      <c r="C21" s="139"/>
      <c r="D21" s="82"/>
      <c r="E21" s="139"/>
      <c r="F21" s="140"/>
      <c r="G21" s="82"/>
      <c r="H21" s="82"/>
      <c r="I21" s="139"/>
      <c r="J21" s="140"/>
      <c r="K21" s="141"/>
      <c r="L21" s="150"/>
      <c r="M21" s="82"/>
      <c r="N21" s="82"/>
      <c r="O21" s="82"/>
      <c r="P21" s="82"/>
      <c r="Q21" s="82"/>
    </row>
    <row r="22" spans="1:17" s="65" customFormat="1" ht="10.15" customHeight="1" x14ac:dyDescent="0.2">
      <c r="A22" s="138">
        <f>A21+1</f>
        <v>13</v>
      </c>
      <c r="B22" s="65" t="s">
        <v>161</v>
      </c>
      <c r="C22" s="139">
        <f>SUM(D22:K22)</f>
        <v>0</v>
      </c>
      <c r="D22" s="82"/>
      <c r="E22" s="139"/>
      <c r="F22" s="140">
        <v>0</v>
      </c>
      <c r="G22" s="82"/>
      <c r="H22" s="82"/>
      <c r="I22" s="139"/>
      <c r="J22" s="140"/>
      <c r="K22" s="141"/>
      <c r="L22" s="150"/>
      <c r="M22" s="82"/>
      <c r="N22" s="82"/>
      <c r="O22" s="82"/>
      <c r="P22" s="82"/>
      <c r="Q22" s="82"/>
    </row>
    <row r="23" spans="1:17" s="65" customFormat="1" ht="10.15" customHeight="1" x14ac:dyDescent="0.2">
      <c r="A23" s="138">
        <f>A22+1</f>
        <v>14</v>
      </c>
      <c r="B23" s="120" t="s">
        <v>160</v>
      </c>
      <c r="C23" s="139">
        <f>SUM(D23:K23)</f>
        <v>3271346.7338458351</v>
      </c>
      <c r="D23" s="82"/>
      <c r="E23" s="139"/>
      <c r="F23" s="140">
        <v>3271346.7338458351</v>
      </c>
      <c r="G23" s="82"/>
      <c r="H23" s="82"/>
      <c r="I23" s="139"/>
      <c r="J23" s="140"/>
      <c r="K23" s="141"/>
      <c r="L23" s="150"/>
      <c r="M23" s="82"/>
      <c r="N23" s="82"/>
      <c r="O23" s="82"/>
      <c r="P23" s="82"/>
      <c r="Q23" s="82"/>
    </row>
    <row r="24" spans="1:17" s="65" customFormat="1" ht="10.15" customHeight="1" x14ac:dyDescent="0.2">
      <c r="A24" s="138">
        <f>A23+1</f>
        <v>15</v>
      </c>
      <c r="B24" s="120" t="s">
        <v>159</v>
      </c>
      <c r="C24" s="139">
        <f>SUM(D24:K24)</f>
        <v>0</v>
      </c>
      <c r="D24" s="82"/>
      <c r="E24" s="139"/>
      <c r="F24" s="140"/>
      <c r="G24" s="82">
        <v>0</v>
      </c>
      <c r="H24" s="82">
        <v>0</v>
      </c>
      <c r="I24" s="139">
        <v>0</v>
      </c>
      <c r="J24" s="140"/>
      <c r="K24" s="141"/>
      <c r="L24" s="142" t="s">
        <v>143</v>
      </c>
      <c r="M24" s="82"/>
      <c r="N24" s="82"/>
      <c r="O24" s="82"/>
      <c r="P24" s="82"/>
      <c r="Q24" s="82"/>
    </row>
    <row r="25" spans="1:17" s="65" customFormat="1" ht="10.15" customHeight="1" x14ac:dyDescent="0.2">
      <c r="A25" s="138">
        <f>A24+1</f>
        <v>16</v>
      </c>
      <c r="B25" s="120" t="s">
        <v>158</v>
      </c>
      <c r="C25" s="139">
        <f>SUM(D25:K25)</f>
        <v>6827800.5164479837</v>
      </c>
      <c r="D25" s="82"/>
      <c r="E25" s="139"/>
      <c r="F25" s="140">
        <v>593650.52960195998</v>
      </c>
      <c r="G25" s="82"/>
      <c r="H25" s="82"/>
      <c r="I25" s="139"/>
      <c r="J25" s="140">
        <v>93853.082106129063</v>
      </c>
      <c r="K25" s="141">
        <v>6140296.9047398949</v>
      </c>
      <c r="L25" s="143">
        <v>0</v>
      </c>
      <c r="M25" s="82"/>
      <c r="N25" s="82"/>
      <c r="O25" s="82"/>
      <c r="P25" s="82"/>
      <c r="Q25" s="82"/>
    </row>
    <row r="26" spans="1:17" s="65" customFormat="1" ht="10.15" customHeight="1" x14ac:dyDescent="0.2">
      <c r="A26" s="138">
        <f>A25+1</f>
        <v>17</v>
      </c>
      <c r="B26" s="109" t="s">
        <v>157</v>
      </c>
      <c r="C26" s="139">
        <f>SUM(D26:K26)</f>
        <v>3976239.166229093</v>
      </c>
      <c r="D26" s="82">
        <v>2004744.3465713633</v>
      </c>
      <c r="E26" s="82">
        <v>1653770.4271360585</v>
      </c>
      <c r="F26" s="140"/>
      <c r="G26" s="82"/>
      <c r="H26" s="82"/>
      <c r="I26" s="139"/>
      <c r="J26" s="140">
        <v>145890.35296803355</v>
      </c>
      <c r="K26" s="140">
        <v>171834.03955363802</v>
      </c>
      <c r="L26" s="143">
        <v>0</v>
      </c>
      <c r="M26" s="82"/>
      <c r="N26" s="82"/>
      <c r="O26" s="82"/>
      <c r="P26" s="82"/>
      <c r="Q26" s="82"/>
    </row>
    <row r="27" spans="1:17" s="65" customFormat="1" ht="10.15" customHeight="1" x14ac:dyDescent="0.2">
      <c r="A27" s="138">
        <f>A26+1</f>
        <v>18</v>
      </c>
      <c r="B27" s="109" t="s">
        <v>156</v>
      </c>
      <c r="C27" s="139">
        <f>SUM(D27:K27)</f>
        <v>375741.6830886011</v>
      </c>
      <c r="D27" s="82">
        <v>189441.82767996055</v>
      </c>
      <c r="E27" s="82">
        <v>156275.93254747786</v>
      </c>
      <c r="F27" s="140"/>
      <c r="G27" s="82"/>
      <c r="H27" s="82"/>
      <c r="I27" s="82"/>
      <c r="J27" s="82">
        <v>13786.164382708739</v>
      </c>
      <c r="K27" s="141">
        <v>16237.75847845397</v>
      </c>
      <c r="L27" s="143">
        <v>0</v>
      </c>
      <c r="M27" s="82"/>
      <c r="N27" s="82"/>
      <c r="O27" s="82"/>
      <c r="P27" s="140"/>
      <c r="Q27" s="82"/>
    </row>
    <row r="28" spans="1:17" s="65" customFormat="1" ht="10.15" customHeight="1" x14ac:dyDescent="0.2">
      <c r="A28" s="138">
        <f>A27+1</f>
        <v>19</v>
      </c>
      <c r="B28" s="65" t="s">
        <v>155</v>
      </c>
      <c r="C28" s="152">
        <f>SUM(D28:K28)</f>
        <v>1814008.6538208406</v>
      </c>
      <c r="D28" s="153"/>
      <c r="E28" s="152"/>
      <c r="F28" s="154"/>
      <c r="G28" s="155">
        <v>236913.18892886396</v>
      </c>
      <c r="H28" s="155">
        <v>58807.107728894945</v>
      </c>
      <c r="I28" s="155">
        <v>1518288.3571630816</v>
      </c>
      <c r="J28" s="154"/>
      <c r="K28" s="155"/>
      <c r="L28" s="143">
        <v>0</v>
      </c>
      <c r="M28" s="82"/>
      <c r="N28" s="82"/>
      <c r="O28" s="82"/>
      <c r="P28" s="82"/>
      <c r="Q28" s="82"/>
    </row>
    <row r="29" spans="1:17" s="65" customFormat="1" ht="10.15" customHeight="1" x14ac:dyDescent="0.2">
      <c r="A29" s="138">
        <f>A28+1</f>
        <v>20</v>
      </c>
      <c r="B29" s="65" t="s">
        <v>154</v>
      </c>
      <c r="C29" s="139">
        <f>SUM(C22:C28)</f>
        <v>16265136.753432354</v>
      </c>
      <c r="D29" s="82">
        <f>SUM(D22:D28)</f>
        <v>2194186.174251324</v>
      </c>
      <c r="E29" s="139">
        <f>SUM(E22:E28)</f>
        <v>1810046.3596835362</v>
      </c>
      <c r="F29" s="140">
        <f>SUM(F22:F28)</f>
        <v>3864997.2634477951</v>
      </c>
      <c r="G29" s="82">
        <f>SUM(G22:G28)</f>
        <v>236913.18892886396</v>
      </c>
      <c r="H29" s="82">
        <f>SUM(H22:H28)</f>
        <v>58807.107728894945</v>
      </c>
      <c r="I29" s="139">
        <f>SUM(I22:I28)</f>
        <v>1518288.3571630816</v>
      </c>
      <c r="J29" s="140">
        <f>SUM(J22:J28)</f>
        <v>253529.59945687134</v>
      </c>
      <c r="K29" s="141">
        <f>SUM(K22:K28)</f>
        <v>6328368.7027719868</v>
      </c>
      <c r="L29" s="150"/>
      <c r="M29" s="82"/>
      <c r="N29" s="82"/>
      <c r="O29" s="82"/>
      <c r="P29" s="82"/>
      <c r="Q29" s="82"/>
    </row>
    <row r="30" spans="1:17" s="65" customFormat="1" ht="10.15" customHeight="1" x14ac:dyDescent="0.2">
      <c r="A30" s="138">
        <f>A29+1</f>
        <v>21</v>
      </c>
      <c r="B30" s="65" t="s">
        <v>153</v>
      </c>
      <c r="C30" s="139"/>
      <c r="D30" s="156">
        <f>+D29/$C$29</f>
        <v>0.13490118205051646</v>
      </c>
      <c r="E30" s="157">
        <f>+E29/$C$29</f>
        <v>0.11128380825335335</v>
      </c>
      <c r="F30" s="158">
        <f>+F29/$C$29</f>
        <v>0.23762463986859397</v>
      </c>
      <c r="G30" s="156">
        <f>+G29/$C$29</f>
        <v>1.4565705319315517E-2</v>
      </c>
      <c r="H30" s="156">
        <f>+H29/$C$29</f>
        <v>3.6155310969940148E-3</v>
      </c>
      <c r="I30" s="157">
        <f>+I29/$C$29</f>
        <v>9.3346178404721036E-2</v>
      </c>
      <c r="J30" s="158">
        <f>+J29/$C$29</f>
        <v>1.5587302049788804E-2</v>
      </c>
      <c r="K30" s="159">
        <f>+K29/$C$29</f>
        <v>0.38907565295671687</v>
      </c>
      <c r="L30" s="160">
        <f>SUM(D30:K30)</f>
        <v>1</v>
      </c>
      <c r="M30" s="82"/>
      <c r="N30" s="82"/>
      <c r="O30" s="82"/>
      <c r="P30" s="82"/>
      <c r="Q30" s="82"/>
    </row>
    <row r="31" spans="1:17" s="65" customFormat="1" ht="10.15" customHeight="1" x14ac:dyDescent="0.2">
      <c r="A31" s="138">
        <f>A30+1</f>
        <v>22</v>
      </c>
      <c r="B31" s="120" t="s">
        <v>152</v>
      </c>
      <c r="C31" s="139">
        <v>421301.10920051078</v>
      </c>
      <c r="D31" s="84">
        <f>$C$31*D30</f>
        <v>56834.01763034262</v>
      </c>
      <c r="E31" s="139">
        <f>$C$31*E30</f>
        <v>46883.991853194726</v>
      </c>
      <c r="F31" s="140">
        <f>$C$31*F30</f>
        <v>100111.52435001056</v>
      </c>
      <c r="G31" s="82">
        <f>$C$31*G30</f>
        <v>6136.5478073154072</v>
      </c>
      <c r="H31" s="82">
        <f>$C$31*H30</f>
        <v>1523.227261512518</v>
      </c>
      <c r="I31" s="139">
        <f>$C$31*I30</f>
        <v>39326.848501537737</v>
      </c>
      <c r="J31" s="140">
        <f>$C$31*J30</f>
        <v>6566.9476430194181</v>
      </c>
      <c r="K31" s="141">
        <f>$C$31*K30</f>
        <v>163918.00415357781</v>
      </c>
      <c r="L31" s="150"/>
      <c r="M31" s="82"/>
      <c r="N31" s="82"/>
      <c r="O31" s="82"/>
      <c r="P31" s="82"/>
      <c r="Q31" s="82"/>
    </row>
    <row r="32" spans="1:17" s="65" customFormat="1" ht="10.15" customHeight="1" x14ac:dyDescent="0.2">
      <c r="A32" s="138">
        <f>A31+1</f>
        <v>23</v>
      </c>
      <c r="B32" s="65" t="s">
        <v>151</v>
      </c>
      <c r="C32" s="139">
        <f>SUM(D32:K32)</f>
        <v>16686437.862632863</v>
      </c>
      <c r="D32" s="82">
        <f>SUM(D29,D31)</f>
        <v>2251020.1918816664</v>
      </c>
      <c r="E32" s="139">
        <f>SUM(E29,E31)</f>
        <v>1856930.351536731</v>
      </c>
      <c r="F32" s="140">
        <f>SUM(F29,F31)</f>
        <v>3965108.7877978059</v>
      </c>
      <c r="G32" s="82">
        <f>SUM(G29,G31)</f>
        <v>243049.73673617936</v>
      </c>
      <c r="H32" s="82">
        <f>SUM(H29,H31)</f>
        <v>60330.334990407464</v>
      </c>
      <c r="I32" s="139">
        <f>SUM(I29,I31)</f>
        <v>1557615.2056646193</v>
      </c>
      <c r="J32" s="140">
        <f>SUM(J29,J31)</f>
        <v>260096.54709989074</v>
      </c>
      <c r="K32" s="141">
        <f>SUM(K29,K31)</f>
        <v>6492286.7069255644</v>
      </c>
      <c r="L32" s="150"/>
      <c r="M32" s="82"/>
      <c r="N32" s="82"/>
      <c r="O32" s="82"/>
      <c r="P32" s="82"/>
      <c r="Q32" s="82"/>
    </row>
    <row r="33" spans="1:17" s="65" customFormat="1" ht="10.15" customHeight="1" x14ac:dyDescent="0.2">
      <c r="A33" s="138">
        <f>A32+1</f>
        <v>24</v>
      </c>
      <c r="B33" s="142" t="s">
        <v>143</v>
      </c>
      <c r="C33" s="45">
        <v>0</v>
      </c>
      <c r="D33" s="82"/>
      <c r="E33" s="139"/>
      <c r="F33" s="140"/>
      <c r="G33" s="82"/>
      <c r="H33" s="82"/>
      <c r="I33" s="139"/>
      <c r="J33" s="140"/>
      <c r="K33" s="141"/>
      <c r="L33" s="150"/>
      <c r="M33" s="82"/>
      <c r="N33" s="82"/>
      <c r="O33" s="82"/>
      <c r="P33" s="82"/>
      <c r="Q33" s="82"/>
    </row>
    <row r="34" spans="1:17" s="65" customFormat="1" ht="10.15" customHeight="1" x14ac:dyDescent="0.2">
      <c r="A34" s="138">
        <f>A33+1</f>
        <v>25</v>
      </c>
      <c r="B34" s="65" t="s">
        <v>150</v>
      </c>
      <c r="C34" s="139">
        <f>SUM(D34:K34)</f>
        <v>20690839.101191308</v>
      </c>
      <c r="D34" s="82">
        <f>SUM(D19,D32)</f>
        <v>4780685.7633939646</v>
      </c>
      <c r="E34" s="139">
        <f>SUM(E19,E32)</f>
        <v>3009857.6235809498</v>
      </c>
      <c r="F34" s="140">
        <f>SUM(F19,F32)</f>
        <v>3965108.7877978059</v>
      </c>
      <c r="G34" s="82">
        <f>SUM(G19,G32)</f>
        <v>243049.73673617936</v>
      </c>
      <c r="H34" s="82">
        <f>SUM(H19,H32)</f>
        <v>60330.334990407464</v>
      </c>
      <c r="I34" s="139">
        <f>SUM(I19,I32)</f>
        <v>1557615.2056646193</v>
      </c>
      <c r="J34" s="140">
        <f>SUM(J19,J32)</f>
        <v>434684.73488486907</v>
      </c>
      <c r="K34" s="141">
        <f>SUM(K19,K32)</f>
        <v>6639506.9141425109</v>
      </c>
      <c r="L34" s="150" t="s">
        <v>147</v>
      </c>
      <c r="M34" s="82"/>
      <c r="N34" s="82"/>
      <c r="O34" s="82"/>
      <c r="P34" s="82"/>
      <c r="Q34" s="82"/>
    </row>
    <row r="35" spans="1:17" s="65" customFormat="1" ht="10.15" customHeight="1" x14ac:dyDescent="0.2">
      <c r="A35" s="138">
        <f>A34+1</f>
        <v>26</v>
      </c>
      <c r="C35" s="139"/>
      <c r="D35" s="156">
        <f>+D34/$C$34</f>
        <v>0.23105325695170617</v>
      </c>
      <c r="E35" s="157">
        <f>+E34/$C$34</f>
        <v>0.14546812765112327</v>
      </c>
      <c r="F35" s="158">
        <f>+F34/$C$34</f>
        <v>0.1916359587161213</v>
      </c>
      <c r="G35" s="156">
        <f>+G34/$C$34</f>
        <v>1.1746731756383209E-2</v>
      </c>
      <c r="H35" s="156">
        <f>+H34/$C$34</f>
        <v>2.9157993397635499E-3</v>
      </c>
      <c r="I35" s="157">
        <f>+I34/$C$34</f>
        <v>7.5280427151692322E-2</v>
      </c>
      <c r="J35" s="158">
        <f>+J34/$C$34</f>
        <v>2.1008560008561539E-2</v>
      </c>
      <c r="K35" s="159">
        <f>+K34/$C$34</f>
        <v>0.32089113842464856</v>
      </c>
      <c r="L35" s="160">
        <f>SUM(D35:K35)</f>
        <v>1</v>
      </c>
      <c r="M35" s="82"/>
      <c r="N35" s="82"/>
      <c r="O35" s="82"/>
      <c r="P35" s="82"/>
      <c r="Q35" s="82"/>
    </row>
    <row r="36" spans="1:17" s="65" customFormat="1" ht="10.15" customHeight="1" x14ac:dyDescent="0.2">
      <c r="A36" s="138">
        <f>A35+1</f>
        <v>27</v>
      </c>
      <c r="B36" s="65" t="s">
        <v>149</v>
      </c>
      <c r="C36" s="139">
        <v>3169426.4811494146</v>
      </c>
      <c r="D36" s="84">
        <f>$C$36*D35</f>
        <v>732306.31113855762</v>
      </c>
      <c r="E36" s="139">
        <f>$C$36*E35</f>
        <v>461050.53594069346</v>
      </c>
      <c r="F36" s="140">
        <f>$C$36*F35</f>
        <v>607376.08229533082</v>
      </c>
      <c r="G36" s="82">
        <f>$C$36*G35</f>
        <v>37230.402695639714</v>
      </c>
      <c r="H36" s="82">
        <f>$C$36*H35</f>
        <v>9241.4116411645737</v>
      </c>
      <c r="I36" s="139">
        <f>$C$36*I35</f>
        <v>238595.77932681303</v>
      </c>
      <c r="J36" s="140">
        <f>$C$36*J35</f>
        <v>66585.086421951521</v>
      </c>
      <c r="K36" s="141">
        <f>$C$36*K35</f>
        <v>1017040.8716892636</v>
      </c>
      <c r="L36" s="150"/>
      <c r="M36" s="82"/>
      <c r="N36" s="82"/>
      <c r="O36" s="82"/>
      <c r="P36" s="82"/>
      <c r="Q36" s="82"/>
    </row>
    <row r="37" spans="1:17" s="65" customFormat="1" ht="10.15" customHeight="1" x14ac:dyDescent="0.2">
      <c r="A37" s="138">
        <f>A36+1</f>
        <v>28</v>
      </c>
      <c r="C37" s="139"/>
      <c r="D37" s="156"/>
      <c r="E37" s="139"/>
      <c r="F37" s="140"/>
      <c r="G37" s="82"/>
      <c r="H37" s="82"/>
      <c r="I37" s="139"/>
      <c r="J37" s="140"/>
      <c r="K37" s="141"/>
      <c r="L37" s="150" t="s">
        <v>147</v>
      </c>
      <c r="M37" s="82"/>
      <c r="N37" s="82"/>
      <c r="O37" s="82"/>
      <c r="P37" s="82"/>
      <c r="Q37" s="82"/>
    </row>
    <row r="38" spans="1:17" s="65" customFormat="1" ht="10.15" customHeight="1" x14ac:dyDescent="0.2">
      <c r="A38" s="138">
        <f>A37+1</f>
        <v>29</v>
      </c>
      <c r="B38" s="120" t="s">
        <v>148</v>
      </c>
      <c r="C38" s="139">
        <v>15360581.002451552</v>
      </c>
      <c r="D38" s="84">
        <f>$C$38*D35</f>
        <v>3549112.2692869348</v>
      </c>
      <c r="E38" s="139">
        <f>$C$38*E35</f>
        <v>2234474.9580600415</v>
      </c>
      <c r="F38" s="161">
        <f>$C$38*F35</f>
        <v>2943639.6668414427</v>
      </c>
      <c r="G38" s="82">
        <f>$C$38*G35</f>
        <v>180436.62465799428</v>
      </c>
      <c r="H38" s="82">
        <f>$C$38*H35</f>
        <v>44788.371945332765</v>
      </c>
      <c r="I38" s="139">
        <f>$C$38*I35</f>
        <v>1156351.0991627232</v>
      </c>
      <c r="J38" s="140">
        <f>$C$38*J35</f>
        <v>322703.68775637378</v>
      </c>
      <c r="K38" s="141">
        <f>$C$38*K35</f>
        <v>4929074.3247407079</v>
      </c>
      <c r="L38" s="46">
        <v>-2.451552078127861E-3</v>
      </c>
      <c r="M38" s="82"/>
      <c r="N38" s="82"/>
      <c r="O38" s="82"/>
      <c r="P38" s="82"/>
      <c r="Q38" s="82"/>
    </row>
    <row r="39" spans="1:17" s="65" customFormat="1" ht="10.15" customHeight="1" x14ac:dyDescent="0.2">
      <c r="A39" s="138">
        <f>A38+1</f>
        <v>30</v>
      </c>
      <c r="C39" s="139"/>
      <c r="D39" s="82"/>
      <c r="E39" s="139"/>
      <c r="F39" s="140"/>
      <c r="G39" s="82"/>
      <c r="H39" s="82"/>
      <c r="I39" s="139"/>
      <c r="J39" s="140"/>
      <c r="K39" s="141"/>
      <c r="L39" s="150"/>
      <c r="M39" s="82"/>
      <c r="N39" s="82"/>
      <c r="O39" s="82"/>
      <c r="P39" s="82"/>
      <c r="Q39" s="82"/>
    </row>
    <row r="40" spans="1:17" s="65" customFormat="1" ht="10.15" customHeight="1" x14ac:dyDescent="0.2">
      <c r="A40" s="138">
        <f>A39+1</f>
        <v>31</v>
      </c>
      <c r="C40" s="151">
        <v>6.6115990297075378E-3</v>
      </c>
      <c r="D40" s="162">
        <f>$C$40</f>
        <v>6.6115990297075378E-3</v>
      </c>
      <c r="E40" s="151">
        <f>$C$40</f>
        <v>6.6115990297075378E-3</v>
      </c>
      <c r="F40" s="163">
        <f>$C$40</f>
        <v>6.6115990297075378E-3</v>
      </c>
      <c r="G40" s="162">
        <f>$C$40</f>
        <v>6.6115990297075378E-3</v>
      </c>
      <c r="H40" s="162">
        <f>$C$40</f>
        <v>6.6115990297075378E-3</v>
      </c>
      <c r="I40" s="151">
        <f>$C$40</f>
        <v>6.6115990297075378E-3</v>
      </c>
      <c r="J40" s="163">
        <f>$C$40</f>
        <v>6.6115990297075378E-3</v>
      </c>
      <c r="K40" s="164">
        <f>$C$40</f>
        <v>6.6115990297075378E-3</v>
      </c>
      <c r="L40" s="150" t="s">
        <v>147</v>
      </c>
      <c r="M40" s="82"/>
      <c r="N40" s="82"/>
      <c r="O40" s="82"/>
      <c r="P40" s="82"/>
      <c r="Q40" s="82"/>
    </row>
    <row r="41" spans="1:17" s="65" customFormat="1" ht="10.15" customHeight="1" x14ac:dyDescent="0.2">
      <c r="A41" s="138">
        <f>A40+1</f>
        <v>32</v>
      </c>
      <c r="B41" s="65" t="s">
        <v>146</v>
      </c>
      <c r="C41" s="139">
        <f>SUM(D41:K41)</f>
        <v>101558.00245155272</v>
      </c>
      <c r="D41" s="82">
        <f>D38*D40</f>
        <v>23465.307235940614</v>
      </c>
      <c r="E41" s="139">
        <f>E38*E40</f>
        <v>14773.452464615562</v>
      </c>
      <c r="F41" s="140">
        <f>F38*F40</f>
        <v>19462.165165097504</v>
      </c>
      <c r="G41" s="82">
        <f>G38*G40</f>
        <v>1192.9746125124982</v>
      </c>
      <c r="H41" s="82">
        <f>H38*H40</f>
        <v>296.12275649594244</v>
      </c>
      <c r="I41" s="139">
        <f>I38*I40</f>
        <v>7645.329805225505</v>
      </c>
      <c r="J41" s="140">
        <f>J38*J40</f>
        <v>2133.587388853085</v>
      </c>
      <c r="K41" s="141">
        <f>K38*K40</f>
        <v>32589.063022812003</v>
      </c>
      <c r="L41" s="29">
        <v>-2.4515527184121311E-3</v>
      </c>
      <c r="M41" s="82"/>
      <c r="N41" s="82"/>
      <c r="O41" s="82"/>
      <c r="P41" s="82"/>
      <c r="Q41" s="82"/>
    </row>
    <row r="42" spans="1:17" s="65" customFormat="1" ht="10.15" customHeight="1" x14ac:dyDescent="0.2">
      <c r="A42" s="138">
        <f>A41+1</f>
        <v>33</v>
      </c>
      <c r="B42" s="65" t="s">
        <v>145</v>
      </c>
      <c r="C42" s="139">
        <f>SUM(D42:K42)</f>
        <v>15259022.999999996</v>
      </c>
      <c r="D42" s="82">
        <f>D38-D41</f>
        <v>3525646.9620509939</v>
      </c>
      <c r="E42" s="82">
        <f>E38-E41</f>
        <v>2219701.5055954261</v>
      </c>
      <c r="F42" s="82">
        <f>F38-F41</f>
        <v>2924177.5016763452</v>
      </c>
      <c r="G42" s="82">
        <f>G38-G41</f>
        <v>179243.65004548177</v>
      </c>
      <c r="H42" s="82">
        <f>H38-H41</f>
        <v>44492.249188836824</v>
      </c>
      <c r="I42" s="82">
        <f>I38-I41</f>
        <v>1148705.7693574976</v>
      </c>
      <c r="J42" s="82">
        <f>J38-J41</f>
        <v>320570.1003675207</v>
      </c>
      <c r="K42" s="82">
        <f>K38-K41</f>
        <v>4896485.261717896</v>
      </c>
      <c r="L42" s="46">
        <v>0</v>
      </c>
      <c r="M42" s="82"/>
      <c r="N42" s="82"/>
      <c r="O42" s="82"/>
      <c r="P42" s="82"/>
      <c r="Q42" s="82"/>
    </row>
    <row r="43" spans="1:17" s="65" customFormat="1" ht="10.15" customHeight="1" x14ac:dyDescent="0.2">
      <c r="A43" s="138">
        <f>A42+1</f>
        <v>34</v>
      </c>
      <c r="C43" s="165"/>
      <c r="D43" s="84"/>
      <c r="E43" s="165"/>
      <c r="F43" s="161"/>
      <c r="G43" s="84"/>
      <c r="H43" s="84"/>
      <c r="I43" s="165"/>
      <c r="J43" s="161"/>
      <c r="K43" s="166"/>
      <c r="L43" s="167"/>
      <c r="M43" s="82"/>
      <c r="N43" s="82"/>
      <c r="O43" s="82"/>
      <c r="P43" s="82"/>
      <c r="Q43" s="82"/>
    </row>
    <row r="44" spans="1:17" s="65" customFormat="1" ht="10.15" customHeight="1" x14ac:dyDescent="0.2">
      <c r="A44" s="138">
        <f>A43+1</f>
        <v>35</v>
      </c>
      <c r="B44" s="65" t="s">
        <v>144</v>
      </c>
      <c r="C44" s="144">
        <f>SUM(D44:K44)</f>
        <v>18530007.483600967</v>
      </c>
      <c r="D44" s="168">
        <f>+D36+D41+D42</f>
        <v>4281418.5804254925</v>
      </c>
      <c r="E44" s="168">
        <f>+E36+E41+E42</f>
        <v>2695525.4940007352</v>
      </c>
      <c r="F44" s="168">
        <f>+F36+F41+F42</f>
        <v>3551015.7491367734</v>
      </c>
      <c r="G44" s="168">
        <f>+G36+G41+G42</f>
        <v>217667.02735363398</v>
      </c>
      <c r="H44" s="168">
        <f>+H36+H41+H42</f>
        <v>54029.783586497339</v>
      </c>
      <c r="I44" s="168">
        <f>+I36+I41+I42</f>
        <v>1394946.8784895362</v>
      </c>
      <c r="J44" s="168">
        <f>+J36+J41+J42</f>
        <v>389288.77417832532</v>
      </c>
      <c r="K44" s="168">
        <f>+K36+K41+K42</f>
        <v>5946115.1964299716</v>
      </c>
      <c r="L44" s="167"/>
      <c r="M44" s="82"/>
      <c r="N44" s="82"/>
      <c r="O44" s="82"/>
      <c r="P44" s="82"/>
      <c r="Q44" s="82"/>
    </row>
    <row r="45" spans="1:17" s="65" customFormat="1" ht="10.15" customHeight="1" x14ac:dyDescent="0.2">
      <c r="A45" s="138">
        <f>A44+1</f>
        <v>36</v>
      </c>
      <c r="B45" s="142" t="s">
        <v>143</v>
      </c>
      <c r="C45" s="149">
        <v>-0.48360096663236618</v>
      </c>
      <c r="D45" s="84"/>
      <c r="E45" s="165"/>
      <c r="F45" s="161"/>
      <c r="G45" s="84"/>
      <c r="H45" s="84"/>
      <c r="I45" s="165"/>
      <c r="J45" s="161"/>
      <c r="K45" s="169"/>
      <c r="L45" s="150"/>
      <c r="M45" s="82"/>
      <c r="N45" s="82"/>
      <c r="O45" s="82"/>
      <c r="P45" s="82"/>
      <c r="Q45" s="82"/>
    </row>
    <row r="46" spans="1:17" s="65" customFormat="1" ht="10.15" customHeight="1" x14ac:dyDescent="0.2">
      <c r="A46" s="138">
        <f>A45+1</f>
        <v>37</v>
      </c>
      <c r="B46" s="86" t="s">
        <v>142</v>
      </c>
      <c r="C46" s="86"/>
      <c r="D46" s="86"/>
      <c r="E46" s="86"/>
      <c r="F46" s="86"/>
      <c r="G46" s="86"/>
      <c r="H46" s="86"/>
      <c r="I46" s="86"/>
      <c r="J46" s="86"/>
      <c r="K46" s="86"/>
    </row>
    <row r="47" spans="1:17" s="65" customFormat="1" ht="10.15" customHeight="1" x14ac:dyDescent="0.2">
      <c r="A47" s="134"/>
      <c r="C47" s="84"/>
      <c r="J47" s="84"/>
    </row>
    <row r="48" spans="1:17" s="65" customFormat="1" ht="10.15" customHeight="1" x14ac:dyDescent="0.2">
      <c r="B48" s="170"/>
      <c r="C48" s="82"/>
    </row>
    <row r="49" spans="3:8" s="65" customFormat="1" ht="10.15" customHeight="1" x14ac:dyDescent="0.2">
      <c r="C49" s="171"/>
    </row>
    <row r="50" spans="3:8" s="65" customFormat="1" ht="10.15" customHeight="1" x14ac:dyDescent="0.2">
      <c r="C50" s="84"/>
      <c r="E50" s="162"/>
    </row>
    <row r="51" spans="3:8" s="65" customFormat="1" ht="10.15" customHeight="1" x14ac:dyDescent="0.2">
      <c r="C51" s="84"/>
      <c r="E51" s="84"/>
    </row>
    <row r="52" spans="3:8" s="65" customFormat="1" ht="10.15" customHeight="1" x14ac:dyDescent="0.2">
      <c r="F52" s="84"/>
      <c r="H52" s="84"/>
    </row>
    <row r="53" spans="3:8" s="65" customFormat="1" ht="10.15" customHeight="1" x14ac:dyDescent="0.2">
      <c r="F53" s="84"/>
    </row>
    <row r="54" spans="3:8" s="65" customFormat="1" ht="10.15" customHeight="1" x14ac:dyDescent="0.2">
      <c r="C54" s="84"/>
      <c r="E54" s="84"/>
      <c r="F54" s="84"/>
    </row>
    <row r="56" spans="3:8" s="65" customFormat="1" ht="10.15" customHeight="1" x14ac:dyDescent="0.2">
      <c r="F56" s="84"/>
    </row>
    <row r="58" spans="3:8" s="65" customFormat="1" ht="10.15" customHeight="1" x14ac:dyDescent="0.2">
      <c r="F58" s="172"/>
    </row>
    <row r="59" spans="3:8" s="65" customFormat="1" ht="10.15" customHeight="1" x14ac:dyDescent="0.2">
      <c r="C59" s="84"/>
      <c r="F59" s="84"/>
    </row>
    <row r="60" spans="3:8" s="65" customFormat="1" ht="10.15" customHeight="1" x14ac:dyDescent="0.2">
      <c r="C60" s="84"/>
      <c r="E60" s="84"/>
      <c r="F60" s="84"/>
    </row>
    <row r="61" spans="3:8" s="65" customFormat="1" ht="10.15" customHeight="1" x14ac:dyDescent="0.2">
      <c r="F61" s="84"/>
    </row>
  </sheetData>
  <mergeCells count="4">
    <mergeCell ref="F6:F7"/>
    <mergeCell ref="J6:J7"/>
    <mergeCell ref="K6:K7"/>
    <mergeCell ref="C6:C7"/>
  </mergeCells>
  <printOptions horizontalCentered="1"/>
  <pageMargins left="0.75" right="0.75" top="1" bottom="1" header="0.5" footer="0.5"/>
  <pageSetup scale="76" orientation="landscape" r:id="rId1"/>
  <headerFooter alignWithMargins="0">
    <oddFooter>&amp;R&amp;F
&amp;A
&amp;P of &amp;N</oddFooter>
  </headerFooter>
  <customProperties>
    <customPr name="_pios_id" r:id="rId2"/>
    <customPr name="EpmWorksheetKeyString_GUID" r:id="rId3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A351E1-3BE6-4387-9E45-0C6DD54EE6F5}">
  <sheetPr>
    <tabColor theme="6" tint="0.79998168889431442"/>
    <pageSetUpPr fitToPage="1"/>
  </sheetPr>
  <dimension ref="A1:S232"/>
  <sheetViews>
    <sheetView zoomScaleNormal="100" workbookViewId="0">
      <pane ySplit="9" topLeftCell="A10" activePane="bottomLeft" state="frozen"/>
      <selection activeCell="H13" sqref="H13"/>
      <selection pane="bottomLeft" activeCell="H13" sqref="H13"/>
    </sheetView>
  </sheetViews>
  <sheetFormatPr defaultColWidth="9.140625" defaultRowHeight="10.15" customHeight="1" x14ac:dyDescent="0.2"/>
  <cols>
    <col min="1" max="1" width="7.42578125" style="66" customWidth="1"/>
    <col min="2" max="2" width="8.28515625" style="65" bestFit="1" customWidth="1"/>
    <col min="3" max="3" width="32.5703125" style="65" bestFit="1" customWidth="1"/>
    <col min="4" max="4" width="26" style="65" bestFit="1" customWidth="1"/>
    <col min="5" max="6" width="9.28515625" style="65" customWidth="1"/>
    <col min="7" max="7" width="9.7109375" style="65" bestFit="1" customWidth="1"/>
    <col min="8" max="8" width="17.140625" style="65" customWidth="1"/>
    <col min="9" max="9" width="0.5703125" style="65" customWidth="1"/>
    <col min="10" max="11" width="10" style="65" customWidth="1"/>
    <col min="12" max="12" width="0.7109375" style="65" customWidth="1"/>
    <col min="13" max="13" width="15.85546875" style="65" bestFit="1" customWidth="1"/>
    <col min="14" max="14" width="0.7109375" style="65" customWidth="1"/>
    <col min="15" max="15" width="16.85546875" style="65" bestFit="1" customWidth="1"/>
    <col min="16" max="16" width="0.7109375" style="65" customWidth="1"/>
    <col min="17" max="17" width="16" style="65" bestFit="1" customWidth="1"/>
    <col min="18" max="18" width="0.7109375" style="65" customWidth="1"/>
    <col min="19" max="19" width="15.42578125" style="65" bestFit="1" customWidth="1"/>
    <col min="20" max="20" width="0.85546875" style="65" customWidth="1"/>
    <col min="21" max="16384" width="9.140625" style="65"/>
  </cols>
  <sheetData>
    <row r="1" spans="1:19" s="64" customFormat="1" ht="10.15" customHeight="1" x14ac:dyDescent="0.25">
      <c r="A1" s="62" t="str">
        <f>'Exh CTM-7 (Lighting Summary)'!A1</f>
        <v>PUGET SOUND ENERGY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97"/>
      <c r="M1" s="97"/>
      <c r="N1" s="97"/>
      <c r="O1" s="97"/>
      <c r="P1" s="97"/>
      <c r="Q1" s="97"/>
      <c r="R1" s="97"/>
      <c r="S1" s="97"/>
    </row>
    <row r="2" spans="1:19" s="64" customFormat="1" ht="10.15" customHeight="1" x14ac:dyDescent="0.25">
      <c r="A2" s="62" t="s">
        <v>204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97"/>
      <c r="M2" s="97"/>
      <c r="N2" s="97"/>
      <c r="O2" s="97"/>
      <c r="P2" s="97"/>
      <c r="Q2" s="97"/>
      <c r="R2" s="97"/>
      <c r="S2" s="97"/>
    </row>
    <row r="3" spans="1:19" s="64" customFormat="1" ht="10.15" customHeight="1" x14ac:dyDescent="0.25">
      <c r="A3" s="62" t="str">
        <f>'Exh CTM-7 (Lighting Summary)'!A3</f>
        <v>2024 General Rate Case Docket No. UE-240004 and UG-240005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97"/>
      <c r="M3" s="97"/>
      <c r="N3" s="97"/>
      <c r="O3" s="97"/>
      <c r="P3" s="97"/>
      <c r="Q3" s="97"/>
      <c r="R3" s="97"/>
      <c r="S3" s="97"/>
    </row>
    <row r="4" spans="1:19" s="64" customFormat="1" ht="10.15" customHeight="1" x14ac:dyDescent="0.25">
      <c r="A4" s="62" t="s">
        <v>203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</row>
    <row r="5" spans="1:19" s="64" customFormat="1" ht="10.15" customHeight="1" x14ac:dyDescent="0.25">
      <c r="A5" s="62" t="s">
        <v>140</v>
      </c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</row>
    <row r="6" spans="1:19" s="64" customFormat="1" ht="10.15" customHeight="1" x14ac:dyDescent="0.25">
      <c r="A6" s="62"/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</row>
    <row r="7" spans="1:19" s="65" customFormat="1" ht="11.25" x14ac:dyDescent="0.2">
      <c r="A7" s="98"/>
      <c r="B7" s="98"/>
      <c r="C7" s="98"/>
      <c r="D7" s="98"/>
      <c r="E7" s="98"/>
      <c r="F7" s="98"/>
      <c r="G7" s="98"/>
      <c r="H7" s="98"/>
      <c r="I7" s="98"/>
      <c r="J7" s="99" t="s">
        <v>202</v>
      </c>
      <c r="K7" s="100"/>
      <c r="M7" s="101" t="s">
        <v>201</v>
      </c>
      <c r="O7" s="101" t="s">
        <v>200</v>
      </c>
      <c r="Q7" s="101" t="s">
        <v>199</v>
      </c>
      <c r="S7" s="101" t="s">
        <v>198</v>
      </c>
    </row>
    <row r="8" spans="1:19" s="103" customFormat="1" ht="33.75" x14ac:dyDescent="0.2">
      <c r="A8" s="71" t="s">
        <v>36</v>
      </c>
      <c r="B8" s="72" t="s">
        <v>197</v>
      </c>
      <c r="C8" s="88" t="s">
        <v>196</v>
      </c>
      <c r="D8" s="71" t="s">
        <v>195</v>
      </c>
      <c r="E8" s="102" t="s">
        <v>194</v>
      </c>
      <c r="F8" s="102"/>
      <c r="G8" s="71" t="s">
        <v>193</v>
      </c>
      <c r="H8" s="71" t="s">
        <v>192</v>
      </c>
      <c r="I8" s="71"/>
      <c r="J8" s="71" t="s">
        <v>183</v>
      </c>
      <c r="K8" s="71" t="s">
        <v>191</v>
      </c>
      <c r="L8" s="98"/>
      <c r="M8" s="71" t="s">
        <v>183</v>
      </c>
      <c r="N8" s="98"/>
      <c r="O8" s="71" t="s">
        <v>183</v>
      </c>
      <c r="P8" s="98"/>
      <c r="Q8" s="71" t="s">
        <v>183</v>
      </c>
      <c r="R8" s="98"/>
      <c r="S8" s="71" t="s">
        <v>183</v>
      </c>
    </row>
    <row r="9" spans="1:19" s="92" customFormat="1" ht="10.15" customHeight="1" x14ac:dyDescent="0.25">
      <c r="A9" s="104"/>
      <c r="B9" s="104" t="s">
        <v>23</v>
      </c>
      <c r="C9" s="74" t="s">
        <v>22</v>
      </c>
      <c r="D9" s="104" t="s">
        <v>21</v>
      </c>
      <c r="E9" s="74" t="s">
        <v>20</v>
      </c>
      <c r="F9" s="104" t="s">
        <v>19</v>
      </c>
      <c r="G9" s="74" t="s">
        <v>18</v>
      </c>
      <c r="H9" s="104" t="s">
        <v>17</v>
      </c>
      <c r="I9" s="105"/>
      <c r="J9" s="104" t="s">
        <v>16</v>
      </c>
      <c r="K9" s="104" t="s">
        <v>15</v>
      </c>
      <c r="L9" s="106"/>
      <c r="M9" s="104" t="s">
        <v>14</v>
      </c>
      <c r="N9" s="106"/>
      <c r="O9" s="104" t="s">
        <v>13</v>
      </c>
      <c r="P9" s="106"/>
      <c r="Q9" s="105" t="s">
        <v>12</v>
      </c>
      <c r="R9" s="106"/>
      <c r="S9" s="104" t="s">
        <v>11</v>
      </c>
    </row>
    <row r="10" spans="1:19" s="65" customFormat="1" ht="10.15" customHeight="1" x14ac:dyDescent="0.2">
      <c r="A10" s="66">
        <v>1</v>
      </c>
      <c r="B10" s="66"/>
      <c r="C10" s="66"/>
      <c r="D10" s="107"/>
      <c r="E10" s="107"/>
      <c r="F10" s="107"/>
      <c r="G10" s="107"/>
      <c r="H10" s="107"/>
      <c r="I10" s="107"/>
      <c r="J10" s="108"/>
      <c r="K10" s="108"/>
      <c r="M10" s="108"/>
      <c r="O10" s="108"/>
      <c r="Q10" s="108"/>
      <c r="S10" s="108"/>
    </row>
    <row r="11" spans="1:19" s="65" customFormat="1" ht="10.15" customHeight="1" x14ac:dyDescent="0.2">
      <c r="A11" s="66">
        <f>A10+1</f>
        <v>2</v>
      </c>
      <c r="B11" s="66">
        <v>3</v>
      </c>
      <c r="C11" s="109" t="s">
        <v>286</v>
      </c>
      <c r="D11" s="66" t="s">
        <v>287</v>
      </c>
      <c r="E11" s="66">
        <v>0</v>
      </c>
      <c r="F11" s="66">
        <v>30</v>
      </c>
      <c r="G11" s="66" t="s">
        <v>186</v>
      </c>
      <c r="H11" s="29">
        <v>1.1199999999999999</v>
      </c>
      <c r="I11" s="29"/>
      <c r="J11" s="29">
        <f>ROUND('Exh CTM-7 (Rate Design)'!R9,2)</f>
        <v>1.7</v>
      </c>
      <c r="K11" s="29">
        <f>J11-H11</f>
        <v>0.58000000000000007</v>
      </c>
      <c r="M11" s="29">
        <v>0.01</v>
      </c>
      <c r="N11" s="29"/>
      <c r="O11" s="29">
        <v>0</v>
      </c>
      <c r="P11" s="29"/>
      <c r="Q11" s="29">
        <v>0.01</v>
      </c>
      <c r="R11" s="29"/>
      <c r="S11" s="29">
        <f>ROUND(J11+M11+O11+Q11, 2)</f>
        <v>1.72</v>
      </c>
    </row>
    <row r="12" spans="1:19" s="65" customFormat="1" ht="10.15" customHeight="1" x14ac:dyDescent="0.2">
      <c r="A12" s="66">
        <f>A11+1</f>
        <v>3</v>
      </c>
      <c r="B12" s="66"/>
      <c r="C12" s="109"/>
      <c r="D12" s="66"/>
      <c r="G12" s="66"/>
      <c r="H12" s="29"/>
      <c r="I12" s="29"/>
      <c r="J12" s="29"/>
      <c r="K12" s="110"/>
      <c r="M12" s="29"/>
      <c r="N12" s="29"/>
      <c r="O12" s="29"/>
      <c r="P12" s="29"/>
      <c r="Q12" s="29"/>
      <c r="R12" s="29"/>
      <c r="S12" s="29"/>
    </row>
    <row r="13" spans="1:19" s="65" customFormat="1" ht="10.15" customHeight="1" x14ac:dyDescent="0.2">
      <c r="A13" s="66">
        <f>A12+1</f>
        <v>4</v>
      </c>
      <c r="B13" s="66">
        <v>50</v>
      </c>
      <c r="C13" s="109" t="s">
        <v>288</v>
      </c>
      <c r="D13" s="66" t="s">
        <v>289</v>
      </c>
      <c r="E13" s="66">
        <v>90.01</v>
      </c>
      <c r="F13" s="66">
        <v>150</v>
      </c>
      <c r="G13" s="66" t="s">
        <v>186</v>
      </c>
      <c r="H13" s="29">
        <v>7.3100000000000005</v>
      </c>
      <c r="I13" s="29"/>
      <c r="J13" s="29">
        <f>ROUND('Exh CTM-7 (Rate Design)'!R10,2)</f>
        <v>9.1</v>
      </c>
      <c r="K13" s="29">
        <f>J13-H13</f>
        <v>1.7899999999999991</v>
      </c>
      <c r="M13" s="29">
        <v>0.04</v>
      </c>
      <c r="N13" s="29"/>
      <c r="O13" s="29">
        <v>0.02</v>
      </c>
      <c r="P13" s="29"/>
      <c r="Q13" s="29">
        <v>0.06</v>
      </c>
      <c r="R13" s="29"/>
      <c r="S13" s="29">
        <f>ROUND(J13+M13+O13+Q13, 2)</f>
        <v>9.2200000000000006</v>
      </c>
    </row>
    <row r="14" spans="1:19" s="65" customFormat="1" ht="10.15" customHeight="1" x14ac:dyDescent="0.2">
      <c r="A14" s="66">
        <f>A13+1</f>
        <v>5</v>
      </c>
      <c r="B14" s="66">
        <v>50</v>
      </c>
      <c r="C14" s="109" t="s">
        <v>288</v>
      </c>
      <c r="D14" s="66" t="s">
        <v>290</v>
      </c>
      <c r="E14" s="66">
        <v>150.01</v>
      </c>
      <c r="F14" s="66">
        <v>240</v>
      </c>
      <c r="G14" s="66" t="s">
        <v>186</v>
      </c>
      <c r="H14" s="29">
        <v>11.09</v>
      </c>
      <c r="I14" s="29"/>
      <c r="J14" s="29">
        <f>ROUND('Exh CTM-7 (Rate Design)'!R11,2)</f>
        <v>15.95</v>
      </c>
      <c r="K14" s="29">
        <f>J14-H14</f>
        <v>4.8599999999999994</v>
      </c>
      <c r="M14" s="29">
        <v>7.0000000000000007E-2</v>
      </c>
      <c r="N14" s="29"/>
      <c r="O14" s="29">
        <v>0.03</v>
      </c>
      <c r="P14" s="29"/>
      <c r="Q14" s="29">
        <v>0.1</v>
      </c>
      <c r="R14" s="29"/>
      <c r="S14" s="29">
        <f>ROUND(J14+M14+O14+Q14, 2)</f>
        <v>16.149999999999999</v>
      </c>
    </row>
    <row r="15" spans="1:19" s="65" customFormat="1" ht="10.15" customHeight="1" x14ac:dyDescent="0.2">
      <c r="A15" s="66">
        <f>A14+1</f>
        <v>6</v>
      </c>
      <c r="B15" s="66">
        <v>50</v>
      </c>
      <c r="C15" s="109" t="s">
        <v>288</v>
      </c>
      <c r="D15" s="66" t="s">
        <v>291</v>
      </c>
      <c r="E15" s="66">
        <v>340.01</v>
      </c>
      <c r="F15" s="66">
        <v>600</v>
      </c>
      <c r="G15" s="66" t="s">
        <v>186</v>
      </c>
      <c r="H15" s="29">
        <v>22.47</v>
      </c>
      <c r="I15" s="29"/>
      <c r="J15" s="29">
        <f>ROUND('Exh CTM-7 (Rate Design)'!R12,2)</f>
        <v>33.11</v>
      </c>
      <c r="K15" s="29">
        <f>J15-H15</f>
        <v>10.64</v>
      </c>
      <c r="M15" s="29">
        <v>0.15</v>
      </c>
      <c r="N15" s="29"/>
      <c r="O15" s="29">
        <v>7.0000000000000007E-2</v>
      </c>
      <c r="P15" s="29"/>
      <c r="Q15" s="29">
        <v>0.21</v>
      </c>
      <c r="R15" s="29"/>
      <c r="S15" s="29">
        <f>ROUND(J15+M15+O15+Q15, 2)</f>
        <v>33.54</v>
      </c>
    </row>
    <row r="16" spans="1:19" s="65" customFormat="1" ht="10.15" customHeight="1" x14ac:dyDescent="0.2">
      <c r="A16" s="66">
        <f>A15+1</f>
        <v>7</v>
      </c>
      <c r="B16" s="66"/>
      <c r="C16" s="109"/>
      <c r="D16" s="66"/>
      <c r="G16" s="66"/>
      <c r="H16" s="29"/>
      <c r="I16" s="29"/>
      <c r="J16" s="29"/>
      <c r="K16" s="29"/>
      <c r="M16" s="29"/>
      <c r="N16" s="29"/>
      <c r="O16" s="29"/>
      <c r="P16" s="29"/>
      <c r="Q16" s="29"/>
      <c r="R16" s="29"/>
      <c r="S16" s="29"/>
    </row>
    <row r="17" spans="1:19" s="65" customFormat="1" ht="10.15" customHeight="1" x14ac:dyDescent="0.2">
      <c r="A17" s="66">
        <f>A16+1</f>
        <v>8</v>
      </c>
      <c r="B17" s="66">
        <v>50</v>
      </c>
      <c r="C17" s="109" t="s">
        <v>292</v>
      </c>
      <c r="D17" s="66" t="s">
        <v>289</v>
      </c>
      <c r="E17" s="66">
        <v>90.01</v>
      </c>
      <c r="F17" s="66">
        <v>150</v>
      </c>
      <c r="G17" s="66" t="s">
        <v>186</v>
      </c>
      <c r="H17" s="29">
        <v>5.0600000000000005</v>
      </c>
      <c r="I17" s="29"/>
      <c r="J17" s="29">
        <f>ROUND('Exh CTM-7 (Rate Design)'!R13,2)</f>
        <v>9.1</v>
      </c>
      <c r="K17" s="29">
        <f>J17-H17</f>
        <v>4.0399999999999991</v>
      </c>
      <c r="M17" s="29">
        <v>0.04</v>
      </c>
      <c r="N17" s="29"/>
      <c r="O17" s="29">
        <v>0.02</v>
      </c>
      <c r="P17" s="29"/>
      <c r="Q17" s="29">
        <v>0.06</v>
      </c>
      <c r="R17" s="29"/>
      <c r="S17" s="29">
        <f>ROUND(J17+M17+O17+Q17, 2)</f>
        <v>9.2200000000000006</v>
      </c>
    </row>
    <row r="18" spans="1:19" s="65" customFormat="1" ht="10.15" customHeight="1" x14ac:dyDescent="0.2">
      <c r="A18" s="66">
        <f>A17+1</f>
        <v>9</v>
      </c>
      <c r="B18" s="66">
        <v>50</v>
      </c>
      <c r="C18" s="109" t="s">
        <v>292</v>
      </c>
      <c r="D18" s="66" t="s">
        <v>290</v>
      </c>
      <c r="E18" s="66">
        <v>150.01</v>
      </c>
      <c r="F18" s="66">
        <v>240</v>
      </c>
      <c r="G18" s="66" t="s">
        <v>186</v>
      </c>
      <c r="H18" s="29">
        <v>8.84</v>
      </c>
      <c r="I18" s="29"/>
      <c r="J18" s="29">
        <f>ROUND('Exh CTM-7 (Rate Design)'!R14,2)</f>
        <v>15.95</v>
      </c>
      <c r="K18" s="29">
        <f>J18-H18</f>
        <v>7.1099999999999994</v>
      </c>
      <c r="M18" s="29">
        <v>7.0000000000000007E-2</v>
      </c>
      <c r="N18" s="29"/>
      <c r="O18" s="29">
        <v>0.03</v>
      </c>
      <c r="P18" s="29"/>
      <c r="Q18" s="29">
        <v>0.1</v>
      </c>
      <c r="R18" s="29"/>
      <c r="S18" s="29">
        <f>ROUND(J18+M18+O18+Q18, 2)</f>
        <v>16.149999999999999</v>
      </c>
    </row>
    <row r="19" spans="1:19" s="65" customFormat="1" ht="10.15" customHeight="1" x14ac:dyDescent="0.2">
      <c r="A19" s="66">
        <f>A18+1</f>
        <v>10</v>
      </c>
      <c r="B19" s="66">
        <v>50</v>
      </c>
      <c r="C19" s="109" t="s">
        <v>292</v>
      </c>
      <c r="D19" s="66" t="s">
        <v>291</v>
      </c>
      <c r="E19" s="66">
        <v>340.01</v>
      </c>
      <c r="F19" s="66">
        <v>600</v>
      </c>
      <c r="G19" s="66" t="s">
        <v>186</v>
      </c>
      <c r="H19" s="29">
        <v>20.22</v>
      </c>
      <c r="I19" s="29"/>
      <c r="J19" s="29">
        <f>ROUND('Exh CTM-7 (Rate Design)'!R15,2)</f>
        <v>33.11</v>
      </c>
      <c r="K19" s="29">
        <f>J19-H19</f>
        <v>12.89</v>
      </c>
      <c r="M19" s="29">
        <v>0.15</v>
      </c>
      <c r="N19" s="29"/>
      <c r="O19" s="29">
        <v>7.0000000000000007E-2</v>
      </c>
      <c r="P19" s="29"/>
      <c r="Q19" s="29">
        <v>0.21</v>
      </c>
      <c r="R19" s="29"/>
      <c r="S19" s="29">
        <f>ROUND(J19+M19+O19+Q19, 2)</f>
        <v>33.54</v>
      </c>
    </row>
    <row r="20" spans="1:19" s="65" customFormat="1" ht="10.15" customHeight="1" x14ac:dyDescent="0.2">
      <c r="A20" s="66">
        <f>A19+1</f>
        <v>11</v>
      </c>
      <c r="B20" s="66">
        <v>50</v>
      </c>
      <c r="C20" s="109" t="s">
        <v>292</v>
      </c>
      <c r="D20" s="66" t="s">
        <v>293</v>
      </c>
      <c r="E20" s="66">
        <v>600.01</v>
      </c>
      <c r="F20" s="66">
        <v>1000</v>
      </c>
      <c r="G20" s="66" t="s">
        <v>186</v>
      </c>
      <c r="H20" s="29">
        <v>35.39</v>
      </c>
      <c r="I20" s="29"/>
      <c r="J20" s="29">
        <f>ROUND('Exh CTM-7 (Rate Design)'!R16,2)</f>
        <v>82.79</v>
      </c>
      <c r="K20" s="29">
        <f>J20-H20</f>
        <v>47.400000000000006</v>
      </c>
      <c r="M20" s="29">
        <v>0.37</v>
      </c>
      <c r="N20" s="29"/>
      <c r="O20" s="29">
        <v>0.18</v>
      </c>
      <c r="P20" s="29"/>
      <c r="Q20" s="29">
        <v>0.52</v>
      </c>
      <c r="R20" s="29"/>
      <c r="S20" s="29">
        <f>ROUND(J20+M20+O20+Q20, 2)</f>
        <v>83.86</v>
      </c>
    </row>
    <row r="21" spans="1:19" s="65" customFormat="1" ht="10.15" customHeight="1" x14ac:dyDescent="0.2">
      <c r="A21" s="66">
        <f>A20+1</f>
        <v>12</v>
      </c>
      <c r="B21" s="66"/>
      <c r="C21" s="109"/>
      <c r="D21" s="66"/>
      <c r="E21" s="66"/>
      <c r="F21" s="66"/>
      <c r="G21" s="66"/>
      <c r="H21" s="29"/>
      <c r="I21" s="29"/>
      <c r="J21" s="29"/>
      <c r="K21" s="29"/>
      <c r="M21" s="29"/>
      <c r="N21" s="29"/>
      <c r="O21" s="29"/>
      <c r="P21" s="29"/>
      <c r="Q21" s="29"/>
      <c r="R21" s="29"/>
      <c r="S21" s="29"/>
    </row>
    <row r="22" spans="1:19" s="65" customFormat="1" ht="10.15" customHeight="1" x14ac:dyDescent="0.2">
      <c r="A22" s="66">
        <f>A21+1</f>
        <v>13</v>
      </c>
      <c r="B22" s="66">
        <v>51</v>
      </c>
      <c r="C22" s="109" t="s">
        <v>294</v>
      </c>
      <c r="D22" s="66" t="s">
        <v>295</v>
      </c>
      <c r="G22" s="66" t="s">
        <v>190</v>
      </c>
      <c r="H22" s="32">
        <v>1.289E-2</v>
      </c>
      <c r="I22" s="43"/>
      <c r="J22" s="32">
        <f>ROUND(J23/H23*H22,5)</f>
        <v>4.0210000000000003E-2</v>
      </c>
      <c r="K22" s="32">
        <f>J22-H22</f>
        <v>2.7320000000000004E-2</v>
      </c>
      <c r="L22" s="32"/>
      <c r="M22" s="32">
        <v>0</v>
      </c>
      <c r="N22" s="32"/>
      <c r="O22" s="32">
        <v>0</v>
      </c>
      <c r="P22" s="32"/>
      <c r="Q22" s="32">
        <v>0</v>
      </c>
      <c r="R22" s="32"/>
      <c r="S22" s="32">
        <f>ROUND(J22+M22+O22+Q22, 6)</f>
        <v>4.0210000000000003E-2</v>
      </c>
    </row>
    <row r="23" spans="1:19" s="65" customFormat="1" ht="10.15" customHeight="1" x14ac:dyDescent="0.2">
      <c r="A23" s="66">
        <f>A22+1</f>
        <v>14</v>
      </c>
      <c r="B23" s="66">
        <v>51</v>
      </c>
      <c r="C23" s="109" t="s">
        <v>294</v>
      </c>
      <c r="D23" s="66" t="s">
        <v>296</v>
      </c>
      <c r="E23" s="66"/>
      <c r="F23" s="66"/>
      <c r="G23" s="66" t="s">
        <v>190</v>
      </c>
      <c r="H23" s="32">
        <v>1.42E-3</v>
      </c>
      <c r="I23" s="43"/>
      <c r="J23" s="32">
        <v>4.4299999999999999E-3</v>
      </c>
      <c r="K23" s="32">
        <f>J23-H23</f>
        <v>3.0099999999999997E-3</v>
      </c>
      <c r="L23" s="32"/>
      <c r="M23" s="32">
        <v>0</v>
      </c>
      <c r="N23" s="32"/>
      <c r="O23" s="32">
        <v>0</v>
      </c>
      <c r="P23" s="32"/>
      <c r="Q23" s="32">
        <v>0</v>
      </c>
      <c r="R23" s="32"/>
      <c r="S23" s="32">
        <f>ROUND(J23+M23+O23+Q23, 6)</f>
        <v>4.4299999999999999E-3</v>
      </c>
    </row>
    <row r="24" spans="1:19" s="65" customFormat="1" ht="10.15" customHeight="1" x14ac:dyDescent="0.2">
      <c r="A24" s="66">
        <f>A23+1</f>
        <v>15</v>
      </c>
      <c r="B24" s="111"/>
      <c r="C24" s="112"/>
      <c r="D24" s="113"/>
      <c r="E24" s="113"/>
      <c r="F24" s="113"/>
      <c r="G24" s="113"/>
      <c r="H24" s="29"/>
      <c r="I24" s="29"/>
      <c r="J24" s="29"/>
      <c r="K24" s="29"/>
      <c r="M24" s="29"/>
      <c r="N24" s="29"/>
      <c r="O24" s="29"/>
      <c r="P24" s="29"/>
      <c r="Q24" s="29"/>
      <c r="R24" s="29"/>
      <c r="S24" s="29"/>
    </row>
    <row r="25" spans="1:19" s="65" customFormat="1" ht="10.15" customHeight="1" x14ac:dyDescent="0.2">
      <c r="A25" s="66">
        <f>A24+1</f>
        <v>16</v>
      </c>
      <c r="B25" s="66">
        <v>51</v>
      </c>
      <c r="C25" s="109" t="s">
        <v>297</v>
      </c>
      <c r="D25" s="66" t="s">
        <v>298</v>
      </c>
      <c r="E25" s="66">
        <v>0</v>
      </c>
      <c r="F25" s="66">
        <v>30</v>
      </c>
      <c r="G25" s="66" t="s">
        <v>186</v>
      </c>
      <c r="H25" s="29">
        <v>0.75</v>
      </c>
      <c r="I25" s="29"/>
      <c r="J25" s="29">
        <f>ROUND('Exh CTM-7 (Rate Design)'!R18,2)</f>
        <v>1.7</v>
      </c>
      <c r="K25" s="29">
        <f>J25-H25</f>
        <v>0.95</v>
      </c>
      <c r="M25" s="29">
        <v>0.01</v>
      </c>
      <c r="N25" s="29"/>
      <c r="O25" s="29">
        <v>0</v>
      </c>
      <c r="P25" s="29"/>
      <c r="Q25" s="29">
        <v>0.01</v>
      </c>
      <c r="R25" s="29"/>
      <c r="S25" s="29">
        <f>ROUND(J25+M25+O25+Q25, 2)</f>
        <v>1.72</v>
      </c>
    </row>
    <row r="26" spans="1:19" s="65" customFormat="1" ht="10.15" customHeight="1" x14ac:dyDescent="0.2">
      <c r="A26" s="66">
        <f>A25+1</f>
        <v>17</v>
      </c>
      <c r="B26" s="66">
        <v>51</v>
      </c>
      <c r="C26" s="109" t="s">
        <v>297</v>
      </c>
      <c r="D26" s="66" t="s">
        <v>299</v>
      </c>
      <c r="E26" s="66">
        <v>30.01</v>
      </c>
      <c r="F26" s="66">
        <v>60</v>
      </c>
      <c r="G26" s="66" t="s">
        <v>186</v>
      </c>
      <c r="H26" s="29">
        <v>2.27</v>
      </c>
      <c r="I26" s="29"/>
      <c r="J26" s="29">
        <f>ROUND('Exh CTM-7 (Rate Design)'!R19,2)</f>
        <v>3.73</v>
      </c>
      <c r="K26" s="29">
        <f>J26-H26</f>
        <v>1.46</v>
      </c>
      <c r="M26" s="29">
        <v>0.02</v>
      </c>
      <c r="N26" s="29"/>
      <c r="O26" s="29">
        <v>0.01</v>
      </c>
      <c r="P26" s="29"/>
      <c r="Q26" s="29">
        <v>0.02</v>
      </c>
      <c r="R26" s="29"/>
      <c r="S26" s="29">
        <f>ROUND(J26+M26+O26+Q26, 2)</f>
        <v>3.78</v>
      </c>
    </row>
    <row r="27" spans="1:19" s="65" customFormat="1" ht="10.15" customHeight="1" x14ac:dyDescent="0.2">
      <c r="A27" s="66">
        <f>A26+1</f>
        <v>18</v>
      </c>
      <c r="B27" s="66">
        <v>51</v>
      </c>
      <c r="C27" s="109" t="s">
        <v>297</v>
      </c>
      <c r="D27" s="66" t="s">
        <v>300</v>
      </c>
      <c r="E27" s="66">
        <v>60.01</v>
      </c>
      <c r="F27" s="66">
        <v>90</v>
      </c>
      <c r="G27" s="66" t="s">
        <v>186</v>
      </c>
      <c r="H27" s="29">
        <v>3.7800000000000002</v>
      </c>
      <c r="I27" s="29"/>
      <c r="J27" s="29">
        <f>ROUND('Exh CTM-7 (Rate Design)'!R20,2)</f>
        <v>6.01</v>
      </c>
      <c r="K27" s="29">
        <f>J27-H27</f>
        <v>2.2299999999999995</v>
      </c>
      <c r="M27" s="29">
        <v>0.03</v>
      </c>
      <c r="N27" s="29"/>
      <c r="O27" s="29">
        <v>0.01</v>
      </c>
      <c r="P27" s="29"/>
      <c r="Q27" s="29">
        <v>0.04</v>
      </c>
      <c r="R27" s="29"/>
      <c r="S27" s="29">
        <f>ROUND(J27+M27+O27+Q27, 2)</f>
        <v>6.09</v>
      </c>
    </row>
    <row r="28" spans="1:19" s="65" customFormat="1" ht="10.15" customHeight="1" x14ac:dyDescent="0.2">
      <c r="A28" s="66">
        <f>A27+1</f>
        <v>19</v>
      </c>
      <c r="B28" s="66">
        <v>51</v>
      </c>
      <c r="C28" s="109" t="s">
        <v>297</v>
      </c>
      <c r="D28" s="66" t="s">
        <v>301</v>
      </c>
      <c r="E28" s="66">
        <v>90.01</v>
      </c>
      <c r="F28" s="66">
        <v>150</v>
      </c>
      <c r="G28" s="66" t="s">
        <v>186</v>
      </c>
      <c r="H28" s="29">
        <v>5.3</v>
      </c>
      <c r="I28" s="29"/>
      <c r="J28" s="29">
        <f>ROUND('Exh CTM-7 (Rate Design)'!R21,2)</f>
        <v>9.1</v>
      </c>
      <c r="K28" s="29">
        <f>J28-H28</f>
        <v>3.8</v>
      </c>
      <c r="M28" s="29">
        <v>0.04</v>
      </c>
      <c r="N28" s="29"/>
      <c r="O28" s="29">
        <v>0.02</v>
      </c>
      <c r="P28" s="29"/>
      <c r="Q28" s="29">
        <v>0.06</v>
      </c>
      <c r="R28" s="29"/>
      <c r="S28" s="29">
        <f>ROUND(J28+M28+O28+Q28, 2)</f>
        <v>9.2200000000000006</v>
      </c>
    </row>
    <row r="29" spans="1:19" s="65" customFormat="1" ht="10.15" customHeight="1" x14ac:dyDescent="0.2">
      <c r="A29" s="66">
        <f>A28+1</f>
        <v>20</v>
      </c>
      <c r="B29" s="66">
        <v>51</v>
      </c>
      <c r="C29" s="109" t="s">
        <v>297</v>
      </c>
      <c r="D29" s="66" t="s">
        <v>302</v>
      </c>
      <c r="E29" s="66">
        <v>90.01</v>
      </c>
      <c r="F29" s="66">
        <v>150</v>
      </c>
      <c r="G29" s="66" t="s">
        <v>186</v>
      </c>
      <c r="H29" s="29">
        <v>6.8199999999999994</v>
      </c>
      <c r="I29" s="29"/>
      <c r="J29" s="29">
        <f>ROUND('Exh CTM-7 (Rate Design)'!R22,2)</f>
        <v>9.1</v>
      </c>
      <c r="K29" s="29">
        <f>J29-H29</f>
        <v>2.2800000000000002</v>
      </c>
      <c r="M29" s="29">
        <v>0.04</v>
      </c>
      <c r="N29" s="29"/>
      <c r="O29" s="29">
        <v>0.02</v>
      </c>
      <c r="P29" s="29"/>
      <c r="Q29" s="29">
        <v>0.06</v>
      </c>
      <c r="R29" s="29"/>
      <c r="S29" s="29">
        <f>ROUND(J29+M29+O29+Q29, 2)</f>
        <v>9.2200000000000006</v>
      </c>
    </row>
    <row r="30" spans="1:19" s="65" customFormat="1" ht="10.15" customHeight="1" x14ac:dyDescent="0.2">
      <c r="A30" s="66">
        <f>A29+1</f>
        <v>21</v>
      </c>
      <c r="B30" s="66">
        <v>51</v>
      </c>
      <c r="C30" s="109" t="s">
        <v>297</v>
      </c>
      <c r="D30" s="66" t="s">
        <v>303</v>
      </c>
      <c r="E30" s="66">
        <v>150.01</v>
      </c>
      <c r="F30" s="66">
        <v>240</v>
      </c>
      <c r="G30" s="66" t="s">
        <v>186</v>
      </c>
      <c r="H30" s="29">
        <v>8.33</v>
      </c>
      <c r="I30" s="29"/>
      <c r="J30" s="29">
        <f>ROUND('Exh CTM-7 (Rate Design)'!R23,2)</f>
        <v>15.95</v>
      </c>
      <c r="K30" s="29">
        <f>J30-H30</f>
        <v>7.6199999999999992</v>
      </c>
      <c r="M30" s="29">
        <v>7.0000000000000007E-2</v>
      </c>
      <c r="N30" s="29"/>
      <c r="O30" s="29">
        <v>0.03</v>
      </c>
      <c r="P30" s="29"/>
      <c r="Q30" s="29">
        <v>0.1</v>
      </c>
      <c r="R30" s="29"/>
      <c r="S30" s="29">
        <f>ROUND(J30+M30+O30+Q30, 2)</f>
        <v>16.149999999999999</v>
      </c>
    </row>
    <row r="31" spans="1:19" s="65" customFormat="1" ht="10.15" customHeight="1" x14ac:dyDescent="0.2">
      <c r="A31" s="66">
        <f>A30+1</f>
        <v>22</v>
      </c>
      <c r="B31" s="66">
        <v>51</v>
      </c>
      <c r="C31" s="109" t="s">
        <v>297</v>
      </c>
      <c r="D31" s="66" t="s">
        <v>304</v>
      </c>
      <c r="E31" s="66">
        <v>150.01</v>
      </c>
      <c r="F31" s="66">
        <v>240</v>
      </c>
      <c r="G31" s="66" t="s">
        <v>186</v>
      </c>
      <c r="H31" s="29">
        <v>9.85</v>
      </c>
      <c r="I31" s="29"/>
      <c r="J31" s="29">
        <f>ROUND('Exh CTM-7 (Rate Design)'!R24,2)</f>
        <v>15.95</v>
      </c>
      <c r="K31" s="29">
        <f>J31-H31</f>
        <v>6.1</v>
      </c>
      <c r="M31" s="29">
        <v>7.0000000000000007E-2</v>
      </c>
      <c r="N31" s="29"/>
      <c r="O31" s="29">
        <v>0.03</v>
      </c>
      <c r="P31" s="29"/>
      <c r="Q31" s="29">
        <v>0.1</v>
      </c>
      <c r="R31" s="29"/>
      <c r="S31" s="29">
        <f>ROUND(J31+M31+O31+Q31, 2)</f>
        <v>16.149999999999999</v>
      </c>
    </row>
    <row r="32" spans="1:19" s="65" customFormat="1" ht="10.15" customHeight="1" x14ac:dyDescent="0.2">
      <c r="A32" s="66">
        <f>A31+1</f>
        <v>23</v>
      </c>
      <c r="B32" s="66">
        <v>51</v>
      </c>
      <c r="C32" s="109" t="s">
        <v>297</v>
      </c>
      <c r="D32" s="66" t="s">
        <v>305</v>
      </c>
      <c r="E32" s="66">
        <v>150.01</v>
      </c>
      <c r="F32" s="66">
        <v>240</v>
      </c>
      <c r="G32" s="66" t="s">
        <v>186</v>
      </c>
      <c r="H32" s="29">
        <v>11.370000000000001</v>
      </c>
      <c r="I32" s="29"/>
      <c r="J32" s="29">
        <f>ROUND('Exh CTM-7 (Rate Design)'!R25,2)</f>
        <v>15.95</v>
      </c>
      <c r="K32" s="29">
        <f>J32-H32</f>
        <v>4.5799999999999983</v>
      </c>
      <c r="M32" s="29">
        <v>7.0000000000000007E-2</v>
      </c>
      <c r="N32" s="29"/>
      <c r="O32" s="29">
        <v>0.03</v>
      </c>
      <c r="P32" s="29"/>
      <c r="Q32" s="29">
        <v>0.1</v>
      </c>
      <c r="R32" s="29"/>
      <c r="S32" s="29">
        <f>ROUND(J32+M32+O32+Q32, 2)</f>
        <v>16.149999999999999</v>
      </c>
    </row>
    <row r="33" spans="1:19" s="65" customFormat="1" ht="10.15" customHeight="1" x14ac:dyDescent="0.2">
      <c r="A33" s="66">
        <f>A32+1</f>
        <v>24</v>
      </c>
      <c r="B33" s="66">
        <v>51</v>
      </c>
      <c r="C33" s="109" t="s">
        <v>297</v>
      </c>
      <c r="D33" s="66" t="s">
        <v>306</v>
      </c>
      <c r="E33" s="66">
        <v>240.01</v>
      </c>
      <c r="F33" s="66">
        <v>340</v>
      </c>
      <c r="G33" s="66" t="s">
        <v>186</v>
      </c>
      <c r="H33" s="29">
        <v>12.89</v>
      </c>
      <c r="I33" s="29"/>
      <c r="J33" s="29">
        <f>ROUND('Exh CTM-7 (Rate Design)'!R26,2)</f>
        <v>21.13</v>
      </c>
      <c r="K33" s="29">
        <f>J33-H33</f>
        <v>8.2399999999999984</v>
      </c>
      <c r="M33" s="29">
        <v>0.1</v>
      </c>
      <c r="N33" s="29"/>
      <c r="O33" s="29">
        <v>0.05</v>
      </c>
      <c r="P33" s="29"/>
      <c r="Q33" s="29">
        <v>0.13</v>
      </c>
      <c r="R33" s="29"/>
      <c r="S33" s="29">
        <f>ROUND(J33+M33+O33+Q33, 2)</f>
        <v>21.41</v>
      </c>
    </row>
    <row r="34" spans="1:19" s="65" customFormat="1" ht="10.15" customHeight="1" x14ac:dyDescent="0.2">
      <c r="A34" s="66">
        <f>A33+1</f>
        <v>25</v>
      </c>
      <c r="B34" s="66">
        <v>51</v>
      </c>
      <c r="C34" s="109" t="s">
        <v>297</v>
      </c>
      <c r="D34" s="66" t="s">
        <v>307</v>
      </c>
      <c r="E34" s="66">
        <v>240.01</v>
      </c>
      <c r="F34" s="66">
        <v>340</v>
      </c>
      <c r="G34" s="66" t="s">
        <v>186</v>
      </c>
      <c r="H34" s="29">
        <v>14.4</v>
      </c>
      <c r="I34" s="29"/>
      <c r="J34" s="29">
        <f>ROUND('Exh CTM-7 (Rate Design)'!R27,2)</f>
        <v>21.13</v>
      </c>
      <c r="K34" s="29">
        <f>J34-H34</f>
        <v>6.7299999999999986</v>
      </c>
      <c r="M34" s="29">
        <v>0.1</v>
      </c>
      <c r="N34" s="29"/>
      <c r="O34" s="29">
        <v>0.05</v>
      </c>
      <c r="P34" s="29"/>
      <c r="Q34" s="29">
        <v>0.13</v>
      </c>
      <c r="R34" s="29"/>
      <c r="S34" s="29">
        <f>ROUND(J34+M34+O34+Q34, 2)</f>
        <v>21.41</v>
      </c>
    </row>
    <row r="35" spans="1:19" s="65" customFormat="1" ht="10.15" customHeight="1" x14ac:dyDescent="0.2">
      <c r="A35" s="66">
        <f>A34+1</f>
        <v>26</v>
      </c>
      <c r="B35" s="66"/>
      <c r="C35" s="109"/>
      <c r="D35" s="66"/>
      <c r="G35" s="66"/>
      <c r="H35" s="29"/>
      <c r="I35" s="29"/>
      <c r="J35" s="29"/>
      <c r="K35" s="29"/>
      <c r="M35" s="29"/>
      <c r="N35" s="29"/>
      <c r="O35" s="29"/>
      <c r="P35" s="29"/>
      <c r="Q35" s="29"/>
      <c r="R35" s="29"/>
      <c r="S35" s="29"/>
    </row>
    <row r="36" spans="1:19" s="65" customFormat="1" ht="10.15" customHeight="1" x14ac:dyDescent="0.2">
      <c r="A36" s="66">
        <f>A35+1</f>
        <v>27</v>
      </c>
      <c r="B36" s="66">
        <v>51</v>
      </c>
      <c r="C36" s="109" t="s">
        <v>308</v>
      </c>
      <c r="D36" s="66" t="s">
        <v>298</v>
      </c>
      <c r="E36" s="66">
        <v>0</v>
      </c>
      <c r="F36" s="66">
        <v>30</v>
      </c>
      <c r="G36" s="66" t="s">
        <v>189</v>
      </c>
      <c r="H36" s="31">
        <v>0.14440500000000001</v>
      </c>
      <c r="I36" s="31"/>
      <c r="J36" s="31">
        <f>ROUND('Exh CTM-7 (Rate Design)'!O28,6)</f>
        <v>0.229466</v>
      </c>
      <c r="K36" s="31">
        <f>J36-H36</f>
        <v>8.5060999999999998E-2</v>
      </c>
      <c r="L36" s="114"/>
      <c r="M36" s="31">
        <v>1.0330000000000001E-3</v>
      </c>
      <c r="N36" s="31"/>
      <c r="O36" s="31">
        <v>4.95E-4</v>
      </c>
      <c r="P36" s="31"/>
      <c r="Q36" s="31">
        <v>1.4350000000000001E-3</v>
      </c>
      <c r="R36" s="31"/>
      <c r="S36" s="31">
        <f>ROUND(J36+M36+O36+Q36, 6)</f>
        <v>0.232429</v>
      </c>
    </row>
    <row r="37" spans="1:19" s="65" customFormat="1" ht="10.15" customHeight="1" x14ac:dyDescent="0.2">
      <c r="A37" s="66">
        <f>A36+1</f>
        <v>28</v>
      </c>
      <c r="B37" s="66">
        <v>51</v>
      </c>
      <c r="C37" s="109" t="s">
        <v>308</v>
      </c>
      <c r="D37" s="66" t="s">
        <v>299</v>
      </c>
      <c r="E37" s="66">
        <v>30.01</v>
      </c>
      <c r="F37" s="66">
        <v>60</v>
      </c>
      <c r="G37" s="66" t="s">
        <v>189</v>
      </c>
      <c r="H37" s="31">
        <v>0.14440500000000001</v>
      </c>
      <c r="I37" s="31"/>
      <c r="J37" s="31">
        <f>ROUND('Exh CTM-7 (Rate Design)'!O29,6)</f>
        <v>0.229466</v>
      </c>
      <c r="K37" s="31">
        <f>J37-H37</f>
        <v>8.5060999999999998E-2</v>
      </c>
      <c r="L37" s="114"/>
      <c r="M37" s="31">
        <v>1.0330000000000001E-3</v>
      </c>
      <c r="N37" s="31"/>
      <c r="O37" s="31">
        <v>4.95E-4</v>
      </c>
      <c r="P37" s="31"/>
      <c r="Q37" s="31">
        <v>1.4350000000000001E-3</v>
      </c>
      <c r="R37" s="31"/>
      <c r="S37" s="31">
        <f>ROUND(J37+M37+O37+Q37, 6)</f>
        <v>0.232429</v>
      </c>
    </row>
    <row r="38" spans="1:19" s="65" customFormat="1" ht="10.15" customHeight="1" x14ac:dyDescent="0.2">
      <c r="A38" s="66">
        <f>A37+1</f>
        <v>29</v>
      </c>
      <c r="B38" s="66">
        <v>51</v>
      </c>
      <c r="C38" s="109" t="s">
        <v>308</v>
      </c>
      <c r="D38" s="66" t="s">
        <v>300</v>
      </c>
      <c r="E38" s="66">
        <v>60.01</v>
      </c>
      <c r="F38" s="66">
        <v>90</v>
      </c>
      <c r="G38" s="66" t="s">
        <v>189</v>
      </c>
      <c r="H38" s="31">
        <v>0.14440500000000001</v>
      </c>
      <c r="I38" s="31"/>
      <c r="J38" s="31">
        <f>ROUND('Exh CTM-7 (Rate Design)'!O30,6)</f>
        <v>0.229466</v>
      </c>
      <c r="K38" s="31">
        <f>J38-H38</f>
        <v>8.5060999999999998E-2</v>
      </c>
      <c r="L38" s="114"/>
      <c r="M38" s="31">
        <v>1.0330000000000001E-3</v>
      </c>
      <c r="N38" s="31"/>
      <c r="O38" s="31">
        <v>4.95E-4</v>
      </c>
      <c r="P38" s="31"/>
      <c r="Q38" s="31">
        <v>1.4350000000000001E-3</v>
      </c>
      <c r="R38" s="31"/>
      <c r="S38" s="31">
        <f>ROUND(J38+M38+O38+Q38, 6)</f>
        <v>0.232429</v>
      </c>
    </row>
    <row r="39" spans="1:19" s="65" customFormat="1" ht="10.15" customHeight="1" x14ac:dyDescent="0.2">
      <c r="A39" s="66">
        <f>A38+1</f>
        <v>30</v>
      </c>
      <c r="B39" s="66">
        <v>51</v>
      </c>
      <c r="C39" s="109" t="s">
        <v>308</v>
      </c>
      <c r="D39" s="66" t="s">
        <v>301</v>
      </c>
      <c r="E39" s="66">
        <v>90.01</v>
      </c>
      <c r="F39" s="66">
        <v>150</v>
      </c>
      <c r="G39" s="66" t="s">
        <v>189</v>
      </c>
      <c r="H39" s="31">
        <v>0.14440500000000001</v>
      </c>
      <c r="I39" s="31"/>
      <c r="J39" s="31">
        <f>ROUND('Exh CTM-7 (Rate Design)'!O31,6)</f>
        <v>0.229466</v>
      </c>
      <c r="K39" s="31">
        <f>J39-H39</f>
        <v>8.5060999999999998E-2</v>
      </c>
      <c r="L39" s="114"/>
      <c r="M39" s="31">
        <v>1.0330000000000001E-3</v>
      </c>
      <c r="N39" s="31"/>
      <c r="O39" s="31">
        <v>4.95E-4</v>
      </c>
      <c r="P39" s="31"/>
      <c r="Q39" s="31">
        <v>1.4350000000000001E-3</v>
      </c>
      <c r="R39" s="31"/>
      <c r="S39" s="31">
        <f>ROUND(J39+M39+O39+Q39, 6)</f>
        <v>0.232429</v>
      </c>
    </row>
    <row r="40" spans="1:19" s="65" customFormat="1" ht="10.15" customHeight="1" x14ac:dyDescent="0.2">
      <c r="A40" s="66">
        <f>A39+1</f>
        <v>31</v>
      </c>
      <c r="B40" s="66">
        <v>51</v>
      </c>
      <c r="C40" s="109" t="s">
        <v>308</v>
      </c>
      <c r="D40" s="66" t="s">
        <v>302</v>
      </c>
      <c r="E40" s="66">
        <v>90.01</v>
      </c>
      <c r="F40" s="66">
        <v>150</v>
      </c>
      <c r="G40" s="66" t="s">
        <v>189</v>
      </c>
      <c r="H40" s="31">
        <v>0.14440500000000001</v>
      </c>
      <c r="I40" s="31"/>
      <c r="J40" s="31">
        <f>ROUND('Exh CTM-7 (Rate Design)'!O32,6)</f>
        <v>0.229466</v>
      </c>
      <c r="K40" s="31">
        <f>J40-H40</f>
        <v>8.5060999999999998E-2</v>
      </c>
      <c r="L40" s="114"/>
      <c r="M40" s="31">
        <v>1.0330000000000001E-3</v>
      </c>
      <c r="N40" s="31"/>
      <c r="O40" s="31">
        <v>4.95E-4</v>
      </c>
      <c r="P40" s="31"/>
      <c r="Q40" s="31">
        <v>1.4350000000000001E-3</v>
      </c>
      <c r="R40" s="31"/>
      <c r="S40" s="31">
        <f>ROUND(J40+M40+O40+Q40, 6)</f>
        <v>0.232429</v>
      </c>
    </row>
    <row r="41" spans="1:19" s="65" customFormat="1" ht="10.15" customHeight="1" x14ac:dyDescent="0.2">
      <c r="A41" s="66">
        <f>A40+1</f>
        <v>32</v>
      </c>
      <c r="B41" s="66">
        <v>51</v>
      </c>
      <c r="C41" s="109" t="s">
        <v>308</v>
      </c>
      <c r="D41" s="66" t="s">
        <v>303</v>
      </c>
      <c r="E41" s="66">
        <v>150.01</v>
      </c>
      <c r="F41" s="66">
        <v>240</v>
      </c>
      <c r="G41" s="66" t="s">
        <v>189</v>
      </c>
      <c r="H41" s="31">
        <v>0.14440500000000001</v>
      </c>
      <c r="I41" s="31"/>
      <c r="J41" s="31">
        <f>ROUND('Exh CTM-7 (Rate Design)'!O33,6)</f>
        <v>0.229466</v>
      </c>
      <c r="K41" s="31">
        <f>J41-H41</f>
        <v>8.5060999999999998E-2</v>
      </c>
      <c r="L41" s="114"/>
      <c r="M41" s="31">
        <v>1.0330000000000001E-3</v>
      </c>
      <c r="N41" s="31"/>
      <c r="O41" s="31">
        <v>4.95E-4</v>
      </c>
      <c r="P41" s="31"/>
      <c r="Q41" s="31">
        <v>1.4350000000000001E-3</v>
      </c>
      <c r="R41" s="31"/>
      <c r="S41" s="31">
        <f>ROUND(J41+M41+O41+Q41, 6)</f>
        <v>0.232429</v>
      </c>
    </row>
    <row r="42" spans="1:19" s="65" customFormat="1" ht="10.15" customHeight="1" x14ac:dyDescent="0.2">
      <c r="A42" s="66">
        <f>A41+1</f>
        <v>33</v>
      </c>
      <c r="B42" s="66">
        <v>51</v>
      </c>
      <c r="C42" s="109" t="s">
        <v>308</v>
      </c>
      <c r="D42" s="66" t="s">
        <v>304</v>
      </c>
      <c r="E42" s="66">
        <v>150.01</v>
      </c>
      <c r="F42" s="66">
        <v>240</v>
      </c>
      <c r="G42" s="66" t="s">
        <v>189</v>
      </c>
      <c r="H42" s="31">
        <v>0.14440500000000001</v>
      </c>
      <c r="I42" s="31"/>
      <c r="J42" s="31">
        <f>ROUND('Exh CTM-7 (Rate Design)'!O34,6)</f>
        <v>0.229466</v>
      </c>
      <c r="K42" s="31">
        <f>J42-H42</f>
        <v>8.5060999999999998E-2</v>
      </c>
      <c r="L42" s="114"/>
      <c r="M42" s="31">
        <v>1.0330000000000001E-3</v>
      </c>
      <c r="N42" s="31"/>
      <c r="O42" s="31">
        <v>4.95E-4</v>
      </c>
      <c r="P42" s="31"/>
      <c r="Q42" s="31">
        <v>1.4350000000000001E-3</v>
      </c>
      <c r="R42" s="31"/>
      <c r="S42" s="31">
        <f>ROUND(J42+M42+O42+Q42, 6)</f>
        <v>0.232429</v>
      </c>
    </row>
    <row r="43" spans="1:19" s="65" customFormat="1" ht="10.15" customHeight="1" x14ac:dyDescent="0.2">
      <c r="A43" s="66">
        <f>A42+1</f>
        <v>34</v>
      </c>
      <c r="B43" s="66">
        <v>51</v>
      </c>
      <c r="C43" s="109" t="s">
        <v>308</v>
      </c>
      <c r="D43" s="66" t="s">
        <v>305</v>
      </c>
      <c r="E43" s="66">
        <v>150.01</v>
      </c>
      <c r="F43" s="66">
        <v>240</v>
      </c>
      <c r="G43" s="66" t="s">
        <v>189</v>
      </c>
      <c r="H43" s="31">
        <v>0.14440500000000001</v>
      </c>
      <c r="I43" s="31"/>
      <c r="J43" s="31">
        <f>ROUND('Exh CTM-7 (Rate Design)'!O35,6)</f>
        <v>0.229466</v>
      </c>
      <c r="K43" s="31">
        <f>J43-H43</f>
        <v>8.5060999999999998E-2</v>
      </c>
      <c r="L43" s="114"/>
      <c r="M43" s="31">
        <v>1.0330000000000001E-3</v>
      </c>
      <c r="N43" s="31"/>
      <c r="O43" s="31">
        <v>4.95E-4</v>
      </c>
      <c r="P43" s="31"/>
      <c r="Q43" s="31">
        <v>1.4350000000000001E-3</v>
      </c>
      <c r="R43" s="31"/>
      <c r="S43" s="31">
        <f>ROUND(J43+M43+O43+Q43, 6)</f>
        <v>0.232429</v>
      </c>
    </row>
    <row r="44" spans="1:19" s="65" customFormat="1" ht="10.15" customHeight="1" x14ac:dyDescent="0.2">
      <c r="A44" s="66">
        <f>A43+1</f>
        <v>35</v>
      </c>
      <c r="B44" s="66">
        <v>51</v>
      </c>
      <c r="C44" s="109" t="s">
        <v>308</v>
      </c>
      <c r="D44" s="66" t="s">
        <v>306</v>
      </c>
      <c r="E44" s="66">
        <v>240.01</v>
      </c>
      <c r="F44" s="66">
        <v>340</v>
      </c>
      <c r="G44" s="66" t="s">
        <v>189</v>
      </c>
      <c r="H44" s="31">
        <v>0.14440500000000001</v>
      </c>
      <c r="I44" s="31"/>
      <c r="J44" s="31">
        <f>ROUND('Exh CTM-7 (Rate Design)'!O36,6)</f>
        <v>0.229466</v>
      </c>
      <c r="K44" s="31">
        <f>J44-H44</f>
        <v>8.5060999999999998E-2</v>
      </c>
      <c r="L44" s="114"/>
      <c r="M44" s="31">
        <v>1.0330000000000001E-3</v>
      </c>
      <c r="N44" s="31"/>
      <c r="O44" s="31">
        <v>4.95E-4</v>
      </c>
      <c r="P44" s="31"/>
      <c r="Q44" s="31">
        <v>1.4350000000000001E-3</v>
      </c>
      <c r="R44" s="31"/>
      <c r="S44" s="31">
        <f>ROUND(J44+M44+O44+Q44, 6)</f>
        <v>0.232429</v>
      </c>
    </row>
    <row r="45" spans="1:19" s="65" customFormat="1" ht="10.15" customHeight="1" x14ac:dyDescent="0.2">
      <c r="A45" s="66">
        <f>A44+1</f>
        <v>36</v>
      </c>
      <c r="B45" s="66">
        <v>51</v>
      </c>
      <c r="C45" s="109" t="s">
        <v>308</v>
      </c>
      <c r="D45" s="66" t="s">
        <v>307</v>
      </c>
      <c r="E45" s="66">
        <v>240.01</v>
      </c>
      <c r="F45" s="66">
        <v>340</v>
      </c>
      <c r="G45" s="66" t="s">
        <v>189</v>
      </c>
      <c r="H45" s="31">
        <v>0.14440500000000001</v>
      </c>
      <c r="I45" s="31"/>
      <c r="J45" s="31">
        <f>ROUND('Exh CTM-7 (Rate Design)'!O37,6)</f>
        <v>0.229466</v>
      </c>
      <c r="K45" s="31">
        <f>J45-H45</f>
        <v>8.5060999999999998E-2</v>
      </c>
      <c r="L45" s="114"/>
      <c r="M45" s="31">
        <v>1.0330000000000001E-3</v>
      </c>
      <c r="N45" s="31"/>
      <c r="O45" s="31">
        <v>4.95E-4</v>
      </c>
      <c r="P45" s="31"/>
      <c r="Q45" s="31">
        <v>1.4350000000000001E-3</v>
      </c>
      <c r="R45" s="31"/>
      <c r="S45" s="31">
        <f>ROUND(J45+M45+O45+Q45, 6)</f>
        <v>0.232429</v>
      </c>
    </row>
    <row r="46" spans="1:19" s="65" customFormat="1" ht="10.15" customHeight="1" x14ac:dyDescent="0.2">
      <c r="A46" s="66">
        <f>A45+1</f>
        <v>37</v>
      </c>
      <c r="B46" s="115"/>
      <c r="C46" s="116"/>
      <c r="D46" s="117"/>
      <c r="E46" s="117"/>
      <c r="F46" s="117"/>
      <c r="G46" s="117"/>
      <c r="H46" s="29"/>
      <c r="I46" s="29"/>
      <c r="J46" s="29"/>
      <c r="K46" s="29"/>
      <c r="L46" s="114"/>
      <c r="M46" s="29"/>
      <c r="N46" s="29"/>
      <c r="O46" s="29"/>
      <c r="P46" s="29"/>
      <c r="Q46" s="29"/>
      <c r="R46" s="29"/>
      <c r="S46" s="29"/>
    </row>
    <row r="47" spans="1:19" s="65" customFormat="1" ht="10.15" customHeight="1" x14ac:dyDescent="0.2">
      <c r="A47" s="66">
        <f>A46+1</f>
        <v>38</v>
      </c>
      <c r="B47" s="66">
        <v>52</v>
      </c>
      <c r="C47" s="109" t="s">
        <v>309</v>
      </c>
      <c r="D47" s="66" t="s">
        <v>295</v>
      </c>
      <c r="E47" s="66"/>
      <c r="F47" s="66"/>
      <c r="G47" s="66" t="s">
        <v>190</v>
      </c>
      <c r="H47" s="32">
        <v>1.289E-2</v>
      </c>
      <c r="I47" s="43"/>
      <c r="J47" s="32">
        <f>J22</f>
        <v>4.0210000000000003E-2</v>
      </c>
      <c r="K47" s="33">
        <f>J47-H47</f>
        <v>2.7320000000000004E-2</v>
      </c>
      <c r="M47" s="32">
        <v>0</v>
      </c>
      <c r="N47" s="32"/>
      <c r="O47" s="32">
        <v>0</v>
      </c>
      <c r="P47" s="32"/>
      <c r="Q47" s="32">
        <v>0</v>
      </c>
      <c r="R47" s="32"/>
      <c r="S47" s="32">
        <f>ROUND(J47+M47+O47+Q47, 6)</f>
        <v>4.0210000000000003E-2</v>
      </c>
    </row>
    <row r="48" spans="1:19" s="65" customFormat="1" ht="10.15" customHeight="1" x14ac:dyDescent="0.2">
      <c r="A48" s="66">
        <f>A47+1</f>
        <v>39</v>
      </c>
      <c r="B48" s="66">
        <v>52</v>
      </c>
      <c r="C48" s="109" t="s">
        <v>309</v>
      </c>
      <c r="D48" s="66" t="s">
        <v>296</v>
      </c>
      <c r="E48" s="66"/>
      <c r="F48" s="66"/>
      <c r="G48" s="66" t="s">
        <v>190</v>
      </c>
      <c r="H48" s="32">
        <v>1.42E-3</v>
      </c>
      <c r="I48" s="43"/>
      <c r="J48" s="32">
        <f>J23</f>
        <v>4.4299999999999999E-3</v>
      </c>
      <c r="K48" s="33">
        <f>J48-H48</f>
        <v>3.0099999999999997E-3</v>
      </c>
      <c r="M48" s="32">
        <v>0</v>
      </c>
      <c r="N48" s="32"/>
      <c r="O48" s="32">
        <v>0</v>
      </c>
      <c r="P48" s="32"/>
      <c r="Q48" s="32">
        <v>0</v>
      </c>
      <c r="R48" s="32"/>
      <c r="S48" s="32">
        <f>ROUND(J48+M48+O48+Q48, 6)</f>
        <v>4.4299999999999999E-3</v>
      </c>
    </row>
    <row r="49" spans="1:19" s="65" customFormat="1" ht="10.15" customHeight="1" x14ac:dyDescent="0.2">
      <c r="A49" s="66">
        <f>A48+1</f>
        <v>40</v>
      </c>
      <c r="B49" s="111"/>
      <c r="C49" s="112"/>
      <c r="D49" s="113"/>
      <c r="E49" s="113"/>
      <c r="F49" s="113"/>
      <c r="G49" s="113"/>
      <c r="H49" s="44"/>
      <c r="I49" s="29"/>
      <c r="J49" s="29"/>
      <c r="K49" s="29"/>
      <c r="M49" s="29"/>
      <c r="N49" s="29"/>
      <c r="O49" s="29"/>
      <c r="P49" s="29"/>
      <c r="Q49" s="29"/>
      <c r="R49" s="29"/>
      <c r="S49" s="29"/>
    </row>
    <row r="50" spans="1:19" s="65" customFormat="1" ht="10.15" customHeight="1" x14ac:dyDescent="0.2">
      <c r="A50" s="66">
        <f>A49+1</f>
        <v>41</v>
      </c>
      <c r="B50" s="66">
        <v>52</v>
      </c>
      <c r="C50" s="109" t="s">
        <v>310</v>
      </c>
      <c r="D50" s="66" t="s">
        <v>311</v>
      </c>
      <c r="E50" s="66">
        <v>30.01</v>
      </c>
      <c r="F50" s="66">
        <v>60</v>
      </c>
      <c r="G50" s="66" t="s">
        <v>186</v>
      </c>
      <c r="H50" s="29">
        <v>2.5099999999999998</v>
      </c>
      <c r="I50" s="29"/>
      <c r="J50" s="29">
        <f>ROUND('Exh CTM-7 (Rate Design)'!R39,2)</f>
        <v>3.73</v>
      </c>
      <c r="K50" s="29">
        <f>J50-H50</f>
        <v>1.2200000000000002</v>
      </c>
      <c r="M50" s="29">
        <v>0.02</v>
      </c>
      <c r="N50" s="29"/>
      <c r="O50" s="29">
        <v>0.01</v>
      </c>
      <c r="P50" s="29"/>
      <c r="Q50" s="29">
        <v>0.02</v>
      </c>
      <c r="R50" s="29"/>
      <c r="S50" s="29">
        <f>ROUND(J50+M50+O50+Q50, 2)</f>
        <v>3.78</v>
      </c>
    </row>
    <row r="51" spans="1:19" s="65" customFormat="1" ht="10.15" customHeight="1" x14ac:dyDescent="0.2">
      <c r="A51" s="66">
        <f>A50+1</f>
        <v>42</v>
      </c>
      <c r="B51" s="66">
        <v>52</v>
      </c>
      <c r="C51" s="109" t="s">
        <v>310</v>
      </c>
      <c r="D51" s="66" t="s">
        <v>312</v>
      </c>
      <c r="E51" s="66">
        <v>60.01</v>
      </c>
      <c r="F51" s="66">
        <v>90</v>
      </c>
      <c r="G51" s="66" t="s">
        <v>186</v>
      </c>
      <c r="H51" s="29">
        <v>3.55</v>
      </c>
      <c r="I51" s="29"/>
      <c r="J51" s="29">
        <f>ROUND('Exh CTM-7 (Rate Design)'!R40,2)</f>
        <v>6.01</v>
      </c>
      <c r="K51" s="29">
        <f>J51-H51</f>
        <v>2.46</v>
      </c>
      <c r="M51" s="29">
        <v>0.03</v>
      </c>
      <c r="N51" s="29"/>
      <c r="O51" s="29">
        <v>0.01</v>
      </c>
      <c r="P51" s="29"/>
      <c r="Q51" s="29">
        <v>0.04</v>
      </c>
      <c r="R51" s="29"/>
      <c r="S51" s="29">
        <f>ROUND(J51+M51+O51+Q51, 2)</f>
        <v>6.09</v>
      </c>
    </row>
    <row r="52" spans="1:19" s="65" customFormat="1" ht="10.15" customHeight="1" x14ac:dyDescent="0.2">
      <c r="A52" s="66">
        <f>A51+1</f>
        <v>43</v>
      </c>
      <c r="B52" s="66">
        <v>52</v>
      </c>
      <c r="C52" s="109" t="s">
        <v>310</v>
      </c>
      <c r="D52" s="66" t="s">
        <v>289</v>
      </c>
      <c r="E52" s="66">
        <v>90.01</v>
      </c>
      <c r="F52" s="66">
        <v>150</v>
      </c>
      <c r="G52" s="66" t="s">
        <v>186</v>
      </c>
      <c r="H52" s="29">
        <v>5.0600000000000005</v>
      </c>
      <c r="I52" s="29"/>
      <c r="J52" s="29">
        <f>ROUND('Exh CTM-7 (Rate Design)'!R41,2)</f>
        <v>9.1</v>
      </c>
      <c r="K52" s="29">
        <f>J52-H52</f>
        <v>4.0399999999999991</v>
      </c>
      <c r="M52" s="29">
        <v>0.04</v>
      </c>
      <c r="N52" s="29"/>
      <c r="O52" s="29">
        <v>0.02</v>
      </c>
      <c r="P52" s="29"/>
      <c r="Q52" s="29">
        <v>0.06</v>
      </c>
      <c r="R52" s="29"/>
      <c r="S52" s="29">
        <f>ROUND(J52+M52+O52+Q52, 2)</f>
        <v>9.2200000000000006</v>
      </c>
    </row>
    <row r="53" spans="1:19" s="65" customFormat="1" ht="10.15" customHeight="1" x14ac:dyDescent="0.2">
      <c r="A53" s="66">
        <f>A52+1</f>
        <v>44</v>
      </c>
      <c r="B53" s="66">
        <v>52</v>
      </c>
      <c r="C53" s="109" t="s">
        <v>310</v>
      </c>
      <c r="D53" s="66" t="s">
        <v>313</v>
      </c>
      <c r="E53" s="66">
        <v>90.01</v>
      </c>
      <c r="F53" s="66">
        <v>150</v>
      </c>
      <c r="G53" s="66" t="s">
        <v>186</v>
      </c>
      <c r="H53" s="29">
        <v>7.57</v>
      </c>
      <c r="I53" s="29"/>
      <c r="J53" s="29">
        <f>ROUND('Exh CTM-7 (Rate Design)'!R42,2)</f>
        <v>9.1</v>
      </c>
      <c r="K53" s="29">
        <f>J53-H53</f>
        <v>1.5299999999999994</v>
      </c>
      <c r="M53" s="29">
        <v>0.04</v>
      </c>
      <c r="N53" s="29"/>
      <c r="O53" s="29">
        <v>0.02</v>
      </c>
      <c r="P53" s="29"/>
      <c r="Q53" s="29">
        <v>0.06</v>
      </c>
      <c r="R53" s="29"/>
      <c r="S53" s="29">
        <f>ROUND(J53+M53+O53+Q53, 2)</f>
        <v>9.2200000000000006</v>
      </c>
    </row>
    <row r="54" spans="1:19" s="65" customFormat="1" ht="10.15" customHeight="1" x14ac:dyDescent="0.2">
      <c r="A54" s="66">
        <f>A53+1</f>
        <v>45</v>
      </c>
      <c r="B54" s="66">
        <v>52</v>
      </c>
      <c r="C54" s="109" t="s">
        <v>310</v>
      </c>
      <c r="D54" s="66" t="s">
        <v>314</v>
      </c>
      <c r="E54" s="66">
        <v>150.01</v>
      </c>
      <c r="F54" s="66">
        <v>240</v>
      </c>
      <c r="G54" s="66" t="s">
        <v>186</v>
      </c>
      <c r="H54" s="29">
        <v>10.110000000000001</v>
      </c>
      <c r="I54" s="29"/>
      <c r="J54" s="29">
        <f>ROUND('Exh CTM-7 (Rate Design)'!R43,2)</f>
        <v>15.95</v>
      </c>
      <c r="K54" s="29">
        <f>J54-H54</f>
        <v>5.8399999999999981</v>
      </c>
      <c r="M54" s="29">
        <v>7.0000000000000007E-2</v>
      </c>
      <c r="N54" s="29"/>
      <c r="O54" s="29">
        <v>0.03</v>
      </c>
      <c r="P54" s="29"/>
      <c r="Q54" s="29">
        <v>0.1</v>
      </c>
      <c r="R54" s="29"/>
      <c r="S54" s="29">
        <f>ROUND(J54+M54+O54+Q54, 2)</f>
        <v>16.149999999999999</v>
      </c>
    </row>
    <row r="55" spans="1:19" s="65" customFormat="1" ht="10.15" customHeight="1" x14ac:dyDescent="0.2">
      <c r="A55" s="66">
        <f>A54+1</f>
        <v>46</v>
      </c>
      <c r="B55" s="66">
        <v>52</v>
      </c>
      <c r="C55" s="109" t="s">
        <v>310</v>
      </c>
      <c r="D55" s="66" t="s">
        <v>315</v>
      </c>
      <c r="E55" s="66">
        <v>240.01</v>
      </c>
      <c r="F55" s="66">
        <v>340</v>
      </c>
      <c r="G55" s="66" t="s">
        <v>186</v>
      </c>
      <c r="H55" s="29">
        <v>12.620000000000001</v>
      </c>
      <c r="I55" s="29"/>
      <c r="J55" s="29">
        <f>ROUND('Exh CTM-7 (Rate Design)'!R44,2)</f>
        <v>21.13</v>
      </c>
      <c r="K55" s="29">
        <f>J55-H55</f>
        <v>8.509999999999998</v>
      </c>
      <c r="M55" s="29">
        <v>0.1</v>
      </c>
      <c r="N55" s="29"/>
      <c r="O55" s="29">
        <v>0.05</v>
      </c>
      <c r="P55" s="29"/>
      <c r="Q55" s="29">
        <v>0.13</v>
      </c>
      <c r="R55" s="29"/>
      <c r="S55" s="29">
        <f>ROUND(J55+M55+O55+Q55, 2)</f>
        <v>21.41</v>
      </c>
    </row>
    <row r="56" spans="1:19" s="65" customFormat="1" ht="10.15" customHeight="1" x14ac:dyDescent="0.2">
      <c r="A56" s="66">
        <f>A55+1</f>
        <v>47</v>
      </c>
      <c r="B56" s="66">
        <v>52</v>
      </c>
      <c r="C56" s="109" t="s">
        <v>310</v>
      </c>
      <c r="D56" s="66" t="s">
        <v>316</v>
      </c>
      <c r="E56" s="66">
        <v>240.01</v>
      </c>
      <c r="F56" s="66">
        <v>340</v>
      </c>
      <c r="G56" s="66" t="s">
        <v>186</v>
      </c>
      <c r="H56" s="29">
        <v>15.669999999999998</v>
      </c>
      <c r="I56" s="29"/>
      <c r="J56" s="29">
        <f>ROUND('Exh CTM-7 (Rate Design)'!R45,2)</f>
        <v>21.13</v>
      </c>
      <c r="K56" s="29">
        <f>J56-H56</f>
        <v>5.4600000000000009</v>
      </c>
      <c r="M56" s="29">
        <v>0.1</v>
      </c>
      <c r="N56" s="29"/>
      <c r="O56" s="29">
        <v>0.05</v>
      </c>
      <c r="P56" s="29"/>
      <c r="Q56" s="29">
        <v>0.13</v>
      </c>
      <c r="R56" s="29"/>
      <c r="S56" s="29">
        <f>ROUND(J56+M56+O56+Q56, 2)</f>
        <v>21.41</v>
      </c>
    </row>
    <row r="57" spans="1:19" s="65" customFormat="1" ht="10.15" customHeight="1" x14ac:dyDescent="0.2">
      <c r="A57" s="66">
        <f>A56+1</f>
        <v>48</v>
      </c>
      <c r="B57" s="66">
        <v>52</v>
      </c>
      <c r="C57" s="109" t="s">
        <v>310</v>
      </c>
      <c r="D57" s="66" t="s">
        <v>291</v>
      </c>
      <c r="E57" s="66">
        <v>340.01</v>
      </c>
      <c r="F57" s="66">
        <v>600</v>
      </c>
      <c r="G57" s="66" t="s">
        <v>186</v>
      </c>
      <c r="H57" s="29">
        <v>20.22</v>
      </c>
      <c r="I57" s="29"/>
      <c r="J57" s="29">
        <f>ROUND('Exh CTM-7 (Rate Design)'!R46,2)</f>
        <v>33.11</v>
      </c>
      <c r="K57" s="29">
        <f>J57-H57</f>
        <v>12.89</v>
      </c>
      <c r="M57" s="29">
        <v>0.15</v>
      </c>
      <c r="N57" s="29"/>
      <c r="O57" s="29">
        <v>7.0000000000000007E-2</v>
      </c>
      <c r="P57" s="29"/>
      <c r="Q57" s="29">
        <v>0.21</v>
      </c>
      <c r="R57" s="29"/>
      <c r="S57" s="29">
        <f>ROUND(J57+M57+O57+Q57, 2)</f>
        <v>33.54</v>
      </c>
    </row>
    <row r="58" spans="1:19" s="65" customFormat="1" ht="10.15" customHeight="1" x14ac:dyDescent="0.2">
      <c r="A58" s="66">
        <f>A57+1</f>
        <v>49</v>
      </c>
      <c r="B58" s="66"/>
      <c r="C58" s="109"/>
      <c r="D58" s="66"/>
      <c r="E58" s="66"/>
      <c r="F58" s="66"/>
      <c r="G58" s="66"/>
      <c r="H58" s="29"/>
      <c r="I58" s="29"/>
      <c r="J58" s="29"/>
      <c r="K58" s="29"/>
      <c r="M58" s="29"/>
      <c r="N58" s="29"/>
      <c r="O58" s="29"/>
      <c r="P58" s="29"/>
      <c r="Q58" s="29"/>
      <c r="R58" s="29"/>
      <c r="S58" s="29"/>
    </row>
    <row r="59" spans="1:19" s="65" customFormat="1" ht="10.15" customHeight="1" x14ac:dyDescent="0.2">
      <c r="A59" s="66">
        <f>A58+1</f>
        <v>50</v>
      </c>
      <c r="B59" s="66">
        <v>52</v>
      </c>
      <c r="C59" s="109" t="s">
        <v>317</v>
      </c>
      <c r="D59" s="66" t="s">
        <v>312</v>
      </c>
      <c r="E59" s="66">
        <v>60.01</v>
      </c>
      <c r="F59" s="66">
        <v>90</v>
      </c>
      <c r="G59" s="66" t="s">
        <v>186</v>
      </c>
      <c r="H59" s="29">
        <v>3.55</v>
      </c>
      <c r="I59" s="29"/>
      <c r="J59" s="29">
        <f>ROUND('Exh CTM-7 (Rate Design)'!R47,2)</f>
        <v>6.01</v>
      </c>
      <c r="K59" s="29">
        <f>J59-H59</f>
        <v>2.46</v>
      </c>
      <c r="M59" s="29">
        <v>0.03</v>
      </c>
      <c r="N59" s="29"/>
      <c r="O59" s="29">
        <v>0.01</v>
      </c>
      <c r="P59" s="29"/>
      <c r="Q59" s="29">
        <v>0.04</v>
      </c>
      <c r="R59" s="29"/>
      <c r="S59" s="29">
        <f>ROUND(J59+M59+O59+Q59, 2)</f>
        <v>6.09</v>
      </c>
    </row>
    <row r="60" spans="1:19" s="65" customFormat="1" ht="10.15" customHeight="1" x14ac:dyDescent="0.2">
      <c r="A60" s="66">
        <f>A59+1</f>
        <v>51</v>
      </c>
      <c r="B60" s="66">
        <v>52</v>
      </c>
      <c r="C60" s="109" t="s">
        <v>317</v>
      </c>
      <c r="D60" s="66" t="s">
        <v>289</v>
      </c>
      <c r="E60" s="66">
        <v>90.01</v>
      </c>
      <c r="F60" s="66">
        <v>150</v>
      </c>
      <c r="G60" s="66" t="s">
        <v>186</v>
      </c>
      <c r="H60" s="29">
        <v>5.0600000000000005</v>
      </c>
      <c r="I60" s="29"/>
      <c r="J60" s="29">
        <f>ROUND('Exh CTM-7 (Rate Design)'!R48,2)</f>
        <v>9.1</v>
      </c>
      <c r="K60" s="29">
        <f>J60-H60</f>
        <v>4.0399999999999991</v>
      </c>
      <c r="M60" s="29">
        <v>0.04</v>
      </c>
      <c r="N60" s="29"/>
      <c r="O60" s="29">
        <v>0.02</v>
      </c>
      <c r="P60" s="29"/>
      <c r="Q60" s="29">
        <v>0.06</v>
      </c>
      <c r="R60" s="29"/>
      <c r="S60" s="29">
        <f>ROUND(J60+M60+O60+Q60, 2)</f>
        <v>9.2200000000000006</v>
      </c>
    </row>
    <row r="61" spans="1:19" s="65" customFormat="1" ht="10.15" customHeight="1" x14ac:dyDescent="0.2">
      <c r="A61" s="66">
        <f>A60+1</f>
        <v>52</v>
      </c>
      <c r="B61" s="66">
        <v>52</v>
      </c>
      <c r="C61" s="109" t="s">
        <v>317</v>
      </c>
      <c r="D61" s="66" t="s">
        <v>313</v>
      </c>
      <c r="E61" s="66">
        <v>90.01</v>
      </c>
      <c r="F61" s="66">
        <v>150</v>
      </c>
      <c r="G61" s="66" t="s">
        <v>186</v>
      </c>
      <c r="H61" s="29">
        <v>7.57</v>
      </c>
      <c r="I61" s="29"/>
      <c r="J61" s="29">
        <f>ROUND('Exh CTM-7 (Rate Design)'!R49,2)</f>
        <v>9.1</v>
      </c>
      <c r="K61" s="29">
        <f>J61-H61</f>
        <v>1.5299999999999994</v>
      </c>
      <c r="M61" s="29">
        <v>0.04</v>
      </c>
      <c r="N61" s="29"/>
      <c r="O61" s="29">
        <v>0.02</v>
      </c>
      <c r="P61" s="29"/>
      <c r="Q61" s="29">
        <v>0.06</v>
      </c>
      <c r="R61" s="29"/>
      <c r="S61" s="29">
        <f>ROUND(J61+M61+O61+Q61, 2)</f>
        <v>9.2200000000000006</v>
      </c>
    </row>
    <row r="62" spans="1:19" s="65" customFormat="1" ht="10.15" customHeight="1" x14ac:dyDescent="0.2">
      <c r="A62" s="66">
        <f>A61+1</f>
        <v>53</v>
      </c>
      <c r="B62" s="66">
        <v>52</v>
      </c>
      <c r="C62" s="109" t="s">
        <v>317</v>
      </c>
      <c r="D62" s="66" t="s">
        <v>290</v>
      </c>
      <c r="E62" s="66">
        <v>150.01</v>
      </c>
      <c r="F62" s="66">
        <v>240</v>
      </c>
      <c r="G62" s="66" t="s">
        <v>186</v>
      </c>
      <c r="H62" s="29">
        <v>8.84</v>
      </c>
      <c r="I62" s="29"/>
      <c r="J62" s="29">
        <f>ROUND('Exh CTM-7 (Rate Design)'!R50,2)</f>
        <v>15.95</v>
      </c>
      <c r="K62" s="29">
        <f>J62-H62</f>
        <v>7.1099999999999994</v>
      </c>
      <c r="M62" s="29">
        <v>7.0000000000000007E-2</v>
      </c>
      <c r="N62" s="29"/>
      <c r="O62" s="29">
        <v>0.03</v>
      </c>
      <c r="P62" s="29"/>
      <c r="Q62" s="29">
        <v>0.1</v>
      </c>
      <c r="R62" s="29"/>
      <c r="S62" s="29">
        <f>ROUND(J62+M62+O62+Q62, 2)</f>
        <v>16.149999999999999</v>
      </c>
    </row>
    <row r="63" spans="1:19" s="65" customFormat="1" ht="10.15" customHeight="1" x14ac:dyDescent="0.2">
      <c r="A63" s="66">
        <f>A62+1</f>
        <v>54</v>
      </c>
      <c r="B63" s="66">
        <v>52</v>
      </c>
      <c r="C63" s="109" t="s">
        <v>317</v>
      </c>
      <c r="D63" s="66" t="s">
        <v>315</v>
      </c>
      <c r="E63" s="66">
        <v>240.01</v>
      </c>
      <c r="F63" s="66">
        <v>340</v>
      </c>
      <c r="G63" s="66" t="s">
        <v>186</v>
      </c>
      <c r="H63" s="29">
        <v>12.620000000000001</v>
      </c>
      <c r="I63" s="29"/>
      <c r="J63" s="29">
        <f>ROUND('Exh CTM-7 (Rate Design)'!R51,2)</f>
        <v>21.13</v>
      </c>
      <c r="K63" s="29">
        <f>J63-H63</f>
        <v>8.509999999999998</v>
      </c>
      <c r="M63" s="29">
        <v>0.1</v>
      </c>
      <c r="N63" s="29"/>
      <c r="O63" s="29">
        <v>0.05</v>
      </c>
      <c r="P63" s="29"/>
      <c r="Q63" s="29">
        <v>0.13</v>
      </c>
      <c r="R63" s="29"/>
      <c r="S63" s="29">
        <f>ROUND(J63+M63+O63+Q63, 2)</f>
        <v>21.41</v>
      </c>
    </row>
    <row r="64" spans="1:19" s="65" customFormat="1" ht="10.15" customHeight="1" x14ac:dyDescent="0.2">
      <c r="A64" s="66">
        <f>A63+1</f>
        <v>55</v>
      </c>
      <c r="B64" s="66">
        <v>52</v>
      </c>
      <c r="C64" s="109" t="s">
        <v>317</v>
      </c>
      <c r="D64" s="66" t="s">
        <v>291</v>
      </c>
      <c r="E64" s="66">
        <v>340.01</v>
      </c>
      <c r="F64" s="66">
        <v>600</v>
      </c>
      <c r="G64" s="66" t="s">
        <v>186</v>
      </c>
      <c r="H64" s="29">
        <v>20.22</v>
      </c>
      <c r="I64" s="29"/>
      <c r="J64" s="29">
        <f>ROUND('Exh CTM-7 (Rate Design)'!R52,2)</f>
        <v>33.11</v>
      </c>
      <c r="K64" s="29">
        <f>J64-H64</f>
        <v>12.89</v>
      </c>
      <c r="M64" s="29">
        <v>0.15</v>
      </c>
      <c r="N64" s="29"/>
      <c r="O64" s="29">
        <v>7.0000000000000007E-2</v>
      </c>
      <c r="P64" s="29"/>
      <c r="Q64" s="29">
        <v>0.21</v>
      </c>
      <c r="R64" s="29"/>
      <c r="S64" s="29">
        <f>ROUND(J64+M64+O64+Q64, 2)</f>
        <v>33.54</v>
      </c>
    </row>
    <row r="65" spans="1:19" s="65" customFormat="1" ht="10.15" customHeight="1" x14ac:dyDescent="0.2">
      <c r="A65" s="66">
        <f>A64+1</f>
        <v>56</v>
      </c>
      <c r="B65" s="66">
        <v>52</v>
      </c>
      <c r="C65" s="109" t="s">
        <v>317</v>
      </c>
      <c r="D65" s="66" t="s">
        <v>318</v>
      </c>
      <c r="E65" s="66">
        <v>600.01</v>
      </c>
      <c r="F65" s="66">
        <v>1000</v>
      </c>
      <c r="G65" s="66" t="s">
        <v>186</v>
      </c>
      <c r="H65" s="29">
        <v>50.54</v>
      </c>
      <c r="I65" s="29"/>
      <c r="J65" s="29">
        <f>ROUND('Exh CTM-7 (Rate Design)'!R53,2)</f>
        <v>82.79</v>
      </c>
      <c r="K65" s="29">
        <f>J65-H65</f>
        <v>32.250000000000007</v>
      </c>
      <c r="M65" s="29">
        <v>0.37</v>
      </c>
      <c r="N65" s="29"/>
      <c r="O65" s="29">
        <v>0.18</v>
      </c>
      <c r="P65" s="29"/>
      <c r="Q65" s="29">
        <v>0.52</v>
      </c>
      <c r="R65" s="29"/>
      <c r="S65" s="29">
        <f>ROUND(J65+M65+O65+Q65, 2)</f>
        <v>83.86</v>
      </c>
    </row>
    <row r="66" spans="1:19" s="65" customFormat="1" ht="10.15" customHeight="1" x14ac:dyDescent="0.2">
      <c r="A66" s="66">
        <f>A65+1</f>
        <v>57</v>
      </c>
      <c r="B66" s="111"/>
      <c r="C66" s="112"/>
      <c r="D66" s="113"/>
      <c r="E66" s="113"/>
      <c r="F66" s="113"/>
      <c r="G66" s="113"/>
      <c r="H66" s="29"/>
      <c r="I66" s="29"/>
      <c r="J66" s="29"/>
      <c r="K66" s="29"/>
      <c r="M66" s="29"/>
      <c r="N66" s="29"/>
      <c r="O66" s="29"/>
      <c r="P66" s="29"/>
      <c r="Q66" s="29"/>
      <c r="R66" s="29"/>
      <c r="S66" s="29"/>
    </row>
    <row r="67" spans="1:19" s="65" customFormat="1" ht="10.15" customHeight="1" x14ac:dyDescent="0.2">
      <c r="A67" s="66">
        <f>A66+1</f>
        <v>58</v>
      </c>
      <c r="B67" s="66">
        <v>53</v>
      </c>
      <c r="C67" s="109" t="s">
        <v>319</v>
      </c>
      <c r="D67" s="66" t="s">
        <v>311</v>
      </c>
      <c r="E67" s="66">
        <v>30.01</v>
      </c>
      <c r="F67" s="66">
        <v>60</v>
      </c>
      <c r="G67" s="66" t="s">
        <v>186</v>
      </c>
      <c r="H67" s="29">
        <v>13.35</v>
      </c>
      <c r="I67" s="29"/>
      <c r="J67" s="29">
        <f>ROUND('Exh CTM-7 (Rate Design)'!R55,2)</f>
        <v>10.14</v>
      </c>
      <c r="K67" s="29">
        <f>J67-H67</f>
        <v>-3.2099999999999991</v>
      </c>
      <c r="M67" s="29">
        <v>0.02</v>
      </c>
      <c r="N67" s="29"/>
      <c r="O67" s="29">
        <v>0.01</v>
      </c>
      <c r="P67" s="29"/>
      <c r="Q67" s="29">
        <v>0.02</v>
      </c>
      <c r="R67" s="29"/>
      <c r="S67" s="29">
        <f>ROUND(J67+M67+O67+Q67, 2)</f>
        <v>10.19</v>
      </c>
    </row>
    <row r="68" spans="1:19" s="65" customFormat="1" ht="10.15" customHeight="1" x14ac:dyDescent="0.2">
      <c r="A68" s="66">
        <f>A67+1</f>
        <v>59</v>
      </c>
      <c r="B68" s="66">
        <v>53</v>
      </c>
      <c r="C68" s="109" t="s">
        <v>319</v>
      </c>
      <c r="D68" s="66" t="s">
        <v>312</v>
      </c>
      <c r="E68" s="66">
        <v>60.01</v>
      </c>
      <c r="F68" s="66">
        <v>90</v>
      </c>
      <c r="G68" s="66" t="s">
        <v>186</v>
      </c>
      <c r="H68" s="29">
        <v>15.010000000000002</v>
      </c>
      <c r="I68" s="29"/>
      <c r="J68" s="29">
        <f>ROUND('Exh CTM-7 (Rate Design)'!R56,2)</f>
        <v>13.16</v>
      </c>
      <c r="K68" s="29">
        <f>J68-H68</f>
        <v>-1.8500000000000014</v>
      </c>
      <c r="M68" s="29">
        <v>0.03</v>
      </c>
      <c r="N68" s="29"/>
      <c r="O68" s="29">
        <v>0.01</v>
      </c>
      <c r="P68" s="29"/>
      <c r="Q68" s="29">
        <v>0.04</v>
      </c>
      <c r="R68" s="29"/>
      <c r="S68" s="29">
        <f>ROUND(J68+M68+O68+Q68, 2)</f>
        <v>13.24</v>
      </c>
    </row>
    <row r="69" spans="1:19" s="65" customFormat="1" ht="10.15" customHeight="1" x14ac:dyDescent="0.2">
      <c r="A69" s="66">
        <f>A68+1</f>
        <v>60</v>
      </c>
      <c r="B69" s="66">
        <v>53</v>
      </c>
      <c r="C69" s="109" t="s">
        <v>319</v>
      </c>
      <c r="D69" s="66" t="s">
        <v>289</v>
      </c>
      <c r="E69" s="66">
        <v>90.01</v>
      </c>
      <c r="F69" s="66">
        <v>150</v>
      </c>
      <c r="G69" s="66" t="s">
        <v>186</v>
      </c>
      <c r="H69" s="29">
        <v>15.989999999999998</v>
      </c>
      <c r="I69" s="29"/>
      <c r="J69" s="29">
        <f>ROUND('Exh CTM-7 (Rate Design)'!R57,2)</f>
        <v>15.77</v>
      </c>
      <c r="K69" s="29">
        <f>J69-H69</f>
        <v>-0.21999999999999886</v>
      </c>
      <c r="M69" s="29">
        <v>0.04</v>
      </c>
      <c r="N69" s="29"/>
      <c r="O69" s="29">
        <v>0.02</v>
      </c>
      <c r="P69" s="29"/>
      <c r="Q69" s="29">
        <v>0.06</v>
      </c>
      <c r="R69" s="29"/>
      <c r="S69" s="29">
        <f>ROUND(J69+M69+O69+Q69, 2)</f>
        <v>15.89</v>
      </c>
    </row>
    <row r="70" spans="1:19" s="65" customFormat="1" ht="10.15" customHeight="1" x14ac:dyDescent="0.2">
      <c r="A70" s="66">
        <f>A69+1</f>
        <v>61</v>
      </c>
      <c r="B70" s="66">
        <v>53</v>
      </c>
      <c r="C70" s="109" t="s">
        <v>319</v>
      </c>
      <c r="D70" s="66" t="s">
        <v>313</v>
      </c>
      <c r="E70" s="66">
        <v>90.01</v>
      </c>
      <c r="F70" s="66">
        <v>150</v>
      </c>
      <c r="G70" s="66" t="s">
        <v>186</v>
      </c>
      <c r="H70" s="29">
        <v>18.509999999999998</v>
      </c>
      <c r="I70" s="29"/>
      <c r="J70" s="29">
        <f>ROUND('Exh CTM-7 (Rate Design)'!R58,2)</f>
        <v>15.77</v>
      </c>
      <c r="K70" s="29">
        <f>J70-H70</f>
        <v>-2.7399999999999984</v>
      </c>
      <c r="M70" s="29">
        <v>0.04</v>
      </c>
      <c r="N70" s="29"/>
      <c r="O70" s="29">
        <v>0.02</v>
      </c>
      <c r="P70" s="29"/>
      <c r="Q70" s="29">
        <v>0.06</v>
      </c>
      <c r="R70" s="29"/>
      <c r="S70" s="29">
        <f>ROUND(J70+M70+O70+Q70, 2)</f>
        <v>15.89</v>
      </c>
    </row>
    <row r="71" spans="1:19" s="65" customFormat="1" ht="10.15" customHeight="1" x14ac:dyDescent="0.2">
      <c r="A71" s="66">
        <f>A70+1</f>
        <v>62</v>
      </c>
      <c r="B71" s="66">
        <v>53</v>
      </c>
      <c r="C71" s="109" t="s">
        <v>319</v>
      </c>
      <c r="D71" s="66" t="s">
        <v>314</v>
      </c>
      <c r="E71" s="66">
        <v>150.01</v>
      </c>
      <c r="F71" s="66">
        <v>240</v>
      </c>
      <c r="G71" s="66" t="s">
        <v>186</v>
      </c>
      <c r="H71" s="29">
        <v>21.549999999999997</v>
      </c>
      <c r="I71" s="29"/>
      <c r="J71" s="29">
        <f>ROUND('Exh CTM-7 (Rate Design)'!R59,2)</f>
        <v>23.16</v>
      </c>
      <c r="K71" s="29">
        <f>J71-H71</f>
        <v>1.610000000000003</v>
      </c>
      <c r="M71" s="29">
        <v>7.0000000000000007E-2</v>
      </c>
      <c r="N71" s="29"/>
      <c r="O71" s="29">
        <v>0.03</v>
      </c>
      <c r="P71" s="29"/>
      <c r="Q71" s="29">
        <v>0.1</v>
      </c>
      <c r="R71" s="29"/>
      <c r="S71" s="29">
        <f>ROUND(J71+M71+O71+Q71, 2)</f>
        <v>23.36</v>
      </c>
    </row>
    <row r="72" spans="1:19" s="65" customFormat="1" ht="10.15" customHeight="1" x14ac:dyDescent="0.2">
      <c r="A72" s="66">
        <f>A71+1</f>
        <v>63</v>
      </c>
      <c r="B72" s="66">
        <v>53</v>
      </c>
      <c r="C72" s="109" t="s">
        <v>319</v>
      </c>
      <c r="D72" s="66" t="s">
        <v>315</v>
      </c>
      <c r="E72" s="66">
        <v>240.01</v>
      </c>
      <c r="F72" s="66">
        <v>340</v>
      </c>
      <c r="G72" s="66" t="s">
        <v>186</v>
      </c>
      <c r="H72" s="29">
        <v>24.23</v>
      </c>
      <c r="I72" s="29"/>
      <c r="J72" s="29">
        <f>ROUND('Exh CTM-7 (Rate Design)'!R60,2)</f>
        <v>28.46</v>
      </c>
      <c r="K72" s="29">
        <f>J72-H72</f>
        <v>4.2300000000000004</v>
      </c>
      <c r="M72" s="29">
        <v>0.1</v>
      </c>
      <c r="N72" s="29"/>
      <c r="O72" s="29">
        <v>0.05</v>
      </c>
      <c r="P72" s="29"/>
      <c r="Q72" s="29">
        <v>0.13</v>
      </c>
      <c r="R72" s="29"/>
      <c r="S72" s="29">
        <f>ROUND(J72+M72+O72+Q72, 2)</f>
        <v>28.74</v>
      </c>
    </row>
    <row r="73" spans="1:19" s="65" customFormat="1" ht="10.15" customHeight="1" x14ac:dyDescent="0.2">
      <c r="A73" s="66">
        <f>A72+1</f>
        <v>64</v>
      </c>
      <c r="B73" s="66">
        <v>53</v>
      </c>
      <c r="C73" s="109" t="s">
        <v>319</v>
      </c>
      <c r="D73" s="66" t="s">
        <v>316</v>
      </c>
      <c r="E73" s="66">
        <v>240.01</v>
      </c>
      <c r="F73" s="66">
        <v>340</v>
      </c>
      <c r="G73" s="66" t="s">
        <v>186</v>
      </c>
      <c r="H73" s="29">
        <v>27.650000000000002</v>
      </c>
      <c r="I73" s="29"/>
      <c r="J73" s="29">
        <f>ROUND('Exh CTM-7 (Rate Design)'!R61,2)</f>
        <v>28.46</v>
      </c>
      <c r="K73" s="29">
        <f>J73-H73</f>
        <v>0.80999999999999872</v>
      </c>
      <c r="M73" s="29">
        <v>0.1</v>
      </c>
      <c r="N73" s="29"/>
      <c r="O73" s="29">
        <v>0.05</v>
      </c>
      <c r="P73" s="29"/>
      <c r="Q73" s="29">
        <v>0.13</v>
      </c>
      <c r="R73" s="29"/>
      <c r="S73" s="29">
        <f>ROUND(J73+M73+O73+Q73, 2)</f>
        <v>28.74</v>
      </c>
    </row>
    <row r="74" spans="1:19" s="65" customFormat="1" ht="10.15" customHeight="1" x14ac:dyDescent="0.2">
      <c r="A74" s="66">
        <f>A73+1</f>
        <v>65</v>
      </c>
      <c r="B74" s="66">
        <v>53</v>
      </c>
      <c r="C74" s="109" t="s">
        <v>319</v>
      </c>
      <c r="D74" s="66" t="s">
        <v>291</v>
      </c>
      <c r="E74" s="66">
        <v>340.01</v>
      </c>
      <c r="F74" s="66">
        <v>600</v>
      </c>
      <c r="G74" s="66" t="s">
        <v>186</v>
      </c>
      <c r="H74" s="29">
        <v>32.909999999999997</v>
      </c>
      <c r="I74" s="29"/>
      <c r="J74" s="29">
        <f>ROUND('Exh CTM-7 (Rate Design)'!R62,2)</f>
        <v>39.47</v>
      </c>
      <c r="K74" s="29">
        <f>J74-H74</f>
        <v>6.5600000000000023</v>
      </c>
      <c r="M74" s="29">
        <v>0.15</v>
      </c>
      <c r="N74" s="29"/>
      <c r="O74" s="29">
        <v>7.0000000000000007E-2</v>
      </c>
      <c r="P74" s="29"/>
      <c r="Q74" s="29">
        <v>0.21</v>
      </c>
      <c r="R74" s="29"/>
      <c r="S74" s="29">
        <f>ROUND(J74+M74+O74+Q74, 2)</f>
        <v>39.9</v>
      </c>
    </row>
    <row r="75" spans="1:19" s="65" customFormat="1" ht="10.15" customHeight="1" x14ac:dyDescent="0.2">
      <c r="A75" s="66">
        <f>A74+1</f>
        <v>66</v>
      </c>
      <c r="B75" s="66">
        <v>53</v>
      </c>
      <c r="C75" s="109" t="s">
        <v>319</v>
      </c>
      <c r="D75" s="66" t="s">
        <v>318</v>
      </c>
      <c r="E75" s="66">
        <v>600.01</v>
      </c>
      <c r="F75" s="66">
        <v>1000</v>
      </c>
      <c r="G75" s="66" t="s">
        <v>186</v>
      </c>
      <c r="H75" s="29">
        <v>65.739999999999995</v>
      </c>
      <c r="I75" s="29"/>
      <c r="J75" s="29">
        <f>ROUND('Exh CTM-7 (Rate Design)'!R63,2)</f>
        <v>90.95</v>
      </c>
      <c r="K75" s="29">
        <f>J75-H75</f>
        <v>25.210000000000008</v>
      </c>
      <c r="M75" s="29">
        <v>0.37</v>
      </c>
      <c r="N75" s="29"/>
      <c r="O75" s="29">
        <v>0.18</v>
      </c>
      <c r="P75" s="29"/>
      <c r="Q75" s="29">
        <v>0.52</v>
      </c>
      <c r="R75" s="29"/>
      <c r="S75" s="29">
        <f>ROUND(J75+M75+O75+Q75, 2)</f>
        <v>92.02</v>
      </c>
    </row>
    <row r="76" spans="1:19" s="65" customFormat="1" ht="10.15" customHeight="1" x14ac:dyDescent="0.2">
      <c r="A76" s="66">
        <f>A75+1</f>
        <v>67</v>
      </c>
      <c r="B76" s="66"/>
      <c r="C76" s="109"/>
      <c r="D76" s="66"/>
      <c r="E76" s="66"/>
      <c r="F76" s="66"/>
      <c r="G76" s="66"/>
      <c r="H76" s="29"/>
      <c r="I76" s="29"/>
      <c r="J76" s="29"/>
      <c r="K76" s="29"/>
      <c r="M76" s="29"/>
      <c r="N76" s="29"/>
      <c r="O76" s="29"/>
      <c r="P76" s="29"/>
      <c r="Q76" s="29"/>
      <c r="R76" s="29"/>
      <c r="S76" s="29"/>
    </row>
    <row r="77" spans="1:19" s="65" customFormat="1" ht="10.15" customHeight="1" x14ac:dyDescent="0.2">
      <c r="A77" s="66">
        <f>A76+1</f>
        <v>68</v>
      </c>
      <c r="B77" s="66">
        <v>53</v>
      </c>
      <c r="C77" s="109" t="s">
        <v>320</v>
      </c>
      <c r="D77" s="66" t="s">
        <v>312</v>
      </c>
      <c r="E77" s="66">
        <v>60.01</v>
      </c>
      <c r="F77" s="66">
        <v>90</v>
      </c>
      <c r="G77" s="66" t="s">
        <v>186</v>
      </c>
      <c r="H77" s="29">
        <v>16.21</v>
      </c>
      <c r="I77" s="29"/>
      <c r="J77" s="29">
        <f>ROUND('Exh CTM-7 (Rate Design)'!R64,2)</f>
        <v>13.16</v>
      </c>
      <c r="K77" s="29">
        <f>J77-H77</f>
        <v>-3.0500000000000007</v>
      </c>
      <c r="M77" s="29">
        <v>0.03</v>
      </c>
      <c r="N77" s="29"/>
      <c r="O77" s="29">
        <v>0.01</v>
      </c>
      <c r="P77" s="29"/>
      <c r="Q77" s="29">
        <v>0.04</v>
      </c>
      <c r="R77" s="29"/>
      <c r="S77" s="29">
        <f>ROUND(J77+M77+O77+Q77, 2)</f>
        <v>13.24</v>
      </c>
    </row>
    <row r="78" spans="1:19" s="65" customFormat="1" ht="10.15" customHeight="1" x14ac:dyDescent="0.2">
      <c r="A78" s="66">
        <f>A77+1</f>
        <v>69</v>
      </c>
      <c r="B78" s="66">
        <v>53</v>
      </c>
      <c r="C78" s="109" t="s">
        <v>320</v>
      </c>
      <c r="D78" s="66" t="s">
        <v>289</v>
      </c>
      <c r="E78" s="66">
        <v>90.01</v>
      </c>
      <c r="F78" s="66">
        <v>150</v>
      </c>
      <c r="G78" s="66" t="s">
        <v>186</v>
      </c>
      <c r="H78" s="29">
        <v>17.86</v>
      </c>
      <c r="I78" s="29"/>
      <c r="J78" s="29">
        <f>ROUND('Exh CTM-7 (Rate Design)'!R65,2)</f>
        <v>15.77</v>
      </c>
      <c r="K78" s="29">
        <f>J78-H78</f>
        <v>-2.09</v>
      </c>
      <c r="M78" s="29">
        <v>0.04</v>
      </c>
      <c r="N78" s="29"/>
      <c r="O78" s="29">
        <v>0.02</v>
      </c>
      <c r="P78" s="29"/>
      <c r="Q78" s="29">
        <v>0.06</v>
      </c>
      <c r="R78" s="29"/>
      <c r="S78" s="29">
        <f>ROUND(J78+M78+O78+Q78, 2)</f>
        <v>15.89</v>
      </c>
    </row>
    <row r="79" spans="1:19" s="65" customFormat="1" ht="10.15" customHeight="1" x14ac:dyDescent="0.2">
      <c r="A79" s="66">
        <f>A78+1</f>
        <v>70</v>
      </c>
      <c r="B79" s="66">
        <v>53</v>
      </c>
      <c r="C79" s="109" t="s">
        <v>320</v>
      </c>
      <c r="D79" s="66" t="s">
        <v>313</v>
      </c>
      <c r="E79" s="66">
        <v>90.01</v>
      </c>
      <c r="F79" s="66">
        <v>150</v>
      </c>
      <c r="G79" s="66" t="s">
        <v>186</v>
      </c>
      <c r="H79" s="29">
        <v>20.6</v>
      </c>
      <c r="I79" s="29"/>
      <c r="J79" s="29">
        <f>ROUND('Exh CTM-7 (Rate Design)'!R66,2)</f>
        <v>15.77</v>
      </c>
      <c r="K79" s="29">
        <f>J79-H79</f>
        <v>-4.8300000000000018</v>
      </c>
      <c r="M79" s="29">
        <v>0.04</v>
      </c>
      <c r="N79" s="29"/>
      <c r="O79" s="29">
        <v>0.02</v>
      </c>
      <c r="P79" s="29"/>
      <c r="Q79" s="29">
        <v>0.06</v>
      </c>
      <c r="R79" s="29"/>
      <c r="S79" s="29">
        <f>ROUND(J79+M79+O79+Q79, 2)</f>
        <v>15.89</v>
      </c>
    </row>
    <row r="80" spans="1:19" s="65" customFormat="1" ht="10.15" customHeight="1" x14ac:dyDescent="0.2">
      <c r="A80" s="66">
        <f>A79+1</f>
        <v>71</v>
      </c>
      <c r="B80" s="66">
        <v>53</v>
      </c>
      <c r="C80" s="109" t="s">
        <v>320</v>
      </c>
      <c r="D80" s="66" t="s">
        <v>315</v>
      </c>
      <c r="E80" s="66">
        <v>240.01</v>
      </c>
      <c r="F80" s="66">
        <v>340</v>
      </c>
      <c r="G80" s="66" t="s">
        <v>186</v>
      </c>
      <c r="H80" s="29">
        <v>26.409999999999997</v>
      </c>
      <c r="I80" s="29"/>
      <c r="J80" s="29">
        <f>ROUND('Exh CTM-7 (Rate Design)'!R67,2)</f>
        <v>28.46</v>
      </c>
      <c r="K80" s="29">
        <f>J80-H80</f>
        <v>2.0500000000000043</v>
      </c>
      <c r="M80" s="29">
        <v>0.1</v>
      </c>
      <c r="N80" s="29"/>
      <c r="O80" s="29">
        <v>0.05</v>
      </c>
      <c r="P80" s="29"/>
      <c r="Q80" s="29">
        <v>0.13</v>
      </c>
      <c r="R80" s="29"/>
      <c r="S80" s="29">
        <f>ROUND(J80+M80+O80+Q80, 2)</f>
        <v>28.74</v>
      </c>
    </row>
    <row r="81" spans="1:19" s="65" customFormat="1" ht="10.15" customHeight="1" x14ac:dyDescent="0.2">
      <c r="A81" s="66">
        <f>A80+1</f>
        <v>72</v>
      </c>
      <c r="B81" s="66">
        <v>53</v>
      </c>
      <c r="C81" s="109" t="s">
        <v>320</v>
      </c>
      <c r="D81" s="66" t="s">
        <v>291</v>
      </c>
      <c r="E81" s="66">
        <v>340.01</v>
      </c>
      <c r="F81" s="66">
        <v>600</v>
      </c>
      <c r="G81" s="66" t="s">
        <v>186</v>
      </c>
      <c r="H81" s="29">
        <v>34.050000000000004</v>
      </c>
      <c r="I81" s="29"/>
      <c r="J81" s="29">
        <f>ROUND('Exh CTM-7 (Rate Design)'!R68,2)</f>
        <v>39.47</v>
      </c>
      <c r="K81" s="29">
        <f>J81-H81</f>
        <v>5.4199999999999946</v>
      </c>
      <c r="M81" s="29">
        <v>0.15</v>
      </c>
      <c r="N81" s="29"/>
      <c r="O81" s="29">
        <v>7.0000000000000007E-2</v>
      </c>
      <c r="P81" s="29"/>
      <c r="Q81" s="29">
        <v>0.21</v>
      </c>
      <c r="R81" s="29"/>
      <c r="S81" s="29">
        <f>ROUND(J81+M81+O81+Q81, 2)</f>
        <v>39.9</v>
      </c>
    </row>
    <row r="82" spans="1:19" s="65" customFormat="1" ht="10.15" customHeight="1" x14ac:dyDescent="0.2">
      <c r="A82" s="66">
        <f>A81+1</f>
        <v>73</v>
      </c>
      <c r="B82" s="66"/>
      <c r="C82" s="109"/>
      <c r="D82" s="66"/>
      <c r="E82" s="66"/>
      <c r="F82" s="66"/>
      <c r="G82" s="66"/>
      <c r="H82" s="29"/>
      <c r="I82" s="29"/>
      <c r="J82" s="29"/>
      <c r="K82" s="29"/>
      <c r="M82" s="29"/>
      <c r="N82" s="29"/>
      <c r="O82" s="29"/>
      <c r="P82" s="29"/>
      <c r="Q82" s="29"/>
      <c r="R82" s="29"/>
      <c r="S82" s="29"/>
    </row>
    <row r="83" spans="1:19" s="65" customFormat="1" ht="10.15" customHeight="1" x14ac:dyDescent="0.2">
      <c r="A83" s="66">
        <f>A82+1</f>
        <v>74</v>
      </c>
      <c r="B83" s="66">
        <v>53</v>
      </c>
      <c r="C83" s="109" t="s">
        <v>321</v>
      </c>
      <c r="D83" s="66" t="s">
        <v>298</v>
      </c>
      <c r="E83" s="66">
        <v>0</v>
      </c>
      <c r="F83" s="66">
        <v>30</v>
      </c>
      <c r="G83" s="66" t="s">
        <v>186</v>
      </c>
      <c r="H83" s="29">
        <v>10.069999999999999</v>
      </c>
      <c r="I83" s="29"/>
      <c r="J83" s="29">
        <f>ROUND('Exh CTM-7 (Rate Design)'!R69,2)</f>
        <v>8.23</v>
      </c>
      <c r="K83" s="29">
        <f>J83-H83</f>
        <v>-1.8399999999999981</v>
      </c>
      <c r="M83" s="29">
        <v>0.01</v>
      </c>
      <c r="N83" s="29"/>
      <c r="O83" s="29">
        <v>0</v>
      </c>
      <c r="P83" s="29"/>
      <c r="Q83" s="29">
        <v>0.01</v>
      </c>
      <c r="R83" s="29"/>
      <c r="S83" s="29">
        <f>ROUND(J83+M83+O83+Q83, 2)</f>
        <v>8.25</v>
      </c>
    </row>
    <row r="84" spans="1:19" s="65" customFormat="1" ht="10.15" customHeight="1" x14ac:dyDescent="0.2">
      <c r="A84" s="66">
        <f>A83+1</f>
        <v>75</v>
      </c>
      <c r="B84" s="66">
        <v>53</v>
      </c>
      <c r="C84" s="109" t="s">
        <v>321</v>
      </c>
      <c r="D84" s="66" t="s">
        <v>299</v>
      </c>
      <c r="E84" s="66">
        <v>30.01</v>
      </c>
      <c r="F84" s="66">
        <v>60</v>
      </c>
      <c r="G84" s="66" t="s">
        <v>186</v>
      </c>
      <c r="H84" s="29">
        <v>11.540000000000001</v>
      </c>
      <c r="I84" s="29"/>
      <c r="J84" s="29">
        <f>ROUND('Exh CTM-7 (Rate Design)'!R70,2)</f>
        <v>10.14</v>
      </c>
      <c r="K84" s="29">
        <f>J84-H84</f>
        <v>-1.4000000000000004</v>
      </c>
      <c r="M84" s="29">
        <v>0.02</v>
      </c>
      <c r="N84" s="29"/>
      <c r="O84" s="29">
        <v>0.01</v>
      </c>
      <c r="P84" s="29"/>
      <c r="Q84" s="29">
        <v>0.02</v>
      </c>
      <c r="R84" s="29"/>
      <c r="S84" s="29">
        <f>ROUND(J84+M84+O84+Q84, 2)</f>
        <v>10.19</v>
      </c>
    </row>
    <row r="85" spans="1:19" s="65" customFormat="1" ht="10.15" customHeight="1" x14ac:dyDescent="0.2">
      <c r="A85" s="66">
        <f>A84+1</f>
        <v>76</v>
      </c>
      <c r="B85" s="66">
        <v>53</v>
      </c>
      <c r="C85" s="109" t="s">
        <v>321</v>
      </c>
      <c r="D85" s="66" t="s">
        <v>300</v>
      </c>
      <c r="E85" s="66">
        <v>60.01</v>
      </c>
      <c r="F85" s="66">
        <v>90</v>
      </c>
      <c r="G85" s="66" t="s">
        <v>186</v>
      </c>
      <c r="H85" s="29">
        <v>12.86</v>
      </c>
      <c r="I85" s="29"/>
      <c r="J85" s="29">
        <f>ROUND('Exh CTM-7 (Rate Design)'!R71,2)</f>
        <v>13.16</v>
      </c>
      <c r="K85" s="29">
        <f>J85-H85</f>
        <v>0.30000000000000071</v>
      </c>
      <c r="M85" s="29">
        <v>0.03</v>
      </c>
      <c r="N85" s="29"/>
      <c r="O85" s="29">
        <v>0.01</v>
      </c>
      <c r="P85" s="29"/>
      <c r="Q85" s="29">
        <v>0.04</v>
      </c>
      <c r="R85" s="29"/>
      <c r="S85" s="29">
        <f>ROUND(J85+M85+O85+Q85, 2)</f>
        <v>13.24</v>
      </c>
    </row>
    <row r="86" spans="1:19" s="65" customFormat="1" ht="10.15" customHeight="1" x14ac:dyDescent="0.2">
      <c r="A86" s="66">
        <f>A85+1</f>
        <v>77</v>
      </c>
      <c r="B86" s="66">
        <v>53</v>
      </c>
      <c r="C86" s="109" t="s">
        <v>321</v>
      </c>
      <c r="D86" s="66" t="s">
        <v>301</v>
      </c>
      <c r="E86" s="66">
        <v>90.01</v>
      </c>
      <c r="F86" s="66">
        <v>150</v>
      </c>
      <c r="G86" s="66" t="s">
        <v>186</v>
      </c>
      <c r="H86" s="29">
        <v>14.98</v>
      </c>
      <c r="I86" s="29"/>
      <c r="J86" s="29">
        <f>ROUND('Exh CTM-7 (Rate Design)'!R72,2)</f>
        <v>15.77</v>
      </c>
      <c r="K86" s="29">
        <f>J86-H86</f>
        <v>0.78999999999999915</v>
      </c>
      <c r="M86" s="29">
        <v>0.04</v>
      </c>
      <c r="N86" s="29"/>
      <c r="O86" s="29">
        <v>0.02</v>
      </c>
      <c r="P86" s="29"/>
      <c r="Q86" s="29">
        <v>0.06</v>
      </c>
      <c r="R86" s="29"/>
      <c r="S86" s="29">
        <f>ROUND(J86+M86+O86+Q86, 2)</f>
        <v>15.89</v>
      </c>
    </row>
    <row r="87" spans="1:19" s="65" customFormat="1" ht="10.15" customHeight="1" x14ac:dyDescent="0.2">
      <c r="A87" s="66">
        <f>A86+1</f>
        <v>78</v>
      </c>
      <c r="B87" s="66">
        <v>53</v>
      </c>
      <c r="C87" s="109" t="s">
        <v>321</v>
      </c>
      <c r="D87" s="66" t="s">
        <v>302</v>
      </c>
      <c r="E87" s="66">
        <v>90.01</v>
      </c>
      <c r="F87" s="66">
        <v>150</v>
      </c>
      <c r="G87" s="66" t="s">
        <v>186</v>
      </c>
      <c r="H87" s="29">
        <v>16.79</v>
      </c>
      <c r="I87" s="29"/>
      <c r="J87" s="29">
        <f>ROUND('Exh CTM-7 (Rate Design)'!R73,2)</f>
        <v>15.77</v>
      </c>
      <c r="K87" s="29">
        <f>J87-H87</f>
        <v>-1.0199999999999996</v>
      </c>
      <c r="M87" s="29">
        <v>0.04</v>
      </c>
      <c r="N87" s="29"/>
      <c r="O87" s="29">
        <v>0.02</v>
      </c>
      <c r="P87" s="29"/>
      <c r="Q87" s="29">
        <v>0.06</v>
      </c>
      <c r="R87" s="29"/>
      <c r="S87" s="29">
        <f>ROUND(J87+M87+O87+Q87, 2)</f>
        <v>15.89</v>
      </c>
    </row>
    <row r="88" spans="1:19" s="65" customFormat="1" ht="10.15" customHeight="1" x14ac:dyDescent="0.2">
      <c r="A88" s="66">
        <f>A87+1</f>
        <v>79</v>
      </c>
      <c r="B88" s="66">
        <v>53</v>
      </c>
      <c r="C88" s="109" t="s">
        <v>321</v>
      </c>
      <c r="D88" s="66" t="s">
        <v>303</v>
      </c>
      <c r="E88" s="66">
        <v>150.01</v>
      </c>
      <c r="F88" s="66">
        <v>240</v>
      </c>
      <c r="G88" s="66" t="s">
        <v>186</v>
      </c>
      <c r="H88" s="29">
        <v>17.989999999999998</v>
      </c>
      <c r="I88" s="29"/>
      <c r="J88" s="29">
        <f>ROUND('Exh CTM-7 (Rate Design)'!R74,2)</f>
        <v>23.16</v>
      </c>
      <c r="K88" s="29">
        <f>J88-H88</f>
        <v>5.1700000000000017</v>
      </c>
      <c r="M88" s="29">
        <v>7.0000000000000007E-2</v>
      </c>
      <c r="N88" s="29"/>
      <c r="O88" s="29">
        <v>0.03</v>
      </c>
      <c r="P88" s="29"/>
      <c r="Q88" s="29">
        <v>0.1</v>
      </c>
      <c r="R88" s="29"/>
      <c r="S88" s="29">
        <f>ROUND(J88+M88+O88+Q88, 2)</f>
        <v>23.36</v>
      </c>
    </row>
    <row r="89" spans="1:19" s="65" customFormat="1" ht="10.15" customHeight="1" x14ac:dyDescent="0.2">
      <c r="A89" s="66">
        <f>A88+1</f>
        <v>80</v>
      </c>
      <c r="B89" s="66">
        <v>53</v>
      </c>
      <c r="C89" s="109" t="s">
        <v>321</v>
      </c>
      <c r="D89" s="66" t="s">
        <v>304</v>
      </c>
      <c r="E89" s="66">
        <v>150.01</v>
      </c>
      <c r="F89" s="66">
        <v>240</v>
      </c>
      <c r="G89" s="66" t="s">
        <v>186</v>
      </c>
      <c r="H89" s="29">
        <v>19.510000000000002</v>
      </c>
      <c r="I89" s="29"/>
      <c r="J89" s="29">
        <f>ROUND('Exh CTM-7 (Rate Design)'!R75,2)</f>
        <v>23.16</v>
      </c>
      <c r="K89" s="29">
        <f>J89-H89</f>
        <v>3.6499999999999986</v>
      </c>
      <c r="M89" s="29">
        <v>7.0000000000000007E-2</v>
      </c>
      <c r="N89" s="29"/>
      <c r="O89" s="29">
        <v>0.03</v>
      </c>
      <c r="P89" s="29"/>
      <c r="Q89" s="29">
        <v>0.1</v>
      </c>
      <c r="R89" s="29"/>
      <c r="S89" s="29">
        <f>ROUND(J89+M89+O89+Q89, 2)</f>
        <v>23.36</v>
      </c>
    </row>
    <row r="90" spans="1:19" s="65" customFormat="1" ht="10.15" customHeight="1" x14ac:dyDescent="0.2">
      <c r="A90" s="66">
        <f>A89+1</f>
        <v>81</v>
      </c>
      <c r="B90" s="66">
        <v>53</v>
      </c>
      <c r="C90" s="109" t="s">
        <v>321</v>
      </c>
      <c r="D90" s="66" t="s">
        <v>305</v>
      </c>
      <c r="E90" s="66">
        <v>150.01</v>
      </c>
      <c r="F90" s="66">
        <v>240</v>
      </c>
      <c r="G90" s="66" t="s">
        <v>186</v>
      </c>
      <c r="H90" s="29">
        <v>21.08</v>
      </c>
      <c r="I90" s="29"/>
      <c r="J90" s="29">
        <f>ROUND('Exh CTM-7 (Rate Design)'!R76,2)</f>
        <v>23.16</v>
      </c>
      <c r="K90" s="29">
        <f>J90-H90</f>
        <v>2.0800000000000018</v>
      </c>
      <c r="M90" s="29">
        <v>7.0000000000000007E-2</v>
      </c>
      <c r="N90" s="29"/>
      <c r="O90" s="29">
        <v>0.03</v>
      </c>
      <c r="P90" s="29"/>
      <c r="Q90" s="29">
        <v>0.1</v>
      </c>
      <c r="R90" s="29"/>
      <c r="S90" s="29">
        <f>ROUND(J90+M90+O90+Q90, 2)</f>
        <v>23.36</v>
      </c>
    </row>
    <row r="91" spans="1:19" s="65" customFormat="1" ht="10.15" customHeight="1" x14ac:dyDescent="0.2">
      <c r="A91" s="66">
        <f>A90+1</f>
        <v>82</v>
      </c>
      <c r="B91" s="66">
        <v>53</v>
      </c>
      <c r="C91" s="109" t="s">
        <v>321</v>
      </c>
      <c r="D91" s="66" t="s">
        <v>306</v>
      </c>
      <c r="E91" s="66">
        <v>240.01</v>
      </c>
      <c r="F91" s="66">
        <v>340</v>
      </c>
      <c r="G91" s="66" t="s">
        <v>186</v>
      </c>
      <c r="H91" s="29">
        <v>22.599999999999998</v>
      </c>
      <c r="I91" s="29"/>
      <c r="J91" s="29">
        <f>ROUND('Exh CTM-7 (Rate Design)'!R77,2)</f>
        <v>28.46</v>
      </c>
      <c r="K91" s="29">
        <f>J91-H91</f>
        <v>5.860000000000003</v>
      </c>
      <c r="M91" s="29">
        <v>0.1</v>
      </c>
      <c r="N91" s="29"/>
      <c r="O91" s="29">
        <v>0.05</v>
      </c>
      <c r="P91" s="29"/>
      <c r="Q91" s="29">
        <v>0.13</v>
      </c>
      <c r="R91" s="29"/>
      <c r="S91" s="29">
        <f>ROUND(J91+M91+O91+Q91, 2)</f>
        <v>28.74</v>
      </c>
    </row>
    <row r="92" spans="1:19" s="65" customFormat="1" ht="10.15" customHeight="1" x14ac:dyDescent="0.2">
      <c r="A92" s="66">
        <f>A91+1</f>
        <v>83</v>
      </c>
      <c r="B92" s="66">
        <v>53</v>
      </c>
      <c r="C92" s="109" t="s">
        <v>321</v>
      </c>
      <c r="D92" s="66" t="s">
        <v>307</v>
      </c>
      <c r="E92" s="66">
        <v>240.01</v>
      </c>
      <c r="F92" s="66">
        <v>340</v>
      </c>
      <c r="G92" s="66" t="s">
        <v>186</v>
      </c>
      <c r="H92" s="29">
        <v>24.11</v>
      </c>
      <c r="I92" s="29"/>
      <c r="J92" s="29">
        <f>ROUND('Exh CTM-7 (Rate Design)'!R78,2)</f>
        <v>28.46</v>
      </c>
      <c r="K92" s="29">
        <f>J92-H92</f>
        <v>4.3500000000000014</v>
      </c>
      <c r="M92" s="29">
        <v>0.1</v>
      </c>
      <c r="N92" s="29"/>
      <c r="O92" s="29">
        <v>0.05</v>
      </c>
      <c r="P92" s="29"/>
      <c r="Q92" s="29">
        <v>0.13</v>
      </c>
      <c r="R92" s="29"/>
      <c r="S92" s="29">
        <f>ROUND(J92+M92+O92+Q92, 2)</f>
        <v>28.74</v>
      </c>
    </row>
    <row r="93" spans="1:19" s="65" customFormat="1" ht="10.15" customHeight="1" x14ac:dyDescent="0.2">
      <c r="A93" s="66">
        <f>A92+1</f>
        <v>84</v>
      </c>
      <c r="B93" s="66"/>
      <c r="C93" s="109"/>
      <c r="D93" s="66"/>
      <c r="E93" s="66"/>
      <c r="F93" s="66"/>
      <c r="G93" s="66"/>
      <c r="H93" s="29"/>
      <c r="I93" s="29"/>
      <c r="J93" s="29"/>
      <c r="K93" s="29"/>
      <c r="M93" s="29"/>
      <c r="N93" s="29"/>
      <c r="O93" s="29"/>
      <c r="P93" s="29"/>
      <c r="Q93" s="29"/>
      <c r="R93" s="29"/>
      <c r="S93" s="29"/>
    </row>
    <row r="94" spans="1:19" s="118" customFormat="1" ht="10.15" customHeight="1" x14ac:dyDescent="0.2">
      <c r="A94" s="66">
        <f>A93+1</f>
        <v>85</v>
      </c>
      <c r="B94" s="66">
        <v>53</v>
      </c>
      <c r="C94" s="109" t="s">
        <v>322</v>
      </c>
      <c r="D94" s="66" t="s">
        <v>298</v>
      </c>
      <c r="E94" s="66">
        <v>0</v>
      </c>
      <c r="F94" s="66">
        <v>30</v>
      </c>
      <c r="G94" s="66" t="s">
        <v>189</v>
      </c>
      <c r="H94" s="31">
        <v>1.9206620000000001</v>
      </c>
      <c r="I94" s="29"/>
      <c r="J94" s="31">
        <f>ROUND('Exh CTM-7 (Rate Design)'!O79,6)</f>
        <v>1.1081559999999999</v>
      </c>
      <c r="K94" s="31">
        <f>J94-H94</f>
        <v>-0.81250600000000017</v>
      </c>
      <c r="M94" s="31">
        <v>1.0330000000000001E-3</v>
      </c>
      <c r="N94" s="31"/>
      <c r="O94" s="31">
        <v>4.95E-4</v>
      </c>
      <c r="P94" s="31"/>
      <c r="Q94" s="31">
        <v>1.4350000000000001E-3</v>
      </c>
      <c r="R94" s="31"/>
      <c r="S94" s="31">
        <f>ROUND(J94+M94+O94+Q94, 6)</f>
        <v>1.111119</v>
      </c>
    </row>
    <row r="95" spans="1:19" s="118" customFormat="1" ht="10.15" customHeight="1" x14ac:dyDescent="0.2">
      <c r="A95" s="66">
        <f>A94+1</f>
        <v>86</v>
      </c>
      <c r="B95" s="66">
        <v>53</v>
      </c>
      <c r="C95" s="109" t="s">
        <v>322</v>
      </c>
      <c r="D95" s="66" t="s">
        <v>299</v>
      </c>
      <c r="E95" s="66">
        <v>30.01</v>
      </c>
      <c r="F95" s="66">
        <v>60</v>
      </c>
      <c r="G95" s="66" t="s">
        <v>189</v>
      </c>
      <c r="H95" s="31">
        <v>0.73329900000000003</v>
      </c>
      <c r="I95" s="29"/>
      <c r="J95" s="31">
        <f>ROUND('Exh CTM-7 (Rate Design)'!O80,6)</f>
        <v>0.62451900000000005</v>
      </c>
      <c r="K95" s="31">
        <f>J95-H95</f>
        <v>-0.10877999999999999</v>
      </c>
      <c r="M95" s="31">
        <v>1.0330000000000001E-3</v>
      </c>
      <c r="N95" s="31"/>
      <c r="O95" s="31">
        <v>4.95E-4</v>
      </c>
      <c r="P95" s="31"/>
      <c r="Q95" s="31">
        <v>1.4350000000000001E-3</v>
      </c>
      <c r="R95" s="31"/>
      <c r="S95" s="31">
        <f>ROUND(J95+M95+O95+Q95, 6)</f>
        <v>0.62748199999999998</v>
      </c>
    </row>
    <row r="96" spans="1:19" s="118" customFormat="1" ht="10.15" customHeight="1" x14ac:dyDescent="0.2">
      <c r="A96" s="66">
        <f>A95+1</f>
        <v>87</v>
      </c>
      <c r="B96" s="66">
        <v>53</v>
      </c>
      <c r="C96" s="109" t="s">
        <v>322</v>
      </c>
      <c r="D96" s="66" t="s">
        <v>300</v>
      </c>
      <c r="E96" s="66">
        <v>60.01</v>
      </c>
      <c r="F96" s="66">
        <v>90</v>
      </c>
      <c r="G96" s="66" t="s">
        <v>189</v>
      </c>
      <c r="H96" s="31">
        <v>0.49027999999999999</v>
      </c>
      <c r="I96" s="29"/>
      <c r="J96" s="31">
        <f>ROUND('Exh CTM-7 (Rate Design)'!O81,6)</f>
        <v>0.50256500000000004</v>
      </c>
      <c r="K96" s="31">
        <f>J96-H96</f>
        <v>1.2285000000000046E-2</v>
      </c>
      <c r="M96" s="31">
        <v>1.0330000000000001E-3</v>
      </c>
      <c r="N96" s="31"/>
      <c r="O96" s="31">
        <v>4.95E-4</v>
      </c>
      <c r="P96" s="31"/>
      <c r="Q96" s="31">
        <v>1.4350000000000001E-3</v>
      </c>
      <c r="R96" s="31"/>
      <c r="S96" s="31">
        <f>ROUND(J96+M96+O96+Q96, 6)</f>
        <v>0.50552799999999998</v>
      </c>
    </row>
    <row r="97" spans="1:19" s="118" customFormat="1" ht="10.15" customHeight="1" x14ac:dyDescent="0.2">
      <c r="A97" s="66">
        <f>A96+1</f>
        <v>88</v>
      </c>
      <c r="B97" s="66">
        <v>53</v>
      </c>
      <c r="C97" s="109" t="s">
        <v>322</v>
      </c>
      <c r="D97" s="66" t="s">
        <v>301</v>
      </c>
      <c r="E97" s="66">
        <v>90.01</v>
      </c>
      <c r="F97" s="66">
        <v>150</v>
      </c>
      <c r="G97" s="66" t="s">
        <v>189</v>
      </c>
      <c r="H97" s="31">
        <v>0.40778000000000003</v>
      </c>
      <c r="I97" s="29"/>
      <c r="J97" s="31">
        <f>ROUND('Exh CTM-7 (Rate Design)'!O82,6)</f>
        <v>0.397509</v>
      </c>
      <c r="K97" s="31">
        <f>J97-H97</f>
        <v>-1.027100000000003E-2</v>
      </c>
      <c r="M97" s="31">
        <v>1.0330000000000001E-3</v>
      </c>
      <c r="N97" s="31"/>
      <c r="O97" s="31">
        <v>4.95E-4</v>
      </c>
      <c r="P97" s="31"/>
      <c r="Q97" s="31">
        <v>1.4350000000000001E-3</v>
      </c>
      <c r="R97" s="31"/>
      <c r="S97" s="31">
        <f>ROUND(J97+M97+O97+Q97, 6)</f>
        <v>0.40047199999999999</v>
      </c>
    </row>
    <row r="98" spans="1:19" s="118" customFormat="1" ht="10.15" customHeight="1" x14ac:dyDescent="0.2">
      <c r="A98" s="66">
        <f>A97+1</f>
        <v>89</v>
      </c>
      <c r="B98" s="66">
        <v>53</v>
      </c>
      <c r="C98" s="109" t="s">
        <v>322</v>
      </c>
      <c r="D98" s="66" t="s">
        <v>302</v>
      </c>
      <c r="E98" s="66">
        <v>90.01</v>
      </c>
      <c r="F98" s="66">
        <v>150</v>
      </c>
      <c r="G98" s="66" t="s">
        <v>189</v>
      </c>
      <c r="H98" s="31">
        <v>0.35546300000000003</v>
      </c>
      <c r="I98" s="29"/>
      <c r="J98" s="31">
        <f>ROUND('Exh CTM-7 (Rate Design)'!O83,6)</f>
        <v>0.397509</v>
      </c>
      <c r="K98" s="31">
        <f>J98-H98</f>
        <v>4.2045999999999972E-2</v>
      </c>
      <c r="M98" s="31">
        <v>1.0330000000000001E-3</v>
      </c>
      <c r="N98" s="31"/>
      <c r="O98" s="31">
        <v>4.95E-4</v>
      </c>
      <c r="P98" s="31"/>
      <c r="Q98" s="31">
        <v>1.4350000000000001E-3</v>
      </c>
      <c r="R98" s="31"/>
      <c r="S98" s="31">
        <f>ROUND(J98+M98+O98+Q98, 6)</f>
        <v>0.40047199999999999</v>
      </c>
    </row>
    <row r="99" spans="1:19" s="118" customFormat="1" ht="10.15" customHeight="1" x14ac:dyDescent="0.2">
      <c r="A99" s="66">
        <f>A98+1</f>
        <v>90</v>
      </c>
      <c r="B99" s="66">
        <v>53</v>
      </c>
      <c r="C99" s="109" t="s">
        <v>322</v>
      </c>
      <c r="D99" s="66" t="s">
        <v>303</v>
      </c>
      <c r="E99" s="66">
        <v>150.01</v>
      </c>
      <c r="F99" s="66">
        <v>240</v>
      </c>
      <c r="G99" s="66" t="s">
        <v>189</v>
      </c>
      <c r="H99" s="31">
        <v>0.31166500000000003</v>
      </c>
      <c r="I99" s="29"/>
      <c r="J99" s="31">
        <f>ROUND('Exh CTM-7 (Rate Design)'!O84,6)</f>
        <v>0.33328999999999998</v>
      </c>
      <c r="K99" s="31">
        <f>J99-H99</f>
        <v>2.162499999999995E-2</v>
      </c>
      <c r="M99" s="31">
        <v>1.0330000000000001E-3</v>
      </c>
      <c r="N99" s="31"/>
      <c r="O99" s="31">
        <v>4.95E-4</v>
      </c>
      <c r="P99" s="31"/>
      <c r="Q99" s="31">
        <v>1.4350000000000001E-3</v>
      </c>
      <c r="R99" s="31"/>
      <c r="S99" s="31">
        <f>ROUND(J99+M99+O99+Q99, 6)</f>
        <v>0.33625300000000002</v>
      </c>
    </row>
    <row r="100" spans="1:19" s="118" customFormat="1" ht="10.15" customHeight="1" x14ac:dyDescent="0.2">
      <c r="A100" s="66">
        <f>A99+1</f>
        <v>91</v>
      </c>
      <c r="B100" s="66">
        <v>53</v>
      </c>
      <c r="C100" s="109" t="s">
        <v>322</v>
      </c>
      <c r="D100" s="66" t="s">
        <v>304</v>
      </c>
      <c r="E100" s="66">
        <v>150.01</v>
      </c>
      <c r="F100" s="66">
        <v>240</v>
      </c>
      <c r="G100" s="66" t="s">
        <v>189</v>
      </c>
      <c r="H100" s="31">
        <v>0.28593299999999999</v>
      </c>
      <c r="I100" s="29"/>
      <c r="J100" s="31">
        <f>ROUND('Exh CTM-7 (Rate Design)'!O85,6)</f>
        <v>0.33328999999999998</v>
      </c>
      <c r="K100" s="31">
        <f>J100-H100</f>
        <v>4.7356999999999982E-2</v>
      </c>
      <c r="M100" s="31">
        <v>1.0330000000000001E-3</v>
      </c>
      <c r="N100" s="31"/>
      <c r="O100" s="31">
        <v>4.95E-4</v>
      </c>
      <c r="P100" s="31"/>
      <c r="Q100" s="31">
        <v>1.4350000000000001E-3</v>
      </c>
      <c r="R100" s="31"/>
      <c r="S100" s="31">
        <f>ROUND(J100+M100+O100+Q100, 6)</f>
        <v>0.33625300000000002</v>
      </c>
    </row>
    <row r="101" spans="1:19" s="118" customFormat="1" ht="10.15" customHeight="1" x14ac:dyDescent="0.2">
      <c r="A101" s="66">
        <f>A100+1</f>
        <v>92</v>
      </c>
      <c r="B101" s="66">
        <v>53</v>
      </c>
      <c r="C101" s="109" t="s">
        <v>322</v>
      </c>
      <c r="D101" s="66" t="s">
        <v>305</v>
      </c>
      <c r="E101" s="66">
        <v>150.01</v>
      </c>
      <c r="F101" s="66">
        <v>240</v>
      </c>
      <c r="G101" s="66" t="s">
        <v>189</v>
      </c>
      <c r="H101" s="31">
        <v>0.267675</v>
      </c>
      <c r="I101" s="29"/>
      <c r="J101" s="31">
        <f>ROUND('Exh CTM-7 (Rate Design)'!O86,6)</f>
        <v>0.33328999999999998</v>
      </c>
      <c r="K101" s="31">
        <f>J101-H101</f>
        <v>6.5614999999999979E-2</v>
      </c>
      <c r="M101" s="31">
        <v>1.0330000000000001E-3</v>
      </c>
      <c r="N101" s="31"/>
      <c r="O101" s="31">
        <v>4.95E-4</v>
      </c>
      <c r="P101" s="31"/>
      <c r="Q101" s="31">
        <v>1.4350000000000001E-3</v>
      </c>
      <c r="R101" s="31"/>
      <c r="S101" s="31">
        <f>ROUND(J101+M101+O101+Q101, 6)</f>
        <v>0.33625300000000002</v>
      </c>
    </row>
    <row r="102" spans="1:19" s="118" customFormat="1" ht="10.15" customHeight="1" x14ac:dyDescent="0.2">
      <c r="A102" s="66">
        <f>A101+1</f>
        <v>93</v>
      </c>
      <c r="B102" s="66">
        <v>53</v>
      </c>
      <c r="C102" s="109" t="s">
        <v>322</v>
      </c>
      <c r="D102" s="66" t="s">
        <v>306</v>
      </c>
      <c r="E102" s="66">
        <v>240.01</v>
      </c>
      <c r="F102" s="66">
        <v>340</v>
      </c>
      <c r="G102" s="66" t="s">
        <v>189</v>
      </c>
      <c r="H102" s="31">
        <v>0.25317299999999998</v>
      </c>
      <c r="I102" s="29"/>
      <c r="J102" s="31">
        <f>ROUND('Exh CTM-7 (Rate Design)'!O87,6)</f>
        <v>0.309139</v>
      </c>
      <c r="K102" s="31">
        <f>J102-H102</f>
        <v>5.5966000000000016E-2</v>
      </c>
      <c r="M102" s="31">
        <v>1.0330000000000001E-3</v>
      </c>
      <c r="N102" s="31"/>
      <c r="O102" s="31">
        <v>4.95E-4</v>
      </c>
      <c r="P102" s="31"/>
      <c r="Q102" s="31">
        <v>1.4350000000000001E-3</v>
      </c>
      <c r="R102" s="31"/>
      <c r="S102" s="31">
        <f>ROUND(J102+M102+O102+Q102, 6)</f>
        <v>0.31210199999999999</v>
      </c>
    </row>
    <row r="103" spans="1:19" s="118" customFormat="1" ht="10.15" customHeight="1" x14ac:dyDescent="0.2">
      <c r="A103" s="66">
        <f>A102+1</f>
        <v>94</v>
      </c>
      <c r="B103" s="66">
        <v>53</v>
      </c>
      <c r="C103" s="109" t="s">
        <v>322</v>
      </c>
      <c r="D103" s="66" t="s">
        <v>307</v>
      </c>
      <c r="E103" s="66">
        <v>240.01</v>
      </c>
      <c r="F103" s="66">
        <v>340</v>
      </c>
      <c r="G103" s="66" t="s">
        <v>189</v>
      </c>
      <c r="H103" s="31">
        <v>0.24172299999999997</v>
      </c>
      <c r="I103" s="29"/>
      <c r="J103" s="31">
        <f>ROUND('Exh CTM-7 (Rate Design)'!O88,6)</f>
        <v>0.309139</v>
      </c>
      <c r="K103" s="31">
        <f>J103-H103</f>
        <v>6.7416000000000031E-2</v>
      </c>
      <c r="M103" s="31">
        <v>1.0330000000000001E-3</v>
      </c>
      <c r="N103" s="31"/>
      <c r="O103" s="31">
        <v>4.95E-4</v>
      </c>
      <c r="P103" s="31"/>
      <c r="Q103" s="31">
        <v>1.4350000000000001E-3</v>
      </c>
      <c r="R103" s="31"/>
      <c r="S103" s="31">
        <f>ROUND(J103+M103+O103+Q103, 6)</f>
        <v>0.31210199999999999</v>
      </c>
    </row>
    <row r="104" spans="1:19" s="65" customFormat="1" ht="10.15" customHeight="1" x14ac:dyDescent="0.2">
      <c r="A104" s="66">
        <f>A103+1</f>
        <v>95</v>
      </c>
      <c r="B104" s="111"/>
      <c r="C104" s="112"/>
      <c r="D104" s="113"/>
      <c r="E104" s="113"/>
      <c r="F104" s="113"/>
      <c r="G104" s="113"/>
      <c r="H104" s="29"/>
      <c r="I104" s="29"/>
      <c r="J104" s="29"/>
      <c r="K104" s="29"/>
      <c r="M104" s="29"/>
      <c r="N104" s="29"/>
      <c r="O104" s="29"/>
      <c r="P104" s="29"/>
      <c r="Q104" s="29"/>
      <c r="R104" s="29"/>
      <c r="S104" s="29"/>
    </row>
    <row r="105" spans="1:19" s="65" customFormat="1" ht="10.15" customHeight="1" x14ac:dyDescent="0.2">
      <c r="A105" s="66">
        <f>A104+1</f>
        <v>96</v>
      </c>
      <c r="B105" s="66">
        <v>53</v>
      </c>
      <c r="C105" s="109" t="s">
        <v>323</v>
      </c>
      <c r="D105" s="66" t="s">
        <v>311</v>
      </c>
      <c r="E105" s="66">
        <v>30.01</v>
      </c>
      <c r="F105" s="66">
        <v>60</v>
      </c>
      <c r="G105" s="66" t="s">
        <v>186</v>
      </c>
      <c r="H105" s="29">
        <v>4.76</v>
      </c>
      <c r="I105" s="29"/>
      <c r="J105" s="29">
        <f>ROUND('Exh CTM-7 (Rate Design)'!R89,2)</f>
        <v>3.73</v>
      </c>
      <c r="K105" s="29">
        <f>J105-H105</f>
        <v>-1.0299999999999998</v>
      </c>
      <c r="M105" s="29">
        <v>0.02</v>
      </c>
      <c r="N105" s="29"/>
      <c r="O105" s="29">
        <v>0.01</v>
      </c>
      <c r="P105" s="29"/>
      <c r="Q105" s="29">
        <v>0.02</v>
      </c>
      <c r="R105" s="29"/>
      <c r="S105" s="29">
        <f>ROUND(J105+M105+O105+Q105, 2)</f>
        <v>3.78</v>
      </c>
    </row>
    <row r="106" spans="1:19" s="65" customFormat="1" ht="10.15" customHeight="1" x14ac:dyDescent="0.2">
      <c r="A106" s="66">
        <f>A105+1</f>
        <v>97</v>
      </c>
      <c r="B106" s="66">
        <v>53</v>
      </c>
      <c r="C106" s="109" t="s">
        <v>323</v>
      </c>
      <c r="D106" s="66" t="s">
        <v>312</v>
      </c>
      <c r="E106" s="66">
        <v>60.01</v>
      </c>
      <c r="F106" s="66">
        <v>90</v>
      </c>
      <c r="G106" s="66" t="s">
        <v>186</v>
      </c>
      <c r="H106" s="29">
        <v>5.7999999999999989</v>
      </c>
      <c r="I106" s="29"/>
      <c r="J106" s="29">
        <f>ROUND('Exh CTM-7 (Rate Design)'!R90,2)</f>
        <v>6.01</v>
      </c>
      <c r="K106" s="29">
        <f>J106-H106</f>
        <v>0.21000000000000085</v>
      </c>
      <c r="M106" s="29">
        <v>0.03</v>
      </c>
      <c r="N106" s="29"/>
      <c r="O106" s="29">
        <v>0.01</v>
      </c>
      <c r="P106" s="29"/>
      <c r="Q106" s="29">
        <v>0.04</v>
      </c>
      <c r="R106" s="29"/>
      <c r="S106" s="29">
        <f>ROUND(J106+M106+O106+Q106, 2)</f>
        <v>6.09</v>
      </c>
    </row>
    <row r="107" spans="1:19" s="65" customFormat="1" ht="10.15" customHeight="1" x14ac:dyDescent="0.2">
      <c r="A107" s="66">
        <f>A106+1</f>
        <v>98</v>
      </c>
      <c r="B107" s="66">
        <v>53</v>
      </c>
      <c r="C107" s="109" t="s">
        <v>323</v>
      </c>
      <c r="D107" s="66" t="s">
        <v>289</v>
      </c>
      <c r="E107" s="66">
        <v>90.01</v>
      </c>
      <c r="F107" s="66">
        <v>150</v>
      </c>
      <c r="G107" s="66" t="s">
        <v>186</v>
      </c>
      <c r="H107" s="29">
        <v>7.3100000000000005</v>
      </c>
      <c r="I107" s="29"/>
      <c r="J107" s="29">
        <f>ROUND('Exh CTM-7 (Rate Design)'!R91,2)</f>
        <v>9.1</v>
      </c>
      <c r="K107" s="29">
        <f>J107-H107</f>
        <v>1.7899999999999991</v>
      </c>
      <c r="M107" s="29">
        <v>0.04</v>
      </c>
      <c r="N107" s="29"/>
      <c r="O107" s="29">
        <v>0.02</v>
      </c>
      <c r="P107" s="29"/>
      <c r="Q107" s="29">
        <v>0.06</v>
      </c>
      <c r="R107" s="29"/>
      <c r="S107" s="29">
        <f>ROUND(J107+M107+O107+Q107, 2)</f>
        <v>9.2200000000000006</v>
      </c>
    </row>
    <row r="108" spans="1:19" s="65" customFormat="1" ht="10.15" customHeight="1" x14ac:dyDescent="0.2">
      <c r="A108" s="66">
        <f>A107+1</f>
        <v>99</v>
      </c>
      <c r="B108" s="66">
        <v>53</v>
      </c>
      <c r="C108" s="109" t="s">
        <v>323</v>
      </c>
      <c r="D108" s="66" t="s">
        <v>313</v>
      </c>
      <c r="E108" s="66">
        <v>90.01</v>
      </c>
      <c r="F108" s="66">
        <v>150</v>
      </c>
      <c r="G108" s="66" t="s">
        <v>186</v>
      </c>
      <c r="H108" s="29">
        <v>9.82</v>
      </c>
      <c r="I108" s="29"/>
      <c r="J108" s="29">
        <f>ROUND('Exh CTM-7 (Rate Design)'!R92,2)</f>
        <v>9.1</v>
      </c>
      <c r="K108" s="29">
        <f>J108-H108</f>
        <v>-0.72000000000000064</v>
      </c>
      <c r="M108" s="29">
        <v>0.04</v>
      </c>
      <c r="N108" s="29"/>
      <c r="O108" s="29">
        <v>0.02</v>
      </c>
      <c r="P108" s="29"/>
      <c r="Q108" s="29">
        <v>0.06</v>
      </c>
      <c r="R108" s="29"/>
      <c r="S108" s="29">
        <f>ROUND(J108+M108+O108+Q108, 2)</f>
        <v>9.2200000000000006</v>
      </c>
    </row>
    <row r="109" spans="1:19" s="65" customFormat="1" ht="10.15" customHeight="1" x14ac:dyDescent="0.2">
      <c r="A109" s="66">
        <f>A108+1</f>
        <v>100</v>
      </c>
      <c r="B109" s="66">
        <v>53</v>
      </c>
      <c r="C109" s="109" t="s">
        <v>323</v>
      </c>
      <c r="D109" s="66" t="s">
        <v>314</v>
      </c>
      <c r="E109" s="66">
        <v>150.01</v>
      </c>
      <c r="F109" s="66">
        <v>240</v>
      </c>
      <c r="G109" s="66" t="s">
        <v>186</v>
      </c>
      <c r="H109" s="29">
        <v>12.360000000000001</v>
      </c>
      <c r="I109" s="29"/>
      <c r="J109" s="29">
        <f>ROUND('Exh CTM-7 (Rate Design)'!R93,2)</f>
        <v>15.95</v>
      </c>
      <c r="K109" s="29">
        <f>J109-H109</f>
        <v>3.5899999999999981</v>
      </c>
      <c r="M109" s="29">
        <v>7.0000000000000007E-2</v>
      </c>
      <c r="N109" s="29"/>
      <c r="O109" s="29">
        <v>0.03</v>
      </c>
      <c r="P109" s="29"/>
      <c r="Q109" s="29">
        <v>0.1</v>
      </c>
      <c r="R109" s="29"/>
      <c r="S109" s="29">
        <f>ROUND(J109+M109+O109+Q109, 2)</f>
        <v>16.149999999999999</v>
      </c>
    </row>
    <row r="110" spans="1:19" s="65" customFormat="1" ht="10.15" customHeight="1" x14ac:dyDescent="0.2">
      <c r="A110" s="66">
        <f>A109+1</f>
        <v>101</v>
      </c>
      <c r="B110" s="66">
        <v>53</v>
      </c>
      <c r="C110" s="109" t="s">
        <v>323</v>
      </c>
      <c r="D110" s="66" t="s">
        <v>315</v>
      </c>
      <c r="E110" s="66">
        <v>240.01</v>
      </c>
      <c r="F110" s="66">
        <v>340</v>
      </c>
      <c r="G110" s="66" t="s">
        <v>186</v>
      </c>
      <c r="H110" s="29">
        <v>14.870000000000001</v>
      </c>
      <c r="I110" s="29"/>
      <c r="J110" s="29">
        <f>ROUND('Exh CTM-7 (Rate Design)'!R94,2)</f>
        <v>21.13</v>
      </c>
      <c r="K110" s="29">
        <f>J110-H110</f>
        <v>6.259999999999998</v>
      </c>
      <c r="M110" s="29">
        <v>0.1</v>
      </c>
      <c r="N110" s="29"/>
      <c r="O110" s="29">
        <v>0.05</v>
      </c>
      <c r="P110" s="29"/>
      <c r="Q110" s="29">
        <v>0.13</v>
      </c>
      <c r="R110" s="29"/>
      <c r="S110" s="29">
        <f>ROUND(J110+M110+O110+Q110, 2)</f>
        <v>21.41</v>
      </c>
    </row>
    <row r="111" spans="1:19" s="65" customFormat="1" ht="10.15" customHeight="1" x14ac:dyDescent="0.2">
      <c r="A111" s="66">
        <f>A110+1</f>
        <v>102</v>
      </c>
      <c r="B111" s="66">
        <v>53</v>
      </c>
      <c r="C111" s="109" t="s">
        <v>323</v>
      </c>
      <c r="D111" s="66" t="s">
        <v>316</v>
      </c>
      <c r="E111" s="66">
        <v>240.01</v>
      </c>
      <c r="F111" s="66">
        <v>340</v>
      </c>
      <c r="G111" s="66" t="s">
        <v>186</v>
      </c>
      <c r="H111" s="29">
        <v>17.919999999999998</v>
      </c>
      <c r="I111" s="29"/>
      <c r="J111" s="29">
        <f>ROUND('Exh CTM-7 (Rate Design)'!R95,2)</f>
        <v>21.13</v>
      </c>
      <c r="K111" s="29">
        <f>J111-H111</f>
        <v>3.2100000000000009</v>
      </c>
      <c r="M111" s="29">
        <v>0.1</v>
      </c>
      <c r="N111" s="29"/>
      <c r="O111" s="29">
        <v>0.05</v>
      </c>
      <c r="P111" s="29"/>
      <c r="Q111" s="29">
        <v>0.13</v>
      </c>
      <c r="R111" s="29"/>
      <c r="S111" s="29">
        <f>ROUND(J111+M111+O111+Q111, 2)</f>
        <v>21.41</v>
      </c>
    </row>
    <row r="112" spans="1:19" s="65" customFormat="1" ht="10.15" customHeight="1" x14ac:dyDescent="0.2">
      <c r="A112" s="66">
        <f>A111+1</f>
        <v>103</v>
      </c>
      <c r="B112" s="66">
        <v>53</v>
      </c>
      <c r="C112" s="109" t="s">
        <v>323</v>
      </c>
      <c r="D112" s="66" t="s">
        <v>291</v>
      </c>
      <c r="E112" s="66">
        <v>340.01</v>
      </c>
      <c r="F112" s="66">
        <v>600</v>
      </c>
      <c r="G112" s="66" t="s">
        <v>186</v>
      </c>
      <c r="H112" s="29">
        <v>22.47</v>
      </c>
      <c r="I112" s="29"/>
      <c r="J112" s="29">
        <f>ROUND('Exh CTM-7 (Rate Design)'!R96,2)</f>
        <v>33.11</v>
      </c>
      <c r="K112" s="29">
        <f>J112-H112</f>
        <v>10.64</v>
      </c>
      <c r="M112" s="29">
        <v>0.15</v>
      </c>
      <c r="N112" s="29"/>
      <c r="O112" s="29">
        <v>7.0000000000000007E-2</v>
      </c>
      <c r="P112" s="29"/>
      <c r="Q112" s="29">
        <v>0.21</v>
      </c>
      <c r="R112" s="29"/>
      <c r="S112" s="29">
        <f>ROUND(J112+M112+O112+Q112, 2)</f>
        <v>33.54</v>
      </c>
    </row>
    <row r="113" spans="1:19" s="65" customFormat="1" ht="10.15" customHeight="1" x14ac:dyDescent="0.2">
      <c r="A113" s="66">
        <f>A112+1</f>
        <v>104</v>
      </c>
      <c r="B113" s="66">
        <v>53</v>
      </c>
      <c r="C113" s="109" t="s">
        <v>323</v>
      </c>
      <c r="D113" s="66" t="s">
        <v>318</v>
      </c>
      <c r="E113" s="66">
        <v>600.01</v>
      </c>
      <c r="F113" s="66">
        <v>1000</v>
      </c>
      <c r="G113" s="66" t="s">
        <v>186</v>
      </c>
      <c r="H113" s="29">
        <v>52.79</v>
      </c>
      <c r="I113" s="29"/>
      <c r="J113" s="29">
        <f>ROUND('Exh CTM-7 (Rate Design)'!R97,2)</f>
        <v>82.79</v>
      </c>
      <c r="K113" s="29">
        <f>J113-H113</f>
        <v>30.000000000000007</v>
      </c>
      <c r="M113" s="29">
        <v>0.37</v>
      </c>
      <c r="N113" s="29"/>
      <c r="O113" s="29">
        <v>0.18</v>
      </c>
      <c r="P113" s="29"/>
      <c r="Q113" s="29">
        <v>0.52</v>
      </c>
      <c r="R113" s="29"/>
      <c r="S113" s="29">
        <f>ROUND(J113+M113+O113+Q113, 2)</f>
        <v>83.86</v>
      </c>
    </row>
    <row r="114" spans="1:19" s="65" customFormat="1" ht="10.15" customHeight="1" x14ac:dyDescent="0.2">
      <c r="A114" s="66">
        <f>A113+1</f>
        <v>105</v>
      </c>
      <c r="B114" s="66"/>
      <c r="C114" s="109"/>
      <c r="D114" s="66"/>
      <c r="E114" s="66"/>
      <c r="F114" s="66"/>
      <c r="G114" s="66"/>
      <c r="H114" s="29"/>
      <c r="I114" s="29"/>
      <c r="J114" s="29"/>
      <c r="K114" s="29"/>
      <c r="M114" s="29"/>
      <c r="N114" s="29"/>
      <c r="O114" s="29"/>
      <c r="P114" s="29"/>
      <c r="Q114" s="29"/>
      <c r="R114" s="29"/>
      <c r="S114" s="29"/>
    </row>
    <row r="115" spans="1:19" s="65" customFormat="1" ht="10.15" customHeight="1" x14ac:dyDescent="0.2">
      <c r="A115" s="66">
        <f>A114+1</f>
        <v>106</v>
      </c>
      <c r="B115" s="66">
        <v>53</v>
      </c>
      <c r="C115" s="109" t="s">
        <v>324</v>
      </c>
      <c r="D115" s="66" t="s">
        <v>312</v>
      </c>
      <c r="E115" s="66">
        <v>60.01</v>
      </c>
      <c r="F115" s="66">
        <v>90</v>
      </c>
      <c r="G115" s="66" t="s">
        <v>186</v>
      </c>
      <c r="H115" s="29">
        <v>8.0599999999999987</v>
      </c>
      <c r="I115" s="29"/>
      <c r="J115" s="29">
        <f>ROUND('Exh CTM-7 (Rate Design)'!R98,2)</f>
        <v>6.01</v>
      </c>
      <c r="K115" s="29">
        <f>J115-H115</f>
        <v>-2.0499999999999989</v>
      </c>
      <c r="M115" s="29">
        <v>0.03</v>
      </c>
      <c r="N115" s="29"/>
      <c r="O115" s="29">
        <v>0.01</v>
      </c>
      <c r="P115" s="29"/>
      <c r="Q115" s="29">
        <v>0.04</v>
      </c>
      <c r="R115" s="29"/>
      <c r="S115" s="29">
        <f>ROUND(J115+M115+O115+Q115, 2)</f>
        <v>6.09</v>
      </c>
    </row>
    <row r="116" spans="1:19" s="65" customFormat="1" ht="10.15" customHeight="1" x14ac:dyDescent="0.2">
      <c r="A116" s="66">
        <f>A115+1</f>
        <v>107</v>
      </c>
      <c r="B116" s="66">
        <v>53</v>
      </c>
      <c r="C116" s="109" t="s">
        <v>324</v>
      </c>
      <c r="D116" s="66" t="s">
        <v>289</v>
      </c>
      <c r="E116" s="66">
        <v>90.01</v>
      </c>
      <c r="F116" s="66">
        <v>150</v>
      </c>
      <c r="G116" s="66" t="s">
        <v>186</v>
      </c>
      <c r="H116" s="29">
        <v>9.5699999999999985</v>
      </c>
      <c r="I116" s="29"/>
      <c r="J116" s="29">
        <f>ROUND('Exh CTM-7 (Rate Design)'!R99,2)</f>
        <v>9.1</v>
      </c>
      <c r="K116" s="29">
        <f>J116-H116</f>
        <v>-0.46999999999999886</v>
      </c>
      <c r="M116" s="29">
        <v>0.04</v>
      </c>
      <c r="N116" s="29"/>
      <c r="O116" s="29">
        <v>0.02</v>
      </c>
      <c r="P116" s="29"/>
      <c r="Q116" s="29">
        <v>0.06</v>
      </c>
      <c r="R116" s="29"/>
      <c r="S116" s="29">
        <f>ROUND(J116+M116+O116+Q116, 2)</f>
        <v>9.2200000000000006</v>
      </c>
    </row>
    <row r="117" spans="1:19" s="65" customFormat="1" ht="10.15" customHeight="1" x14ac:dyDescent="0.2">
      <c r="A117" s="66">
        <f>A116+1</f>
        <v>108</v>
      </c>
      <c r="B117" s="66">
        <v>53</v>
      </c>
      <c r="C117" s="109" t="s">
        <v>324</v>
      </c>
      <c r="D117" s="66" t="s">
        <v>313</v>
      </c>
      <c r="E117" s="66">
        <v>90.01</v>
      </c>
      <c r="F117" s="66">
        <v>150</v>
      </c>
      <c r="G117" s="66" t="s">
        <v>186</v>
      </c>
      <c r="H117" s="29">
        <v>12.079999999999998</v>
      </c>
      <c r="I117" s="29"/>
      <c r="J117" s="29">
        <f>ROUND('Exh CTM-7 (Rate Design)'!R100,2)</f>
        <v>9.1</v>
      </c>
      <c r="K117" s="29">
        <f>J117-H117</f>
        <v>-2.9799999999999986</v>
      </c>
      <c r="M117" s="29">
        <v>0.04</v>
      </c>
      <c r="N117" s="29"/>
      <c r="O117" s="29">
        <v>0.02</v>
      </c>
      <c r="P117" s="29"/>
      <c r="Q117" s="29">
        <v>0.06</v>
      </c>
      <c r="R117" s="29"/>
      <c r="S117" s="29">
        <f>ROUND(J117+M117+O117+Q117, 2)</f>
        <v>9.2200000000000006</v>
      </c>
    </row>
    <row r="118" spans="1:19" s="65" customFormat="1" ht="10.15" customHeight="1" x14ac:dyDescent="0.2">
      <c r="A118" s="66">
        <f>A117+1</f>
        <v>109</v>
      </c>
      <c r="B118" s="66">
        <v>53</v>
      </c>
      <c r="C118" s="109" t="s">
        <v>324</v>
      </c>
      <c r="D118" s="66" t="s">
        <v>290</v>
      </c>
      <c r="E118" s="66">
        <v>150.01</v>
      </c>
      <c r="F118" s="66">
        <v>240</v>
      </c>
      <c r="G118" s="66" t="s">
        <v>186</v>
      </c>
      <c r="H118" s="29">
        <v>13.620000000000001</v>
      </c>
      <c r="I118" s="29"/>
      <c r="J118" s="29">
        <f>ROUND('Exh CTM-7 (Rate Design)'!R101,2)</f>
        <v>15.95</v>
      </c>
      <c r="K118" s="29">
        <f>J118-H118</f>
        <v>2.3299999999999983</v>
      </c>
      <c r="M118" s="29">
        <v>7.0000000000000007E-2</v>
      </c>
      <c r="N118" s="29"/>
      <c r="O118" s="29">
        <v>0.03</v>
      </c>
      <c r="P118" s="29"/>
      <c r="Q118" s="29">
        <v>0.1</v>
      </c>
      <c r="R118" s="29"/>
      <c r="S118" s="29">
        <f>ROUND(J118+M118+O118+Q118, 2)</f>
        <v>16.149999999999999</v>
      </c>
    </row>
    <row r="119" spans="1:19" s="65" customFormat="1" ht="10.15" customHeight="1" x14ac:dyDescent="0.2">
      <c r="A119" s="66">
        <f>A118+1</f>
        <v>110</v>
      </c>
      <c r="B119" s="66">
        <v>53</v>
      </c>
      <c r="C119" s="109" t="s">
        <v>324</v>
      </c>
      <c r="D119" s="66" t="s">
        <v>315</v>
      </c>
      <c r="E119" s="66">
        <v>240.01</v>
      </c>
      <c r="F119" s="66">
        <v>340</v>
      </c>
      <c r="G119" s="66" t="s">
        <v>186</v>
      </c>
      <c r="H119" s="29">
        <v>17.13</v>
      </c>
      <c r="I119" s="29"/>
      <c r="J119" s="29">
        <f>ROUND('Exh CTM-7 (Rate Design)'!R102,2)</f>
        <v>21.13</v>
      </c>
      <c r="K119" s="29">
        <f>J119-H119</f>
        <v>4</v>
      </c>
      <c r="M119" s="29">
        <v>0.1</v>
      </c>
      <c r="N119" s="29"/>
      <c r="O119" s="29">
        <v>0.05</v>
      </c>
      <c r="P119" s="29"/>
      <c r="Q119" s="29">
        <v>0.13</v>
      </c>
      <c r="R119" s="29"/>
      <c r="S119" s="29">
        <f>ROUND(J119+M119+O119+Q119, 2)</f>
        <v>21.41</v>
      </c>
    </row>
    <row r="120" spans="1:19" s="65" customFormat="1" ht="10.15" customHeight="1" x14ac:dyDescent="0.2">
      <c r="A120" s="66">
        <f>A119+1</f>
        <v>111</v>
      </c>
      <c r="B120" s="66">
        <v>53</v>
      </c>
      <c r="C120" s="109" t="s">
        <v>324</v>
      </c>
      <c r="D120" s="66" t="s">
        <v>291</v>
      </c>
      <c r="E120" s="66">
        <v>340.01</v>
      </c>
      <c r="F120" s="66">
        <v>600</v>
      </c>
      <c r="G120" s="66" t="s">
        <v>186</v>
      </c>
      <c r="H120" s="29">
        <v>24.729999999999997</v>
      </c>
      <c r="I120" s="29"/>
      <c r="J120" s="29">
        <f>ROUND('Exh CTM-7 (Rate Design)'!R103,2)</f>
        <v>33.11</v>
      </c>
      <c r="K120" s="29">
        <f>J120-H120</f>
        <v>8.3800000000000026</v>
      </c>
      <c r="M120" s="29">
        <v>0.15</v>
      </c>
      <c r="N120" s="29"/>
      <c r="O120" s="29">
        <v>7.0000000000000007E-2</v>
      </c>
      <c r="P120" s="29"/>
      <c r="Q120" s="29">
        <v>0.21</v>
      </c>
      <c r="R120" s="29"/>
      <c r="S120" s="29">
        <f>ROUND(J120+M120+O120+Q120, 2)</f>
        <v>33.54</v>
      </c>
    </row>
    <row r="121" spans="1:19" s="65" customFormat="1" ht="10.15" customHeight="1" x14ac:dyDescent="0.2">
      <c r="A121" s="66">
        <f>A120+1</f>
        <v>112</v>
      </c>
      <c r="B121" s="66"/>
      <c r="C121" s="109"/>
      <c r="D121" s="66"/>
      <c r="E121" s="66"/>
      <c r="F121" s="66"/>
      <c r="G121" s="66"/>
      <c r="H121" s="29"/>
      <c r="I121" s="29"/>
      <c r="J121" s="29"/>
      <c r="K121" s="29"/>
      <c r="M121" s="29"/>
      <c r="N121" s="29"/>
      <c r="O121" s="29"/>
      <c r="P121" s="29"/>
      <c r="Q121" s="29"/>
      <c r="R121" s="29"/>
      <c r="S121" s="29"/>
    </row>
    <row r="122" spans="1:19" s="65" customFormat="1" ht="10.15" customHeight="1" x14ac:dyDescent="0.2">
      <c r="A122" s="66">
        <f>A121+1</f>
        <v>113</v>
      </c>
      <c r="B122" s="66">
        <v>53</v>
      </c>
      <c r="C122" s="109" t="s">
        <v>325</v>
      </c>
      <c r="D122" s="66" t="s">
        <v>298</v>
      </c>
      <c r="E122" s="66">
        <v>0</v>
      </c>
      <c r="F122" s="66">
        <v>30</v>
      </c>
      <c r="G122" s="66" t="s">
        <v>186</v>
      </c>
      <c r="H122" s="29">
        <v>1.2</v>
      </c>
      <c r="I122" s="29"/>
      <c r="J122" s="29">
        <f>ROUND('Exh CTM-7 (Rate Design)'!R104,2)</f>
        <v>1.7</v>
      </c>
      <c r="K122" s="29">
        <f>J122-H122</f>
        <v>0.5</v>
      </c>
      <c r="M122" s="29">
        <v>0.01</v>
      </c>
      <c r="N122" s="29"/>
      <c r="O122" s="29">
        <v>0</v>
      </c>
      <c r="P122" s="29"/>
      <c r="Q122" s="29">
        <v>0.01</v>
      </c>
      <c r="R122" s="29"/>
      <c r="S122" s="29">
        <f>ROUND(J122+M122+O122+Q122, 2)</f>
        <v>1.72</v>
      </c>
    </row>
    <row r="123" spans="1:19" s="65" customFormat="1" ht="10.15" customHeight="1" x14ac:dyDescent="0.2">
      <c r="A123" s="66">
        <f>A122+1</f>
        <v>114</v>
      </c>
      <c r="B123" s="66">
        <v>53</v>
      </c>
      <c r="C123" s="109" t="s">
        <v>325</v>
      </c>
      <c r="D123" s="66" t="s">
        <v>299</v>
      </c>
      <c r="E123" s="66">
        <v>30.01</v>
      </c>
      <c r="F123" s="66">
        <v>60</v>
      </c>
      <c r="G123" s="66" t="s">
        <v>186</v>
      </c>
      <c r="H123" s="29">
        <v>2.7199999999999998</v>
      </c>
      <c r="I123" s="29"/>
      <c r="J123" s="29">
        <f>ROUND('Exh CTM-7 (Rate Design)'!R105,2)</f>
        <v>3.73</v>
      </c>
      <c r="K123" s="29">
        <f>J123-H123</f>
        <v>1.0100000000000002</v>
      </c>
      <c r="M123" s="29">
        <v>0.02</v>
      </c>
      <c r="N123" s="29"/>
      <c r="O123" s="29">
        <v>0.01</v>
      </c>
      <c r="P123" s="29"/>
      <c r="Q123" s="29">
        <v>0.02</v>
      </c>
      <c r="R123" s="29"/>
      <c r="S123" s="29">
        <f>ROUND(J123+M123+O123+Q123, 2)</f>
        <v>3.78</v>
      </c>
    </row>
    <row r="124" spans="1:19" s="65" customFormat="1" ht="10.15" customHeight="1" x14ac:dyDescent="0.2">
      <c r="A124" s="66">
        <f>A123+1</f>
        <v>115</v>
      </c>
      <c r="B124" s="66">
        <v>53</v>
      </c>
      <c r="C124" s="109" t="s">
        <v>325</v>
      </c>
      <c r="D124" s="66" t="s">
        <v>300</v>
      </c>
      <c r="E124" s="66">
        <v>60.01</v>
      </c>
      <c r="F124" s="66">
        <v>90</v>
      </c>
      <c r="G124" s="66" t="s">
        <v>186</v>
      </c>
      <c r="H124" s="29">
        <v>4.2300000000000004</v>
      </c>
      <c r="I124" s="29"/>
      <c r="J124" s="29">
        <f>ROUND('Exh CTM-7 (Rate Design)'!R106,2)</f>
        <v>6.01</v>
      </c>
      <c r="K124" s="29">
        <f>J124-H124</f>
        <v>1.7799999999999994</v>
      </c>
      <c r="M124" s="29">
        <v>0.03</v>
      </c>
      <c r="N124" s="29"/>
      <c r="O124" s="29">
        <v>0.01</v>
      </c>
      <c r="P124" s="29"/>
      <c r="Q124" s="29">
        <v>0.04</v>
      </c>
      <c r="R124" s="29"/>
      <c r="S124" s="29">
        <f>ROUND(J124+M124+O124+Q124, 2)</f>
        <v>6.09</v>
      </c>
    </row>
    <row r="125" spans="1:19" s="65" customFormat="1" ht="10.15" customHeight="1" x14ac:dyDescent="0.2">
      <c r="A125" s="66">
        <f>A124+1</f>
        <v>116</v>
      </c>
      <c r="B125" s="66">
        <v>53</v>
      </c>
      <c r="C125" s="109" t="s">
        <v>325</v>
      </c>
      <c r="D125" s="66" t="s">
        <v>301</v>
      </c>
      <c r="E125" s="66">
        <v>90.01</v>
      </c>
      <c r="F125" s="66">
        <v>150</v>
      </c>
      <c r="G125" s="66" t="s">
        <v>186</v>
      </c>
      <c r="H125" s="29">
        <v>5.75</v>
      </c>
      <c r="I125" s="29"/>
      <c r="J125" s="29">
        <f>ROUND('Exh CTM-7 (Rate Design)'!R107,2)</f>
        <v>9.1</v>
      </c>
      <c r="K125" s="29">
        <f>J125-H125</f>
        <v>3.3499999999999996</v>
      </c>
      <c r="M125" s="29">
        <v>0.04</v>
      </c>
      <c r="N125" s="29"/>
      <c r="O125" s="29">
        <v>0.02</v>
      </c>
      <c r="P125" s="29"/>
      <c r="Q125" s="29">
        <v>0.06</v>
      </c>
      <c r="R125" s="29"/>
      <c r="S125" s="29">
        <f>ROUND(J125+M125+O125+Q125, 2)</f>
        <v>9.2200000000000006</v>
      </c>
    </row>
    <row r="126" spans="1:19" s="65" customFormat="1" ht="10.15" customHeight="1" x14ac:dyDescent="0.2">
      <c r="A126" s="66">
        <f>A125+1</f>
        <v>117</v>
      </c>
      <c r="B126" s="66">
        <v>53</v>
      </c>
      <c r="C126" s="109" t="s">
        <v>325</v>
      </c>
      <c r="D126" s="66" t="s">
        <v>302</v>
      </c>
      <c r="E126" s="66">
        <v>90.01</v>
      </c>
      <c r="F126" s="66">
        <v>150</v>
      </c>
      <c r="G126" s="66" t="s">
        <v>186</v>
      </c>
      <c r="H126" s="29">
        <v>7.27</v>
      </c>
      <c r="I126" s="29"/>
      <c r="J126" s="29">
        <f>ROUND('Exh CTM-7 (Rate Design)'!R108,2)</f>
        <v>9.1</v>
      </c>
      <c r="K126" s="29">
        <f>J126-H126</f>
        <v>1.83</v>
      </c>
      <c r="M126" s="29">
        <v>0.04</v>
      </c>
      <c r="N126" s="29"/>
      <c r="O126" s="29">
        <v>0.02</v>
      </c>
      <c r="P126" s="29"/>
      <c r="Q126" s="29">
        <v>0.06</v>
      </c>
      <c r="R126" s="29"/>
      <c r="S126" s="29">
        <f>ROUND(J126+M126+O126+Q126, 2)</f>
        <v>9.2200000000000006</v>
      </c>
    </row>
    <row r="127" spans="1:19" s="65" customFormat="1" ht="10.15" customHeight="1" x14ac:dyDescent="0.2">
      <c r="A127" s="66">
        <f>A126+1</f>
        <v>118</v>
      </c>
      <c r="B127" s="66">
        <v>53</v>
      </c>
      <c r="C127" s="109" t="s">
        <v>325</v>
      </c>
      <c r="D127" s="66" t="s">
        <v>303</v>
      </c>
      <c r="E127" s="66">
        <v>150.01</v>
      </c>
      <c r="F127" s="66">
        <v>240</v>
      </c>
      <c r="G127" s="66" t="s">
        <v>186</v>
      </c>
      <c r="H127" s="29">
        <v>8.7799999999999994</v>
      </c>
      <c r="I127" s="29"/>
      <c r="J127" s="29">
        <f>ROUND('Exh CTM-7 (Rate Design)'!R109,2)</f>
        <v>15.95</v>
      </c>
      <c r="K127" s="29">
        <f>J127-H127</f>
        <v>7.17</v>
      </c>
      <c r="M127" s="29">
        <v>7.0000000000000007E-2</v>
      </c>
      <c r="N127" s="29"/>
      <c r="O127" s="29">
        <v>0.03</v>
      </c>
      <c r="P127" s="29"/>
      <c r="Q127" s="29">
        <v>0.1</v>
      </c>
      <c r="R127" s="29"/>
      <c r="S127" s="29">
        <f>ROUND(J127+M127+O127+Q127, 2)</f>
        <v>16.149999999999999</v>
      </c>
    </row>
    <row r="128" spans="1:19" s="65" customFormat="1" ht="10.15" customHeight="1" x14ac:dyDescent="0.2">
      <c r="A128" s="66">
        <f>A127+1</f>
        <v>119</v>
      </c>
      <c r="B128" s="66">
        <v>53</v>
      </c>
      <c r="C128" s="109" t="s">
        <v>325</v>
      </c>
      <c r="D128" s="66" t="s">
        <v>304</v>
      </c>
      <c r="E128" s="66">
        <v>150.01</v>
      </c>
      <c r="F128" s="66">
        <v>240</v>
      </c>
      <c r="G128" s="66" t="s">
        <v>186</v>
      </c>
      <c r="H128" s="29">
        <v>10.299999999999999</v>
      </c>
      <c r="I128" s="29"/>
      <c r="J128" s="29">
        <f>ROUND('Exh CTM-7 (Rate Design)'!R110,2)</f>
        <v>15.95</v>
      </c>
      <c r="K128" s="29">
        <f>J128-H128</f>
        <v>5.65</v>
      </c>
      <c r="M128" s="29">
        <v>7.0000000000000007E-2</v>
      </c>
      <c r="N128" s="29"/>
      <c r="O128" s="29">
        <v>0.03</v>
      </c>
      <c r="P128" s="29"/>
      <c r="Q128" s="29">
        <v>0.1</v>
      </c>
      <c r="R128" s="29"/>
      <c r="S128" s="29">
        <f>ROUND(J128+M128+O128+Q128, 2)</f>
        <v>16.149999999999999</v>
      </c>
    </row>
    <row r="129" spans="1:19" s="65" customFormat="1" ht="10.15" customHeight="1" x14ac:dyDescent="0.2">
      <c r="A129" s="66">
        <f>A128+1</f>
        <v>120</v>
      </c>
      <c r="B129" s="66">
        <v>53</v>
      </c>
      <c r="C129" s="109" t="s">
        <v>325</v>
      </c>
      <c r="D129" s="66" t="s">
        <v>305</v>
      </c>
      <c r="E129" s="66">
        <v>150.01</v>
      </c>
      <c r="F129" s="66">
        <v>240</v>
      </c>
      <c r="G129" s="66" t="s">
        <v>186</v>
      </c>
      <c r="H129" s="29">
        <v>11.82</v>
      </c>
      <c r="I129" s="29"/>
      <c r="J129" s="29">
        <f>ROUND('Exh CTM-7 (Rate Design)'!R111,2)</f>
        <v>15.95</v>
      </c>
      <c r="K129" s="29">
        <f>J129-H129</f>
        <v>4.129999999999999</v>
      </c>
      <c r="M129" s="29">
        <v>7.0000000000000007E-2</v>
      </c>
      <c r="N129" s="29"/>
      <c r="O129" s="29">
        <v>0.03</v>
      </c>
      <c r="P129" s="29"/>
      <c r="Q129" s="29">
        <v>0.1</v>
      </c>
      <c r="R129" s="29"/>
      <c r="S129" s="29">
        <f>ROUND(J129+M129+O129+Q129, 2)</f>
        <v>16.149999999999999</v>
      </c>
    </row>
    <row r="130" spans="1:19" s="65" customFormat="1" ht="10.15" customHeight="1" x14ac:dyDescent="0.2">
      <c r="A130" s="66">
        <f>A129+1</f>
        <v>121</v>
      </c>
      <c r="B130" s="66">
        <v>53</v>
      </c>
      <c r="C130" s="109" t="s">
        <v>325</v>
      </c>
      <c r="D130" s="66" t="s">
        <v>306</v>
      </c>
      <c r="E130" s="66">
        <v>240.01</v>
      </c>
      <c r="F130" s="66">
        <v>340</v>
      </c>
      <c r="G130" s="66" t="s">
        <v>186</v>
      </c>
      <c r="H130" s="29">
        <v>13.34</v>
      </c>
      <c r="I130" s="29"/>
      <c r="J130" s="29">
        <f>ROUND('Exh CTM-7 (Rate Design)'!R112,2)</f>
        <v>21.13</v>
      </c>
      <c r="K130" s="29">
        <f>J130-H130</f>
        <v>7.7899999999999991</v>
      </c>
      <c r="M130" s="29">
        <v>0.1</v>
      </c>
      <c r="N130" s="29"/>
      <c r="O130" s="29">
        <v>0.05</v>
      </c>
      <c r="P130" s="29"/>
      <c r="Q130" s="29">
        <v>0.13</v>
      </c>
      <c r="R130" s="29"/>
      <c r="S130" s="29">
        <f>ROUND(J130+M130+O130+Q130, 2)</f>
        <v>21.41</v>
      </c>
    </row>
    <row r="131" spans="1:19" s="65" customFormat="1" ht="10.15" customHeight="1" x14ac:dyDescent="0.2">
      <c r="A131" s="66">
        <f>A130+1</f>
        <v>122</v>
      </c>
      <c r="B131" s="66">
        <v>53</v>
      </c>
      <c r="C131" s="109" t="s">
        <v>325</v>
      </c>
      <c r="D131" s="66" t="s">
        <v>307</v>
      </c>
      <c r="E131" s="66">
        <v>240.01</v>
      </c>
      <c r="F131" s="66">
        <v>340</v>
      </c>
      <c r="G131" s="66" t="s">
        <v>186</v>
      </c>
      <c r="H131" s="29">
        <v>14.85</v>
      </c>
      <c r="I131" s="29"/>
      <c r="J131" s="29">
        <f>ROUND('Exh CTM-7 (Rate Design)'!R113,2)</f>
        <v>21.13</v>
      </c>
      <c r="K131" s="29">
        <f>J131-H131</f>
        <v>6.2799999999999994</v>
      </c>
      <c r="M131" s="29">
        <v>0.1</v>
      </c>
      <c r="N131" s="29"/>
      <c r="O131" s="29">
        <v>0.05</v>
      </c>
      <c r="P131" s="29"/>
      <c r="Q131" s="29">
        <v>0.13</v>
      </c>
      <c r="R131" s="29"/>
      <c r="S131" s="29">
        <f>ROUND(J131+M131+O131+Q131, 2)</f>
        <v>21.41</v>
      </c>
    </row>
    <row r="132" spans="1:19" s="65" customFormat="1" ht="10.15" customHeight="1" x14ac:dyDescent="0.2">
      <c r="A132" s="66">
        <f>A131+1</f>
        <v>123</v>
      </c>
      <c r="B132" s="111"/>
      <c r="C132" s="112"/>
      <c r="D132" s="113"/>
      <c r="E132" s="113"/>
      <c r="F132" s="113"/>
      <c r="G132" s="113"/>
      <c r="H132" s="29"/>
      <c r="I132" s="29"/>
      <c r="J132" s="29"/>
      <c r="K132" s="29"/>
      <c r="M132" s="29"/>
      <c r="N132" s="29"/>
      <c r="O132" s="29"/>
      <c r="P132" s="29"/>
      <c r="Q132" s="29"/>
      <c r="R132" s="29"/>
      <c r="S132" s="29"/>
    </row>
    <row r="133" spans="1:19" s="65" customFormat="1" ht="10.15" customHeight="1" x14ac:dyDescent="0.2">
      <c r="A133" s="66">
        <f>A132+1</f>
        <v>124</v>
      </c>
      <c r="B133" s="66">
        <v>54</v>
      </c>
      <c r="C133" s="109" t="s">
        <v>326</v>
      </c>
      <c r="D133" s="66" t="s">
        <v>311</v>
      </c>
      <c r="E133" s="66">
        <v>30.01</v>
      </c>
      <c r="F133" s="66">
        <v>60</v>
      </c>
      <c r="G133" s="66" t="s">
        <v>186</v>
      </c>
      <c r="H133" s="29">
        <v>2.5099999999999998</v>
      </c>
      <c r="I133" s="29"/>
      <c r="J133" s="29">
        <f>ROUND('Exh CTM-7 (Rate Design)'!R115,2)</f>
        <v>3.73</v>
      </c>
      <c r="K133" s="29">
        <f>J133-H133</f>
        <v>1.2200000000000002</v>
      </c>
      <c r="M133" s="29">
        <v>0.02</v>
      </c>
      <c r="N133" s="29"/>
      <c r="O133" s="29">
        <v>0.01</v>
      </c>
      <c r="P133" s="29"/>
      <c r="Q133" s="29">
        <v>0.02</v>
      </c>
      <c r="R133" s="29"/>
      <c r="S133" s="29">
        <f>ROUND(J133+M133+O133+Q133, 2)</f>
        <v>3.78</v>
      </c>
    </row>
    <row r="134" spans="1:19" s="65" customFormat="1" ht="10.15" customHeight="1" x14ac:dyDescent="0.2">
      <c r="A134" s="66">
        <f>A133+1</f>
        <v>125</v>
      </c>
      <c r="B134" s="66">
        <v>54</v>
      </c>
      <c r="C134" s="109" t="s">
        <v>326</v>
      </c>
      <c r="D134" s="66" t="s">
        <v>312</v>
      </c>
      <c r="E134" s="66">
        <v>60.01</v>
      </c>
      <c r="F134" s="66">
        <v>90</v>
      </c>
      <c r="G134" s="66" t="s">
        <v>186</v>
      </c>
      <c r="H134" s="29">
        <v>3.55</v>
      </c>
      <c r="I134" s="29"/>
      <c r="J134" s="29">
        <f>ROUND('Exh CTM-7 (Rate Design)'!R116,2)</f>
        <v>6.01</v>
      </c>
      <c r="K134" s="29">
        <f>J134-H134</f>
        <v>2.46</v>
      </c>
      <c r="M134" s="29">
        <v>0.03</v>
      </c>
      <c r="N134" s="29"/>
      <c r="O134" s="29">
        <v>0.01</v>
      </c>
      <c r="P134" s="29"/>
      <c r="Q134" s="29">
        <v>0.04</v>
      </c>
      <c r="R134" s="29"/>
      <c r="S134" s="29">
        <f>ROUND(J134+M134+O134+Q134, 2)</f>
        <v>6.09</v>
      </c>
    </row>
    <row r="135" spans="1:19" s="65" customFormat="1" ht="10.15" customHeight="1" x14ac:dyDescent="0.2">
      <c r="A135" s="66">
        <f>A134+1</f>
        <v>126</v>
      </c>
      <c r="B135" s="66">
        <v>54</v>
      </c>
      <c r="C135" s="109" t="s">
        <v>326</v>
      </c>
      <c r="D135" s="66" t="s">
        <v>289</v>
      </c>
      <c r="E135" s="66">
        <v>90.01</v>
      </c>
      <c r="F135" s="66">
        <v>150</v>
      </c>
      <c r="G135" s="66" t="s">
        <v>186</v>
      </c>
      <c r="H135" s="29">
        <v>5.0600000000000005</v>
      </c>
      <c r="I135" s="29"/>
      <c r="J135" s="29">
        <f>ROUND('Exh CTM-7 (Rate Design)'!R117,2)</f>
        <v>9.1</v>
      </c>
      <c r="K135" s="29">
        <f>J135-H135</f>
        <v>4.0399999999999991</v>
      </c>
      <c r="M135" s="29">
        <v>0.04</v>
      </c>
      <c r="N135" s="29"/>
      <c r="O135" s="29">
        <v>0.02</v>
      </c>
      <c r="P135" s="29"/>
      <c r="Q135" s="29">
        <v>0.06</v>
      </c>
      <c r="R135" s="29"/>
      <c r="S135" s="29">
        <f>ROUND(J135+M135+O135+Q135, 2)</f>
        <v>9.2200000000000006</v>
      </c>
    </row>
    <row r="136" spans="1:19" s="65" customFormat="1" ht="10.15" customHeight="1" x14ac:dyDescent="0.2">
      <c r="A136" s="66">
        <f>A135+1</f>
        <v>127</v>
      </c>
      <c r="B136" s="66">
        <v>54</v>
      </c>
      <c r="C136" s="109" t="s">
        <v>326</v>
      </c>
      <c r="D136" s="66" t="s">
        <v>313</v>
      </c>
      <c r="E136" s="66">
        <v>90.01</v>
      </c>
      <c r="F136" s="66">
        <v>150</v>
      </c>
      <c r="G136" s="66" t="s">
        <v>186</v>
      </c>
      <c r="H136" s="29">
        <v>7.57</v>
      </c>
      <c r="I136" s="29"/>
      <c r="J136" s="29">
        <f>ROUND('Exh CTM-7 (Rate Design)'!R118,2)</f>
        <v>9.1</v>
      </c>
      <c r="K136" s="29">
        <f>J136-H136</f>
        <v>1.5299999999999994</v>
      </c>
      <c r="M136" s="29">
        <v>0.04</v>
      </c>
      <c r="N136" s="29"/>
      <c r="O136" s="29">
        <v>0.02</v>
      </c>
      <c r="P136" s="29"/>
      <c r="Q136" s="29">
        <v>0.06</v>
      </c>
      <c r="R136" s="29"/>
      <c r="S136" s="29">
        <f>ROUND(J136+M136+O136+Q136, 2)</f>
        <v>9.2200000000000006</v>
      </c>
    </row>
    <row r="137" spans="1:19" s="65" customFormat="1" ht="10.15" customHeight="1" x14ac:dyDescent="0.2">
      <c r="A137" s="66">
        <f>A136+1</f>
        <v>128</v>
      </c>
      <c r="B137" s="66">
        <v>54</v>
      </c>
      <c r="C137" s="109" t="s">
        <v>326</v>
      </c>
      <c r="D137" s="66" t="s">
        <v>314</v>
      </c>
      <c r="E137" s="66">
        <v>150.01</v>
      </c>
      <c r="F137" s="66">
        <v>240</v>
      </c>
      <c r="G137" s="66" t="s">
        <v>186</v>
      </c>
      <c r="H137" s="29">
        <v>10.110000000000001</v>
      </c>
      <c r="I137" s="29"/>
      <c r="J137" s="29">
        <f>ROUND('Exh CTM-7 (Rate Design)'!R119,2)</f>
        <v>15.95</v>
      </c>
      <c r="K137" s="29">
        <f>J137-H137</f>
        <v>5.8399999999999981</v>
      </c>
      <c r="M137" s="29">
        <v>7.0000000000000007E-2</v>
      </c>
      <c r="N137" s="29"/>
      <c r="O137" s="29">
        <v>0.03</v>
      </c>
      <c r="P137" s="29"/>
      <c r="Q137" s="29">
        <v>0.1</v>
      </c>
      <c r="R137" s="29"/>
      <c r="S137" s="29">
        <f>ROUND(J137+M137+O137+Q137, 2)</f>
        <v>16.149999999999999</v>
      </c>
    </row>
    <row r="138" spans="1:19" s="65" customFormat="1" ht="10.15" customHeight="1" x14ac:dyDescent="0.2">
      <c r="A138" s="66">
        <f>A137+1</f>
        <v>129</v>
      </c>
      <c r="B138" s="66">
        <v>54</v>
      </c>
      <c r="C138" s="109" t="s">
        <v>326</v>
      </c>
      <c r="D138" s="66" t="s">
        <v>315</v>
      </c>
      <c r="E138" s="66">
        <v>240.01</v>
      </c>
      <c r="F138" s="66">
        <v>340</v>
      </c>
      <c r="G138" s="66" t="s">
        <v>186</v>
      </c>
      <c r="H138" s="29">
        <v>12.620000000000001</v>
      </c>
      <c r="I138" s="29"/>
      <c r="J138" s="29">
        <f>ROUND('Exh CTM-7 (Rate Design)'!R120,2)</f>
        <v>21.13</v>
      </c>
      <c r="K138" s="29">
        <f>J138-H138</f>
        <v>8.509999999999998</v>
      </c>
      <c r="M138" s="29">
        <v>0.1</v>
      </c>
      <c r="N138" s="29"/>
      <c r="O138" s="29">
        <v>0.05</v>
      </c>
      <c r="P138" s="29"/>
      <c r="Q138" s="29">
        <v>0.13</v>
      </c>
      <c r="R138" s="29"/>
      <c r="S138" s="29">
        <f>ROUND(J138+M138+O138+Q138, 2)</f>
        <v>21.41</v>
      </c>
    </row>
    <row r="139" spans="1:19" s="65" customFormat="1" ht="10.15" customHeight="1" x14ac:dyDescent="0.2">
      <c r="A139" s="66">
        <f>A138+1</f>
        <v>130</v>
      </c>
      <c r="B139" s="66">
        <v>54</v>
      </c>
      <c r="C139" s="109" t="s">
        <v>326</v>
      </c>
      <c r="D139" s="66" t="s">
        <v>316</v>
      </c>
      <c r="E139" s="66">
        <v>240.01</v>
      </c>
      <c r="F139" s="66">
        <v>340</v>
      </c>
      <c r="G139" s="66" t="s">
        <v>186</v>
      </c>
      <c r="H139" s="29">
        <v>15.669999999999998</v>
      </c>
      <c r="I139" s="29"/>
      <c r="J139" s="29">
        <f>ROUND('Exh CTM-7 (Rate Design)'!R121,2)</f>
        <v>21.13</v>
      </c>
      <c r="K139" s="29">
        <f>J139-H139</f>
        <v>5.4600000000000009</v>
      </c>
      <c r="M139" s="29">
        <v>0.1</v>
      </c>
      <c r="N139" s="29"/>
      <c r="O139" s="29">
        <v>0.05</v>
      </c>
      <c r="P139" s="29"/>
      <c r="Q139" s="29">
        <v>0.13</v>
      </c>
      <c r="R139" s="29"/>
      <c r="S139" s="29">
        <f>ROUND(J139+M139+O139+Q139, 2)</f>
        <v>21.41</v>
      </c>
    </row>
    <row r="140" spans="1:19" s="65" customFormat="1" ht="10.15" customHeight="1" x14ac:dyDescent="0.2">
      <c r="A140" s="66">
        <f>A139+1</f>
        <v>131</v>
      </c>
      <c r="B140" s="66">
        <v>54</v>
      </c>
      <c r="C140" s="109" t="s">
        <v>326</v>
      </c>
      <c r="D140" s="66" t="s">
        <v>291</v>
      </c>
      <c r="E140" s="66">
        <v>340.01</v>
      </c>
      <c r="F140" s="66">
        <v>600</v>
      </c>
      <c r="G140" s="66" t="s">
        <v>186</v>
      </c>
      <c r="H140" s="29">
        <v>20.22</v>
      </c>
      <c r="I140" s="29"/>
      <c r="J140" s="29">
        <f>ROUND('Exh CTM-7 (Rate Design)'!R122,2)</f>
        <v>33.11</v>
      </c>
      <c r="K140" s="29">
        <f>J140-H140</f>
        <v>12.89</v>
      </c>
      <c r="M140" s="29">
        <v>0.15</v>
      </c>
      <c r="N140" s="29"/>
      <c r="O140" s="29">
        <v>7.0000000000000007E-2</v>
      </c>
      <c r="P140" s="29"/>
      <c r="Q140" s="29">
        <v>0.21</v>
      </c>
      <c r="R140" s="29"/>
      <c r="S140" s="29">
        <f>ROUND(J140+M140+O140+Q140, 2)</f>
        <v>33.54</v>
      </c>
    </row>
    <row r="141" spans="1:19" s="65" customFormat="1" ht="10.15" customHeight="1" x14ac:dyDescent="0.2">
      <c r="A141" s="66">
        <f>A140+1</f>
        <v>132</v>
      </c>
      <c r="B141" s="66">
        <v>54</v>
      </c>
      <c r="C141" s="109" t="s">
        <v>326</v>
      </c>
      <c r="D141" s="66" t="s">
        <v>318</v>
      </c>
      <c r="E141" s="66">
        <v>600.01</v>
      </c>
      <c r="F141" s="66">
        <v>1000</v>
      </c>
      <c r="G141" s="66" t="s">
        <v>186</v>
      </c>
      <c r="H141" s="29">
        <v>50.54</v>
      </c>
      <c r="I141" s="29"/>
      <c r="J141" s="29">
        <f>ROUND('Exh CTM-7 (Rate Design)'!R123,2)</f>
        <v>82.79</v>
      </c>
      <c r="K141" s="29">
        <f>J141-H141</f>
        <v>32.250000000000007</v>
      </c>
      <c r="M141" s="29">
        <v>0.37</v>
      </c>
      <c r="N141" s="29"/>
      <c r="O141" s="29">
        <v>0.18</v>
      </c>
      <c r="P141" s="29"/>
      <c r="Q141" s="29">
        <v>0.52</v>
      </c>
      <c r="R141" s="29"/>
      <c r="S141" s="29">
        <f>ROUND(J141+M141+O141+Q141, 2)</f>
        <v>83.86</v>
      </c>
    </row>
    <row r="142" spans="1:19" s="65" customFormat="1" ht="10.15" customHeight="1" x14ac:dyDescent="0.2">
      <c r="A142" s="66">
        <f>A141+1</f>
        <v>133</v>
      </c>
      <c r="B142" s="66"/>
      <c r="C142" s="109"/>
      <c r="D142" s="66"/>
      <c r="E142" s="66"/>
      <c r="F142" s="66"/>
      <c r="G142" s="66"/>
      <c r="H142" s="29"/>
      <c r="I142" s="29"/>
      <c r="J142" s="29"/>
      <c r="K142" s="29"/>
      <c r="M142" s="29"/>
      <c r="N142" s="29"/>
      <c r="O142" s="29"/>
      <c r="P142" s="29"/>
      <c r="Q142" s="29"/>
      <c r="R142" s="29"/>
      <c r="S142" s="29"/>
    </row>
    <row r="143" spans="1:19" s="65" customFormat="1" ht="10.15" customHeight="1" x14ac:dyDescent="0.2">
      <c r="A143" s="66">
        <f>A142+1</f>
        <v>134</v>
      </c>
      <c r="B143" s="66">
        <v>54</v>
      </c>
      <c r="C143" s="109" t="s">
        <v>327</v>
      </c>
      <c r="D143" s="66" t="s">
        <v>298</v>
      </c>
      <c r="E143" s="66">
        <v>0</v>
      </c>
      <c r="F143" s="66">
        <v>30</v>
      </c>
      <c r="G143" s="66" t="s">
        <v>186</v>
      </c>
      <c r="H143" s="29">
        <v>0.75</v>
      </c>
      <c r="I143" s="29"/>
      <c r="J143" s="29">
        <f>ROUND('Exh CTM-7 (Rate Design)'!R124,2)</f>
        <v>1.7</v>
      </c>
      <c r="K143" s="29">
        <f>J143-H143</f>
        <v>0.95</v>
      </c>
      <c r="M143" s="29">
        <v>0.01</v>
      </c>
      <c r="N143" s="29"/>
      <c r="O143" s="29">
        <v>0</v>
      </c>
      <c r="P143" s="29"/>
      <c r="Q143" s="29">
        <v>0.01</v>
      </c>
      <c r="R143" s="29"/>
      <c r="S143" s="29">
        <f>ROUND(J143+M143+O143+Q143, 2)</f>
        <v>1.72</v>
      </c>
    </row>
    <row r="144" spans="1:19" s="65" customFormat="1" ht="10.15" customHeight="1" x14ac:dyDescent="0.2">
      <c r="A144" s="66">
        <f>A143+1</f>
        <v>135</v>
      </c>
      <c r="B144" s="66">
        <v>54</v>
      </c>
      <c r="C144" s="109" t="s">
        <v>327</v>
      </c>
      <c r="D144" s="66" t="s">
        <v>328</v>
      </c>
      <c r="E144" s="66">
        <v>30.01</v>
      </c>
      <c r="F144" s="66">
        <v>60</v>
      </c>
      <c r="G144" s="66" t="s">
        <v>186</v>
      </c>
      <c r="H144" s="29">
        <v>2.27</v>
      </c>
      <c r="I144" s="29"/>
      <c r="J144" s="29">
        <f>ROUND('Exh CTM-7 (Rate Design)'!R125,2)</f>
        <v>3.73</v>
      </c>
      <c r="K144" s="29">
        <f>J144-H144</f>
        <v>1.46</v>
      </c>
      <c r="M144" s="29">
        <v>0.02</v>
      </c>
      <c r="N144" s="29"/>
      <c r="O144" s="29">
        <v>0.01</v>
      </c>
      <c r="P144" s="29"/>
      <c r="Q144" s="29">
        <v>0.02</v>
      </c>
      <c r="R144" s="29"/>
      <c r="S144" s="29">
        <f>ROUND(J144+M144+O144+Q144, 2)</f>
        <v>3.78</v>
      </c>
    </row>
    <row r="145" spans="1:19" s="65" customFormat="1" ht="10.15" customHeight="1" x14ac:dyDescent="0.2">
      <c r="A145" s="66">
        <f>A144+1</f>
        <v>136</v>
      </c>
      <c r="B145" s="66">
        <v>54</v>
      </c>
      <c r="C145" s="109" t="s">
        <v>327</v>
      </c>
      <c r="D145" s="66" t="s">
        <v>300</v>
      </c>
      <c r="E145" s="66">
        <v>60.01</v>
      </c>
      <c r="F145" s="66">
        <v>90</v>
      </c>
      <c r="G145" s="66" t="s">
        <v>186</v>
      </c>
      <c r="H145" s="29">
        <v>3.7800000000000002</v>
      </c>
      <c r="I145" s="29"/>
      <c r="J145" s="29">
        <f>ROUND('Exh CTM-7 (Rate Design)'!R126,2)</f>
        <v>6.01</v>
      </c>
      <c r="K145" s="29">
        <f>J145-H145</f>
        <v>2.2299999999999995</v>
      </c>
      <c r="M145" s="29">
        <v>0.03</v>
      </c>
      <c r="N145" s="29"/>
      <c r="O145" s="29">
        <v>0.01</v>
      </c>
      <c r="P145" s="29"/>
      <c r="Q145" s="29">
        <v>0.04</v>
      </c>
      <c r="R145" s="29"/>
      <c r="S145" s="29">
        <f>ROUND(J145+M145+O145+Q145, 2)</f>
        <v>6.09</v>
      </c>
    </row>
    <row r="146" spans="1:19" s="65" customFormat="1" ht="10.15" customHeight="1" x14ac:dyDescent="0.2">
      <c r="A146" s="66">
        <f>A145+1</f>
        <v>137</v>
      </c>
      <c r="B146" s="66">
        <v>54</v>
      </c>
      <c r="C146" s="109" t="s">
        <v>327</v>
      </c>
      <c r="D146" s="66" t="s">
        <v>301</v>
      </c>
      <c r="E146" s="66">
        <v>90.01</v>
      </c>
      <c r="F146" s="66">
        <v>150</v>
      </c>
      <c r="G146" s="66" t="s">
        <v>186</v>
      </c>
      <c r="H146" s="29">
        <v>5.3</v>
      </c>
      <c r="I146" s="29"/>
      <c r="J146" s="29">
        <f>ROUND('Exh CTM-7 (Rate Design)'!R127,2)</f>
        <v>9.1</v>
      </c>
      <c r="K146" s="29">
        <f>J146-H146</f>
        <v>3.8</v>
      </c>
      <c r="M146" s="29">
        <v>0.04</v>
      </c>
      <c r="N146" s="29"/>
      <c r="O146" s="29">
        <v>0.02</v>
      </c>
      <c r="P146" s="29"/>
      <c r="Q146" s="29">
        <v>0.06</v>
      </c>
      <c r="R146" s="29"/>
      <c r="S146" s="29">
        <f>ROUND(J146+M146+O146+Q146, 2)</f>
        <v>9.2200000000000006</v>
      </c>
    </row>
    <row r="147" spans="1:19" s="65" customFormat="1" ht="10.15" customHeight="1" x14ac:dyDescent="0.2">
      <c r="A147" s="66">
        <f>A146+1</f>
        <v>138</v>
      </c>
      <c r="B147" s="66">
        <v>54</v>
      </c>
      <c r="C147" s="109" t="s">
        <v>327</v>
      </c>
      <c r="D147" s="66" t="s">
        <v>302</v>
      </c>
      <c r="E147" s="66">
        <v>90.01</v>
      </c>
      <c r="F147" s="66">
        <v>150</v>
      </c>
      <c r="G147" s="66" t="s">
        <v>186</v>
      </c>
      <c r="H147" s="29">
        <v>6.8199999999999994</v>
      </c>
      <c r="I147" s="29"/>
      <c r="J147" s="29">
        <f>ROUND('Exh CTM-7 (Rate Design)'!R128,2)</f>
        <v>9.1</v>
      </c>
      <c r="K147" s="29">
        <f>J147-H147</f>
        <v>2.2800000000000002</v>
      </c>
      <c r="M147" s="29">
        <v>0.04</v>
      </c>
      <c r="N147" s="29"/>
      <c r="O147" s="29">
        <v>0.02</v>
      </c>
      <c r="P147" s="29"/>
      <c r="Q147" s="29">
        <v>0.06</v>
      </c>
      <c r="R147" s="29"/>
      <c r="S147" s="29">
        <f>ROUND(J147+M147+O147+Q147, 2)</f>
        <v>9.2200000000000006</v>
      </c>
    </row>
    <row r="148" spans="1:19" s="65" customFormat="1" ht="10.15" customHeight="1" x14ac:dyDescent="0.2">
      <c r="A148" s="66">
        <f>A147+1</f>
        <v>139</v>
      </c>
      <c r="B148" s="66">
        <v>54</v>
      </c>
      <c r="C148" s="109" t="s">
        <v>327</v>
      </c>
      <c r="D148" s="66" t="s">
        <v>303</v>
      </c>
      <c r="E148" s="66">
        <v>150.01</v>
      </c>
      <c r="F148" s="66">
        <v>240</v>
      </c>
      <c r="G148" s="66" t="s">
        <v>186</v>
      </c>
      <c r="H148" s="29">
        <v>8.33</v>
      </c>
      <c r="I148" s="29"/>
      <c r="J148" s="29">
        <f>ROUND('Exh CTM-7 (Rate Design)'!R129,2)</f>
        <v>15.95</v>
      </c>
      <c r="K148" s="29">
        <f>J148-H148</f>
        <v>7.6199999999999992</v>
      </c>
      <c r="M148" s="29">
        <v>7.0000000000000007E-2</v>
      </c>
      <c r="N148" s="29"/>
      <c r="O148" s="29">
        <v>0.03</v>
      </c>
      <c r="P148" s="29"/>
      <c r="Q148" s="29">
        <v>0.1</v>
      </c>
      <c r="R148" s="29"/>
      <c r="S148" s="29">
        <f>ROUND(J148+M148+O148+Q148, 2)</f>
        <v>16.149999999999999</v>
      </c>
    </row>
    <row r="149" spans="1:19" s="65" customFormat="1" ht="10.15" customHeight="1" x14ac:dyDescent="0.2">
      <c r="A149" s="66">
        <f>A148+1</f>
        <v>140</v>
      </c>
      <c r="B149" s="66">
        <v>54</v>
      </c>
      <c r="C149" s="109" t="s">
        <v>327</v>
      </c>
      <c r="D149" s="66" t="s">
        <v>304</v>
      </c>
      <c r="E149" s="66">
        <v>150.01</v>
      </c>
      <c r="F149" s="66">
        <v>240</v>
      </c>
      <c r="G149" s="66" t="s">
        <v>186</v>
      </c>
      <c r="H149" s="29">
        <v>9.85</v>
      </c>
      <c r="I149" s="29"/>
      <c r="J149" s="29">
        <f>ROUND('Exh CTM-7 (Rate Design)'!R130,2)</f>
        <v>15.95</v>
      </c>
      <c r="K149" s="29">
        <f>J149-H149</f>
        <v>6.1</v>
      </c>
      <c r="M149" s="29">
        <v>7.0000000000000007E-2</v>
      </c>
      <c r="N149" s="29"/>
      <c r="O149" s="29">
        <v>0.03</v>
      </c>
      <c r="P149" s="29"/>
      <c r="Q149" s="29">
        <v>0.1</v>
      </c>
      <c r="R149" s="29"/>
      <c r="S149" s="29">
        <f>ROUND(J149+M149+O149+Q149, 2)</f>
        <v>16.149999999999999</v>
      </c>
    </row>
    <row r="150" spans="1:19" s="65" customFormat="1" ht="10.15" customHeight="1" x14ac:dyDescent="0.2">
      <c r="A150" s="66">
        <f>A149+1</f>
        <v>141</v>
      </c>
      <c r="B150" s="66">
        <v>54</v>
      </c>
      <c r="C150" s="109" t="s">
        <v>327</v>
      </c>
      <c r="D150" s="66" t="s">
        <v>305</v>
      </c>
      <c r="E150" s="66">
        <v>150.01</v>
      </c>
      <c r="F150" s="66">
        <v>240</v>
      </c>
      <c r="G150" s="66" t="s">
        <v>186</v>
      </c>
      <c r="H150" s="29">
        <v>11.370000000000001</v>
      </c>
      <c r="I150" s="29"/>
      <c r="J150" s="29">
        <f>ROUND('Exh CTM-7 (Rate Design)'!R131,2)</f>
        <v>15.95</v>
      </c>
      <c r="K150" s="29">
        <f>J150-H150</f>
        <v>4.5799999999999983</v>
      </c>
      <c r="M150" s="29">
        <v>7.0000000000000007E-2</v>
      </c>
      <c r="N150" s="29"/>
      <c r="O150" s="29">
        <v>0.03</v>
      </c>
      <c r="P150" s="29"/>
      <c r="Q150" s="29">
        <v>0.1</v>
      </c>
      <c r="R150" s="29"/>
      <c r="S150" s="29">
        <f>ROUND(J150+M150+O150+Q150, 2)</f>
        <v>16.149999999999999</v>
      </c>
    </row>
    <row r="151" spans="1:19" s="65" customFormat="1" ht="10.15" customHeight="1" x14ac:dyDescent="0.2">
      <c r="A151" s="66">
        <f>A150+1</f>
        <v>142</v>
      </c>
      <c r="B151" s="66">
        <v>54</v>
      </c>
      <c r="C151" s="109" t="s">
        <v>327</v>
      </c>
      <c r="D151" s="66" t="s">
        <v>306</v>
      </c>
      <c r="E151" s="66">
        <v>240.01</v>
      </c>
      <c r="F151" s="66">
        <v>340</v>
      </c>
      <c r="G151" s="66" t="s">
        <v>186</v>
      </c>
      <c r="H151" s="29">
        <v>12.89</v>
      </c>
      <c r="I151" s="29"/>
      <c r="J151" s="29">
        <f>ROUND('Exh CTM-7 (Rate Design)'!R132,2)</f>
        <v>21.13</v>
      </c>
      <c r="K151" s="29">
        <f>J151-H151</f>
        <v>8.2399999999999984</v>
      </c>
      <c r="M151" s="29">
        <v>0.1</v>
      </c>
      <c r="N151" s="29"/>
      <c r="O151" s="29">
        <v>0.05</v>
      </c>
      <c r="P151" s="29"/>
      <c r="Q151" s="29">
        <v>0.13</v>
      </c>
      <c r="R151" s="29"/>
      <c r="S151" s="29">
        <f>ROUND(J151+M151+O151+Q151, 2)</f>
        <v>21.41</v>
      </c>
    </row>
    <row r="152" spans="1:19" s="65" customFormat="1" ht="10.15" customHeight="1" x14ac:dyDescent="0.2">
      <c r="A152" s="66">
        <f>A151+1</f>
        <v>143</v>
      </c>
      <c r="B152" s="66">
        <v>54</v>
      </c>
      <c r="C152" s="109" t="s">
        <v>327</v>
      </c>
      <c r="D152" s="66" t="s">
        <v>307</v>
      </c>
      <c r="E152" s="66">
        <v>240.01</v>
      </c>
      <c r="F152" s="66">
        <v>340</v>
      </c>
      <c r="G152" s="66" t="s">
        <v>186</v>
      </c>
      <c r="H152" s="29">
        <v>14.4</v>
      </c>
      <c r="I152" s="29"/>
      <c r="J152" s="29">
        <f>ROUND('Exh CTM-7 (Rate Design)'!R133,2)</f>
        <v>21.13</v>
      </c>
      <c r="K152" s="29">
        <f>J152-H152</f>
        <v>6.7299999999999986</v>
      </c>
      <c r="M152" s="29">
        <v>0.1</v>
      </c>
      <c r="N152" s="29"/>
      <c r="O152" s="29">
        <v>0.05</v>
      </c>
      <c r="P152" s="29"/>
      <c r="Q152" s="29">
        <v>0.13</v>
      </c>
      <c r="R152" s="29"/>
      <c r="S152" s="29">
        <f>ROUND(J152+M152+O152+Q152, 2)</f>
        <v>21.41</v>
      </c>
    </row>
    <row r="153" spans="1:19" s="65" customFormat="1" ht="10.15" customHeight="1" x14ac:dyDescent="0.2">
      <c r="A153" s="66">
        <f>A152+1</f>
        <v>144</v>
      </c>
      <c r="B153" s="111"/>
      <c r="C153" s="112"/>
      <c r="D153" s="113"/>
      <c r="E153" s="113"/>
      <c r="F153" s="113"/>
      <c r="G153" s="113"/>
      <c r="H153" s="29"/>
      <c r="I153" s="29"/>
      <c r="J153" s="29"/>
      <c r="K153" s="29"/>
      <c r="M153" s="29"/>
      <c r="N153" s="29"/>
      <c r="O153" s="29"/>
      <c r="P153" s="29"/>
      <c r="Q153" s="29"/>
      <c r="R153" s="29"/>
      <c r="S153" s="29"/>
    </row>
    <row r="154" spans="1:19" s="65" customFormat="1" ht="10.15" customHeight="1" x14ac:dyDescent="0.2">
      <c r="A154" s="66">
        <f>A153+1</f>
        <v>145</v>
      </c>
      <c r="B154" s="66" t="s">
        <v>284</v>
      </c>
      <c r="C154" s="109" t="s">
        <v>329</v>
      </c>
      <c r="D154" s="66" t="s">
        <v>312</v>
      </c>
      <c r="E154" s="66">
        <v>60.01</v>
      </c>
      <c r="F154" s="66">
        <v>90</v>
      </c>
      <c r="G154" s="66" t="s">
        <v>186</v>
      </c>
      <c r="H154" s="29">
        <v>15.010000000000002</v>
      </c>
      <c r="I154" s="29"/>
      <c r="J154" s="29">
        <f>ROUND('Exh CTM-7 (Rate Design)'!R135,2)</f>
        <v>13.16</v>
      </c>
      <c r="K154" s="29">
        <f>J154-H154</f>
        <v>-1.8500000000000014</v>
      </c>
      <c r="M154" s="29">
        <v>0.03</v>
      </c>
      <c r="N154" s="29"/>
      <c r="O154" s="29">
        <v>0.01</v>
      </c>
      <c r="P154" s="29"/>
      <c r="Q154" s="29">
        <v>0.04</v>
      </c>
      <c r="R154" s="29"/>
      <c r="S154" s="29">
        <f>ROUND(J154+M154+O154+Q154, 2)</f>
        <v>13.24</v>
      </c>
    </row>
    <row r="155" spans="1:19" s="65" customFormat="1" ht="10.15" customHeight="1" x14ac:dyDescent="0.2">
      <c r="A155" s="66">
        <f>A154+1</f>
        <v>146</v>
      </c>
      <c r="B155" s="66" t="s">
        <v>284</v>
      </c>
      <c r="C155" s="109" t="s">
        <v>329</v>
      </c>
      <c r="D155" s="66" t="s">
        <v>289</v>
      </c>
      <c r="E155" s="66">
        <v>90.01</v>
      </c>
      <c r="F155" s="66">
        <v>150</v>
      </c>
      <c r="G155" s="66" t="s">
        <v>186</v>
      </c>
      <c r="H155" s="29">
        <v>15.989999999999998</v>
      </c>
      <c r="I155" s="29"/>
      <c r="J155" s="29">
        <f>ROUND('Exh CTM-7 (Rate Design)'!R136,2)</f>
        <v>15.77</v>
      </c>
      <c r="K155" s="29">
        <f>J155-H155</f>
        <v>-0.21999999999999886</v>
      </c>
      <c r="M155" s="29">
        <v>0.04</v>
      </c>
      <c r="N155" s="29"/>
      <c r="O155" s="29">
        <v>0.02</v>
      </c>
      <c r="P155" s="29"/>
      <c r="Q155" s="29">
        <v>0.06</v>
      </c>
      <c r="R155" s="29"/>
      <c r="S155" s="29">
        <f>ROUND(J155+M155+O155+Q155, 2)</f>
        <v>15.89</v>
      </c>
    </row>
    <row r="156" spans="1:19" s="65" customFormat="1" ht="10.15" customHeight="1" x14ac:dyDescent="0.2">
      <c r="A156" s="66">
        <f>A155+1</f>
        <v>147</v>
      </c>
      <c r="B156" s="66" t="s">
        <v>284</v>
      </c>
      <c r="C156" s="109" t="s">
        <v>329</v>
      </c>
      <c r="D156" s="66" t="s">
        <v>313</v>
      </c>
      <c r="E156" s="66">
        <v>90.01</v>
      </c>
      <c r="F156" s="66">
        <v>150</v>
      </c>
      <c r="G156" s="66" t="s">
        <v>186</v>
      </c>
      <c r="H156" s="29">
        <v>18.52</v>
      </c>
      <c r="I156" s="29"/>
      <c r="J156" s="29">
        <f>ROUND('Exh CTM-7 (Rate Design)'!R137,2)</f>
        <v>15.77</v>
      </c>
      <c r="K156" s="29">
        <f>J156-H156</f>
        <v>-2.75</v>
      </c>
      <c r="M156" s="29">
        <v>0.04</v>
      </c>
      <c r="N156" s="29"/>
      <c r="O156" s="29">
        <v>0.02</v>
      </c>
      <c r="P156" s="29"/>
      <c r="Q156" s="29">
        <v>0.06</v>
      </c>
      <c r="R156" s="29"/>
      <c r="S156" s="29">
        <f>ROUND(J156+M156+O156+Q156, 2)</f>
        <v>15.89</v>
      </c>
    </row>
    <row r="157" spans="1:19" s="65" customFormat="1" ht="10.15" customHeight="1" x14ac:dyDescent="0.2">
      <c r="A157" s="66">
        <f>A156+1</f>
        <v>148</v>
      </c>
      <c r="B157" s="66" t="s">
        <v>284</v>
      </c>
      <c r="C157" s="109" t="s">
        <v>329</v>
      </c>
      <c r="D157" s="66" t="s">
        <v>314</v>
      </c>
      <c r="E157" s="66">
        <v>150.01</v>
      </c>
      <c r="F157" s="66">
        <v>240</v>
      </c>
      <c r="G157" s="66" t="s">
        <v>186</v>
      </c>
      <c r="H157" s="29">
        <v>21.56</v>
      </c>
      <c r="I157" s="29"/>
      <c r="J157" s="29">
        <f>ROUND('Exh CTM-7 (Rate Design)'!R138,2)</f>
        <v>23.16</v>
      </c>
      <c r="K157" s="29">
        <f>J157-H157</f>
        <v>1.6000000000000014</v>
      </c>
      <c r="M157" s="29">
        <v>7.0000000000000007E-2</v>
      </c>
      <c r="N157" s="29"/>
      <c r="O157" s="29">
        <v>0.03</v>
      </c>
      <c r="P157" s="29"/>
      <c r="Q157" s="29">
        <v>0.1</v>
      </c>
      <c r="R157" s="29"/>
      <c r="S157" s="29">
        <f>ROUND(J157+M157+O157+Q157, 2)</f>
        <v>23.36</v>
      </c>
    </row>
    <row r="158" spans="1:19" s="65" customFormat="1" ht="10.15" customHeight="1" x14ac:dyDescent="0.2">
      <c r="A158" s="66">
        <f>A157+1</f>
        <v>149</v>
      </c>
      <c r="B158" s="66" t="s">
        <v>284</v>
      </c>
      <c r="C158" s="109" t="s">
        <v>329</v>
      </c>
      <c r="D158" s="66" t="s">
        <v>315</v>
      </c>
      <c r="E158" s="66">
        <v>240.01</v>
      </c>
      <c r="F158" s="66">
        <v>340</v>
      </c>
      <c r="G158" s="66" t="s">
        <v>186</v>
      </c>
      <c r="H158" s="29">
        <v>24.249999999999996</v>
      </c>
      <c r="I158" s="29"/>
      <c r="J158" s="29">
        <f>ROUND('Exh CTM-7 (Rate Design)'!R139,2)</f>
        <v>28.46</v>
      </c>
      <c r="K158" s="29">
        <f>J158-H158</f>
        <v>4.2100000000000044</v>
      </c>
      <c r="M158" s="29">
        <v>0.1</v>
      </c>
      <c r="N158" s="29"/>
      <c r="O158" s="29">
        <v>0.05</v>
      </c>
      <c r="P158" s="29"/>
      <c r="Q158" s="29">
        <v>0.13</v>
      </c>
      <c r="R158" s="29"/>
      <c r="S158" s="29">
        <f>ROUND(J158+M158+O158+Q158, 2)</f>
        <v>28.74</v>
      </c>
    </row>
    <row r="159" spans="1:19" s="65" customFormat="1" ht="10.15" customHeight="1" x14ac:dyDescent="0.2">
      <c r="A159" s="66">
        <f>A158+1</f>
        <v>150</v>
      </c>
      <c r="B159" s="66" t="s">
        <v>284</v>
      </c>
      <c r="C159" s="109" t="s">
        <v>329</v>
      </c>
      <c r="D159" s="66" t="s">
        <v>291</v>
      </c>
      <c r="E159" s="66">
        <v>340.01</v>
      </c>
      <c r="F159" s="66">
        <v>600</v>
      </c>
      <c r="G159" s="66" t="s">
        <v>186</v>
      </c>
      <c r="H159" s="29">
        <v>32.93</v>
      </c>
      <c r="I159" s="29"/>
      <c r="J159" s="29">
        <f>ROUND('Exh CTM-7 (Rate Design)'!R140,2)</f>
        <v>39.47</v>
      </c>
      <c r="K159" s="29">
        <f>J159-H159</f>
        <v>6.5399999999999991</v>
      </c>
      <c r="M159" s="29">
        <v>0.15</v>
      </c>
      <c r="N159" s="29"/>
      <c r="O159" s="29">
        <v>7.0000000000000007E-2</v>
      </c>
      <c r="P159" s="29"/>
      <c r="Q159" s="29">
        <v>0.21</v>
      </c>
      <c r="R159" s="29"/>
      <c r="S159" s="29">
        <f>ROUND(J159+M159+O159+Q159, 2)</f>
        <v>39.9</v>
      </c>
    </row>
    <row r="160" spans="1:19" s="65" customFormat="1" ht="10.15" customHeight="1" x14ac:dyDescent="0.2">
      <c r="A160" s="66">
        <f>A159+1</f>
        <v>151</v>
      </c>
      <c r="B160" s="66"/>
      <c r="C160" s="109"/>
      <c r="D160" s="66"/>
      <c r="E160" s="66"/>
      <c r="F160" s="66"/>
      <c r="G160" s="66"/>
      <c r="H160" s="29"/>
      <c r="I160" s="29"/>
      <c r="J160" s="29"/>
      <c r="K160" s="29"/>
      <c r="M160" s="29"/>
      <c r="N160" s="29"/>
      <c r="O160" s="29"/>
      <c r="P160" s="29"/>
      <c r="Q160" s="29"/>
      <c r="R160" s="29"/>
      <c r="S160" s="29"/>
    </row>
    <row r="161" spans="1:19" s="65" customFormat="1" ht="10.15" customHeight="1" x14ac:dyDescent="0.2">
      <c r="A161" s="66">
        <f>A160+1</f>
        <v>152</v>
      </c>
      <c r="B161" s="66" t="s">
        <v>284</v>
      </c>
      <c r="C161" s="109" t="s">
        <v>330</v>
      </c>
      <c r="D161" s="66" t="s">
        <v>315</v>
      </c>
      <c r="E161" s="66">
        <v>240.01</v>
      </c>
      <c r="F161" s="66">
        <v>340</v>
      </c>
      <c r="G161" s="66" t="s">
        <v>186</v>
      </c>
      <c r="H161" s="29">
        <v>26.43</v>
      </c>
      <c r="I161" s="29"/>
      <c r="J161" s="29">
        <f>ROUND('Exh CTM-7 (Rate Design)'!R141,2)</f>
        <v>28.46</v>
      </c>
      <c r="K161" s="29">
        <f>J161-H161</f>
        <v>2.0300000000000011</v>
      </c>
      <c r="M161" s="29">
        <v>0.1</v>
      </c>
      <c r="N161" s="29"/>
      <c r="O161" s="29">
        <v>0.05</v>
      </c>
      <c r="P161" s="29"/>
      <c r="Q161" s="29">
        <v>0.13</v>
      </c>
      <c r="R161" s="29"/>
      <c r="S161" s="29">
        <f>ROUND(J161+M161+O161+Q161, 2)</f>
        <v>28.74</v>
      </c>
    </row>
    <row r="162" spans="1:19" s="65" customFormat="1" ht="10.15" customHeight="1" x14ac:dyDescent="0.2">
      <c r="A162" s="66">
        <f>A161+1</f>
        <v>153</v>
      </c>
      <c r="B162" s="66"/>
      <c r="C162" s="109"/>
      <c r="D162" s="66"/>
      <c r="E162" s="66"/>
      <c r="F162" s="66"/>
      <c r="G162" s="66"/>
      <c r="H162" s="29"/>
      <c r="I162" s="29"/>
      <c r="J162" s="29"/>
      <c r="K162" s="29"/>
      <c r="M162" s="29"/>
      <c r="N162" s="29"/>
      <c r="O162" s="29"/>
      <c r="P162" s="29"/>
      <c r="Q162" s="29"/>
      <c r="R162" s="29"/>
      <c r="S162" s="29"/>
    </row>
    <row r="163" spans="1:19" s="65" customFormat="1" ht="10.15" customHeight="1" x14ac:dyDescent="0.2">
      <c r="A163" s="66">
        <f>A162+1</f>
        <v>154</v>
      </c>
      <c r="B163" s="66" t="s">
        <v>284</v>
      </c>
      <c r="C163" s="109" t="s">
        <v>331</v>
      </c>
      <c r="D163" s="66" t="s">
        <v>298</v>
      </c>
      <c r="E163" s="66">
        <v>0</v>
      </c>
      <c r="F163" s="66">
        <v>30</v>
      </c>
      <c r="G163" s="66" t="s">
        <v>186</v>
      </c>
      <c r="H163" s="29">
        <v>8.2099999999999991</v>
      </c>
      <c r="I163" s="29"/>
      <c r="J163" s="29">
        <f>ROUND('Exh CTM-7 (Rate Design)'!R142,2)</f>
        <v>8.23</v>
      </c>
      <c r="K163" s="29">
        <f>J163-H163</f>
        <v>2.000000000000135E-2</v>
      </c>
      <c r="M163" s="29">
        <v>0.01</v>
      </c>
      <c r="N163" s="29"/>
      <c r="O163" s="29">
        <v>0</v>
      </c>
      <c r="P163" s="29"/>
      <c r="Q163" s="29">
        <v>0.01</v>
      </c>
      <c r="R163" s="29"/>
      <c r="S163" s="29">
        <f>ROUND(J163+M163+O163+Q163, 2)</f>
        <v>8.25</v>
      </c>
    </row>
    <row r="164" spans="1:19" s="65" customFormat="1" ht="10.15" customHeight="1" x14ac:dyDescent="0.2">
      <c r="A164" s="66">
        <f>A163+1</f>
        <v>155</v>
      </c>
      <c r="B164" s="66" t="s">
        <v>284</v>
      </c>
      <c r="C164" s="109" t="s">
        <v>331</v>
      </c>
      <c r="D164" s="66" t="s">
        <v>299</v>
      </c>
      <c r="E164" s="66">
        <v>30.01</v>
      </c>
      <c r="F164" s="66">
        <v>60</v>
      </c>
      <c r="G164" s="66" t="s">
        <v>186</v>
      </c>
      <c r="H164" s="29">
        <v>10.83</v>
      </c>
      <c r="I164" s="29"/>
      <c r="J164" s="29">
        <f>ROUND('Exh CTM-7 (Rate Design)'!R143,2)</f>
        <v>10.14</v>
      </c>
      <c r="K164" s="29">
        <f>J164-H164</f>
        <v>-0.6899999999999995</v>
      </c>
      <c r="M164" s="29">
        <v>0.02</v>
      </c>
      <c r="N164" s="29"/>
      <c r="O164" s="29">
        <v>0.01</v>
      </c>
      <c r="P164" s="29"/>
      <c r="Q164" s="29">
        <v>0.02</v>
      </c>
      <c r="R164" s="29"/>
      <c r="S164" s="29">
        <f>ROUND(J164+M164+O164+Q164, 2)</f>
        <v>10.19</v>
      </c>
    </row>
    <row r="165" spans="1:19" s="65" customFormat="1" ht="10.15" customHeight="1" x14ac:dyDescent="0.2">
      <c r="A165" s="66">
        <f>A164+1</f>
        <v>156</v>
      </c>
      <c r="B165" s="66" t="s">
        <v>284</v>
      </c>
      <c r="C165" s="109" t="s">
        <v>331</v>
      </c>
      <c r="D165" s="66" t="s">
        <v>300</v>
      </c>
      <c r="E165" s="66">
        <v>60.01</v>
      </c>
      <c r="F165" s="66">
        <v>90</v>
      </c>
      <c r="G165" s="66" t="s">
        <v>186</v>
      </c>
      <c r="H165" s="29">
        <v>14.999999999999998</v>
      </c>
      <c r="I165" s="29"/>
      <c r="J165" s="29">
        <f>ROUND('Exh CTM-7 (Rate Design)'!R144,2)</f>
        <v>13.16</v>
      </c>
      <c r="K165" s="29">
        <f>J165-H165</f>
        <v>-1.8399999999999981</v>
      </c>
      <c r="M165" s="29">
        <v>0.03</v>
      </c>
      <c r="N165" s="29"/>
      <c r="O165" s="29">
        <v>0.01</v>
      </c>
      <c r="P165" s="29"/>
      <c r="Q165" s="29">
        <v>0.04</v>
      </c>
      <c r="R165" s="29"/>
      <c r="S165" s="29">
        <f>ROUND(J165+M165+O165+Q165, 2)</f>
        <v>13.24</v>
      </c>
    </row>
    <row r="166" spans="1:19" s="65" customFormat="1" ht="10.15" customHeight="1" x14ac:dyDescent="0.2">
      <c r="A166" s="66">
        <f>A165+1</f>
        <v>157</v>
      </c>
      <c r="B166" s="66" t="s">
        <v>284</v>
      </c>
      <c r="C166" s="109" t="s">
        <v>331</v>
      </c>
      <c r="D166" s="66" t="s">
        <v>301</v>
      </c>
      <c r="E166" s="66">
        <v>90.01</v>
      </c>
      <c r="F166" s="66">
        <v>150</v>
      </c>
      <c r="G166" s="66" t="s">
        <v>186</v>
      </c>
      <c r="H166" s="29">
        <v>16.84</v>
      </c>
      <c r="I166" s="29"/>
      <c r="J166" s="29">
        <f>ROUND('Exh CTM-7 (Rate Design)'!R145,2)</f>
        <v>15.77</v>
      </c>
      <c r="K166" s="29">
        <f>J166-H166</f>
        <v>-1.0700000000000003</v>
      </c>
      <c r="M166" s="29">
        <v>0.04</v>
      </c>
      <c r="N166" s="29"/>
      <c r="O166" s="29">
        <v>0.02</v>
      </c>
      <c r="P166" s="29"/>
      <c r="Q166" s="29">
        <v>0.06</v>
      </c>
      <c r="R166" s="29"/>
      <c r="S166" s="29">
        <f>ROUND(J166+M166+O166+Q166, 2)</f>
        <v>15.89</v>
      </c>
    </row>
    <row r="167" spans="1:19" s="65" customFormat="1" ht="10.15" customHeight="1" x14ac:dyDescent="0.2">
      <c r="A167" s="66">
        <f>A166+1</f>
        <v>158</v>
      </c>
      <c r="B167" s="66" t="s">
        <v>284</v>
      </c>
      <c r="C167" s="109" t="s">
        <v>331</v>
      </c>
      <c r="D167" s="66" t="s">
        <v>302</v>
      </c>
      <c r="E167" s="66">
        <v>90.01</v>
      </c>
      <c r="F167" s="66">
        <v>150</v>
      </c>
      <c r="G167" s="66" t="s">
        <v>186</v>
      </c>
      <c r="H167" s="29">
        <v>20.240000000000002</v>
      </c>
      <c r="I167" s="29"/>
      <c r="J167" s="29">
        <f>ROUND('Exh CTM-7 (Rate Design)'!R146,2)</f>
        <v>15.77</v>
      </c>
      <c r="K167" s="29">
        <f>J167-H167</f>
        <v>-4.4700000000000024</v>
      </c>
      <c r="M167" s="29">
        <v>0.04</v>
      </c>
      <c r="N167" s="29"/>
      <c r="O167" s="29">
        <v>0.02</v>
      </c>
      <c r="P167" s="29"/>
      <c r="Q167" s="29">
        <v>0.06</v>
      </c>
      <c r="R167" s="29"/>
      <c r="S167" s="29">
        <f>ROUND(J167+M167+O167+Q167, 2)</f>
        <v>15.89</v>
      </c>
    </row>
    <row r="168" spans="1:19" s="65" customFormat="1" ht="10.15" customHeight="1" x14ac:dyDescent="0.2">
      <c r="A168" s="66">
        <f>A167+1</f>
        <v>159</v>
      </c>
      <c r="B168" s="66" t="s">
        <v>284</v>
      </c>
      <c r="C168" s="109" t="s">
        <v>331</v>
      </c>
      <c r="D168" s="66" t="s">
        <v>303</v>
      </c>
      <c r="E168" s="66">
        <v>150.01</v>
      </c>
      <c r="F168" s="66">
        <v>240</v>
      </c>
      <c r="G168" s="66" t="s">
        <v>186</v>
      </c>
      <c r="H168" s="29">
        <v>23.25</v>
      </c>
      <c r="I168" s="29"/>
      <c r="J168" s="29">
        <f>ROUND('Exh CTM-7 (Rate Design)'!R147,2)</f>
        <v>23.16</v>
      </c>
      <c r="K168" s="29">
        <f>J168-H168</f>
        <v>-8.9999999999999858E-2</v>
      </c>
      <c r="M168" s="29">
        <v>7.0000000000000007E-2</v>
      </c>
      <c r="N168" s="29"/>
      <c r="O168" s="29">
        <v>0.03</v>
      </c>
      <c r="P168" s="29"/>
      <c r="Q168" s="29">
        <v>0.1</v>
      </c>
      <c r="R168" s="29"/>
      <c r="S168" s="29">
        <f>ROUND(J168+M168+O168+Q168, 2)</f>
        <v>23.36</v>
      </c>
    </row>
    <row r="169" spans="1:19" s="65" customFormat="1" ht="10.15" customHeight="1" x14ac:dyDescent="0.2">
      <c r="A169" s="66">
        <f>A168+1</f>
        <v>160</v>
      </c>
      <c r="B169" s="66" t="s">
        <v>284</v>
      </c>
      <c r="C169" s="109" t="s">
        <v>331</v>
      </c>
      <c r="D169" s="66" t="s">
        <v>304</v>
      </c>
      <c r="E169" s="66">
        <v>150.01</v>
      </c>
      <c r="F169" s="66">
        <v>240</v>
      </c>
      <c r="G169" s="66" t="s">
        <v>186</v>
      </c>
      <c r="H169" s="29">
        <v>26.259999999999994</v>
      </c>
      <c r="I169" s="29"/>
      <c r="J169" s="29">
        <f>ROUND('Exh CTM-7 (Rate Design)'!R148,2)</f>
        <v>23.16</v>
      </c>
      <c r="K169" s="29">
        <f>J169-H169</f>
        <v>-3.0999999999999943</v>
      </c>
      <c r="M169" s="29">
        <v>7.0000000000000007E-2</v>
      </c>
      <c r="N169" s="29"/>
      <c r="O169" s="29">
        <v>0.03</v>
      </c>
      <c r="P169" s="29"/>
      <c r="Q169" s="29">
        <v>0.1</v>
      </c>
      <c r="R169" s="29"/>
      <c r="S169" s="29">
        <f>ROUND(J169+M169+O169+Q169, 2)</f>
        <v>23.36</v>
      </c>
    </row>
    <row r="170" spans="1:19" s="65" customFormat="1" ht="10.15" customHeight="1" x14ac:dyDescent="0.2">
      <c r="A170" s="66">
        <f>A169+1</f>
        <v>161</v>
      </c>
      <c r="B170" s="66" t="s">
        <v>284</v>
      </c>
      <c r="C170" s="109" t="s">
        <v>331</v>
      </c>
      <c r="D170" s="66" t="s">
        <v>305</v>
      </c>
      <c r="E170" s="66">
        <v>150.01</v>
      </c>
      <c r="F170" s="66">
        <v>240</v>
      </c>
      <c r="G170" s="66" t="s">
        <v>186</v>
      </c>
      <c r="H170" s="29">
        <v>29.27</v>
      </c>
      <c r="I170" s="29"/>
      <c r="J170" s="29">
        <f>ROUND('Exh CTM-7 (Rate Design)'!R149,2)</f>
        <v>23.16</v>
      </c>
      <c r="K170" s="29">
        <f>J170-H170</f>
        <v>-6.1099999999999994</v>
      </c>
      <c r="M170" s="29">
        <v>7.0000000000000007E-2</v>
      </c>
      <c r="N170" s="29"/>
      <c r="O170" s="29">
        <v>0.03</v>
      </c>
      <c r="P170" s="29"/>
      <c r="Q170" s="29">
        <v>0.1</v>
      </c>
      <c r="R170" s="29"/>
      <c r="S170" s="29">
        <f>ROUND(J170+M170+O170+Q170, 2)</f>
        <v>23.36</v>
      </c>
    </row>
    <row r="171" spans="1:19" s="65" customFormat="1" ht="10.15" customHeight="1" x14ac:dyDescent="0.2">
      <c r="A171" s="66">
        <f>A170+1</f>
        <v>162</v>
      </c>
      <c r="B171" s="66" t="s">
        <v>284</v>
      </c>
      <c r="C171" s="109" t="s">
        <v>331</v>
      </c>
      <c r="D171" s="66" t="s">
        <v>306</v>
      </c>
      <c r="E171" s="66">
        <v>240.01</v>
      </c>
      <c r="F171" s="66">
        <v>340</v>
      </c>
      <c r="G171" s="66" t="s">
        <v>186</v>
      </c>
      <c r="H171" s="29">
        <v>32.28</v>
      </c>
      <c r="I171" s="29"/>
      <c r="J171" s="29">
        <f>ROUND('Exh CTM-7 (Rate Design)'!R150,2)</f>
        <v>28.46</v>
      </c>
      <c r="K171" s="29">
        <f>J171-H171</f>
        <v>-3.8200000000000003</v>
      </c>
      <c r="M171" s="29">
        <v>0.1</v>
      </c>
      <c r="N171" s="29"/>
      <c r="O171" s="29">
        <v>0.05</v>
      </c>
      <c r="P171" s="29"/>
      <c r="Q171" s="29">
        <v>0.13</v>
      </c>
      <c r="R171" s="29"/>
      <c r="S171" s="29">
        <f>ROUND(J171+M171+O171+Q171, 2)</f>
        <v>28.74</v>
      </c>
    </row>
    <row r="172" spans="1:19" s="65" customFormat="1" ht="10.15" customHeight="1" x14ac:dyDescent="0.2">
      <c r="A172" s="66">
        <f>A171+1</f>
        <v>163</v>
      </c>
      <c r="B172" s="66" t="s">
        <v>284</v>
      </c>
      <c r="C172" s="109" t="s">
        <v>331</v>
      </c>
      <c r="D172" s="66" t="s">
        <v>307</v>
      </c>
      <c r="E172" s="66">
        <v>240.01</v>
      </c>
      <c r="F172" s="66">
        <v>340</v>
      </c>
      <c r="G172" s="66" t="s">
        <v>186</v>
      </c>
      <c r="H172" s="29">
        <v>35.29</v>
      </c>
      <c r="I172" s="29"/>
      <c r="J172" s="29">
        <f>ROUND('Exh CTM-7 (Rate Design)'!R151,2)</f>
        <v>28.46</v>
      </c>
      <c r="K172" s="29">
        <f>J172-H172</f>
        <v>-6.8299999999999983</v>
      </c>
      <c r="M172" s="29">
        <v>0.1</v>
      </c>
      <c r="N172" s="29"/>
      <c r="O172" s="29">
        <v>0.05</v>
      </c>
      <c r="P172" s="29"/>
      <c r="Q172" s="29">
        <v>0.13</v>
      </c>
      <c r="R172" s="29"/>
      <c r="S172" s="29">
        <f>ROUND(J172+M172+O172+Q172, 2)</f>
        <v>28.74</v>
      </c>
    </row>
    <row r="173" spans="1:19" s="65" customFormat="1" ht="10.15" customHeight="1" x14ac:dyDescent="0.2">
      <c r="A173" s="66">
        <f>A172+1</f>
        <v>164</v>
      </c>
      <c r="B173" s="111"/>
      <c r="C173" s="112"/>
      <c r="D173" s="113"/>
      <c r="E173" s="113"/>
      <c r="F173" s="113"/>
      <c r="G173" s="113"/>
      <c r="H173" s="29"/>
      <c r="I173" s="29"/>
      <c r="J173" s="29"/>
      <c r="K173" s="29"/>
      <c r="M173" s="29"/>
      <c r="N173" s="29"/>
      <c r="O173" s="29"/>
      <c r="P173" s="29"/>
      <c r="Q173" s="29"/>
      <c r="R173" s="29"/>
      <c r="S173" s="29"/>
    </row>
    <row r="174" spans="1:19" s="65" customFormat="1" ht="10.15" customHeight="1" x14ac:dyDescent="0.2">
      <c r="A174" s="66">
        <f>A173+1</f>
        <v>165</v>
      </c>
      <c r="B174" s="66">
        <v>55</v>
      </c>
      <c r="C174" s="109" t="s">
        <v>332</v>
      </c>
      <c r="D174" s="66" t="s">
        <v>333</v>
      </c>
      <c r="E174" s="66"/>
      <c r="F174" s="66"/>
      <c r="G174" s="66" t="s">
        <v>186</v>
      </c>
      <c r="H174" s="29">
        <v>5.29</v>
      </c>
      <c r="I174" s="29"/>
      <c r="J174" s="29">
        <f>ROUND('Exh CTM-7 (Rate Design)'!R188,2)</f>
        <v>5.14</v>
      </c>
      <c r="K174" s="29">
        <f>J174-H174</f>
        <v>-0.15000000000000036</v>
      </c>
      <c r="M174" s="29">
        <v>0</v>
      </c>
      <c r="N174" s="29"/>
      <c r="O174" s="29">
        <v>0</v>
      </c>
      <c r="P174" s="29"/>
      <c r="Q174" s="29">
        <v>0</v>
      </c>
      <c r="R174" s="29"/>
      <c r="S174" s="29">
        <f>ROUND(J174+M174+O174+Q174, 2)</f>
        <v>5.14</v>
      </c>
    </row>
    <row r="175" spans="1:19" s="65" customFormat="1" ht="10.15" customHeight="1" x14ac:dyDescent="0.2">
      <c r="A175" s="66">
        <f>A174+1</f>
        <v>166</v>
      </c>
      <c r="B175" s="66">
        <v>55</v>
      </c>
      <c r="C175" s="109" t="s">
        <v>332</v>
      </c>
      <c r="D175" s="66" t="s">
        <v>334</v>
      </c>
      <c r="E175" s="66"/>
      <c r="F175" s="66"/>
      <c r="G175" s="66" t="s">
        <v>186</v>
      </c>
      <c r="H175" s="29">
        <v>8.32</v>
      </c>
      <c r="I175" s="29"/>
      <c r="J175" s="29">
        <f>ROUND('Exh CTM-7 (Rate Design)'!R189,2)</f>
        <v>5.14</v>
      </c>
      <c r="K175" s="29">
        <f>J175-H175</f>
        <v>-3.1800000000000006</v>
      </c>
      <c r="M175" s="29">
        <v>0</v>
      </c>
      <c r="N175" s="29"/>
      <c r="O175" s="29">
        <v>0</v>
      </c>
      <c r="P175" s="29"/>
      <c r="Q175" s="29">
        <v>0</v>
      </c>
      <c r="R175" s="29"/>
      <c r="S175" s="29">
        <f>ROUND(J175+M175+O175+Q175, 2)</f>
        <v>5.14</v>
      </c>
    </row>
    <row r="176" spans="1:19" s="65" customFormat="1" ht="10.15" customHeight="1" x14ac:dyDescent="0.2">
      <c r="A176" s="66">
        <f>A175+1</f>
        <v>167</v>
      </c>
      <c r="B176" s="66"/>
      <c r="C176" s="109"/>
      <c r="D176" s="66"/>
      <c r="E176" s="66"/>
      <c r="F176" s="66"/>
      <c r="G176" s="66"/>
      <c r="H176" s="29"/>
      <c r="I176" s="29"/>
      <c r="J176" s="29"/>
      <c r="K176" s="29"/>
      <c r="M176" s="29"/>
      <c r="N176" s="29"/>
      <c r="O176" s="29"/>
      <c r="P176" s="29"/>
      <c r="Q176" s="29"/>
      <c r="R176" s="29"/>
      <c r="S176" s="29"/>
    </row>
    <row r="177" spans="1:19" s="65" customFormat="1" ht="10.15" customHeight="1" x14ac:dyDescent="0.2">
      <c r="A177" s="66">
        <f>A176+1</f>
        <v>168</v>
      </c>
      <c r="B177" s="66">
        <v>57</v>
      </c>
      <c r="C177" s="109" t="s">
        <v>335</v>
      </c>
      <c r="D177" s="66" t="s">
        <v>336</v>
      </c>
      <c r="E177" s="66"/>
      <c r="F177" s="66"/>
      <c r="G177" s="66" t="s">
        <v>188</v>
      </c>
      <c r="H177" s="30">
        <v>7.2709999999999997E-2</v>
      </c>
      <c r="I177" s="30"/>
      <c r="J177" s="30">
        <f>ROUND('Exh CTM-7 (Rate Design)'!$O$187,5)</f>
        <v>6.8879999999999997E-2</v>
      </c>
      <c r="K177" s="29">
        <f>J177-H177</f>
        <v>-3.8300000000000001E-3</v>
      </c>
      <c r="M177" s="30">
        <v>1.0300000000000001E-3</v>
      </c>
      <c r="N177" s="30"/>
      <c r="O177" s="30">
        <v>5.0000000000000001E-4</v>
      </c>
      <c r="P177" s="30"/>
      <c r="Q177" s="30">
        <v>1.4300000000000001E-3</v>
      </c>
      <c r="R177" s="30"/>
      <c r="S177" s="29">
        <f>ROUND(J177+M177+O177+Q177, 2)</f>
        <v>7.0000000000000007E-2</v>
      </c>
    </row>
    <row r="178" spans="1:19" s="65" customFormat="1" ht="10.15" customHeight="1" x14ac:dyDescent="0.2">
      <c r="A178" s="66">
        <f>A177+1</f>
        <v>169</v>
      </c>
      <c r="B178" s="66">
        <v>57</v>
      </c>
      <c r="C178" s="109" t="s">
        <v>335</v>
      </c>
      <c r="D178" s="66" t="s">
        <v>337</v>
      </c>
      <c r="E178" s="66" t="s">
        <v>187</v>
      </c>
      <c r="F178" s="66"/>
      <c r="G178" s="66"/>
      <c r="H178" s="29"/>
      <c r="I178" s="29"/>
      <c r="J178" s="29"/>
      <c r="K178" s="29"/>
      <c r="M178" s="29"/>
      <c r="N178" s="29"/>
      <c r="O178" s="29"/>
      <c r="P178" s="29"/>
      <c r="Q178" s="29"/>
      <c r="R178" s="29"/>
      <c r="S178" s="29"/>
    </row>
    <row r="179" spans="1:19" s="65" customFormat="1" ht="10.15" customHeight="1" x14ac:dyDescent="0.2">
      <c r="A179" s="66">
        <f>A178+1</f>
        <v>170</v>
      </c>
      <c r="B179" s="111"/>
      <c r="C179" s="112"/>
      <c r="D179" s="113"/>
      <c r="E179" s="113"/>
      <c r="F179" s="113"/>
      <c r="G179" s="113"/>
      <c r="H179" s="29"/>
      <c r="I179" s="29"/>
      <c r="J179" s="29"/>
      <c r="K179" s="29"/>
      <c r="M179" s="29"/>
      <c r="N179" s="29"/>
      <c r="O179" s="29"/>
      <c r="P179" s="29"/>
      <c r="Q179" s="29"/>
      <c r="R179" s="29"/>
      <c r="S179" s="29"/>
    </row>
    <row r="180" spans="1:19" s="65" customFormat="1" ht="10.15" customHeight="1" x14ac:dyDescent="0.2">
      <c r="A180" s="66">
        <f>A179+1</f>
        <v>171</v>
      </c>
      <c r="B180" s="66" t="s">
        <v>285</v>
      </c>
      <c r="C180" s="109" t="s">
        <v>338</v>
      </c>
      <c r="D180" s="66" t="s">
        <v>312</v>
      </c>
      <c r="E180" s="66">
        <v>60.01</v>
      </c>
      <c r="F180" s="66">
        <v>90</v>
      </c>
      <c r="G180" s="66" t="s">
        <v>186</v>
      </c>
      <c r="H180" s="29">
        <v>15.010000000000002</v>
      </c>
      <c r="I180" s="29"/>
      <c r="J180" s="29">
        <f>ROUND('Exh CTM-7 (Rate Design)'!R153,2)</f>
        <v>13.16</v>
      </c>
      <c r="K180" s="29">
        <f>J180-H180</f>
        <v>-1.8500000000000014</v>
      </c>
      <c r="M180" s="29">
        <v>0.03</v>
      </c>
      <c r="N180" s="29"/>
      <c r="O180" s="29">
        <v>0.01</v>
      </c>
      <c r="P180" s="29"/>
      <c r="Q180" s="29">
        <v>0.04</v>
      </c>
      <c r="R180" s="29"/>
      <c r="S180" s="29">
        <f>ROUND(J180+M180+O180+Q180, 2)</f>
        <v>13.24</v>
      </c>
    </row>
    <row r="181" spans="1:19" s="65" customFormat="1" ht="10.15" customHeight="1" x14ac:dyDescent="0.2">
      <c r="A181" s="66">
        <f>A180+1</f>
        <v>172</v>
      </c>
      <c r="B181" s="66" t="s">
        <v>285</v>
      </c>
      <c r="C181" s="109" t="s">
        <v>338</v>
      </c>
      <c r="D181" s="66" t="s">
        <v>289</v>
      </c>
      <c r="E181" s="66">
        <v>90.01</v>
      </c>
      <c r="F181" s="66">
        <v>150</v>
      </c>
      <c r="G181" s="66" t="s">
        <v>186</v>
      </c>
      <c r="H181" s="29">
        <v>15.989999999999998</v>
      </c>
      <c r="I181" s="29"/>
      <c r="J181" s="29">
        <f>ROUND('Exh CTM-7 (Rate Design)'!R154,2)</f>
        <v>15.77</v>
      </c>
      <c r="K181" s="29">
        <f>J181-H181</f>
        <v>-0.21999999999999886</v>
      </c>
      <c r="M181" s="29">
        <v>0.04</v>
      </c>
      <c r="N181" s="29"/>
      <c r="O181" s="29">
        <v>0.02</v>
      </c>
      <c r="P181" s="29"/>
      <c r="Q181" s="29">
        <v>0.06</v>
      </c>
      <c r="R181" s="29"/>
      <c r="S181" s="29">
        <f>ROUND(J181+M181+O181+Q181, 2)</f>
        <v>15.89</v>
      </c>
    </row>
    <row r="182" spans="1:19" s="65" customFormat="1" ht="10.15" customHeight="1" x14ac:dyDescent="0.2">
      <c r="A182" s="66">
        <f>A181+1</f>
        <v>173</v>
      </c>
      <c r="B182" s="66" t="s">
        <v>285</v>
      </c>
      <c r="C182" s="109" t="s">
        <v>338</v>
      </c>
      <c r="D182" s="66" t="s">
        <v>313</v>
      </c>
      <c r="E182" s="66">
        <v>90.01</v>
      </c>
      <c r="F182" s="66">
        <v>150</v>
      </c>
      <c r="G182" s="66" t="s">
        <v>186</v>
      </c>
      <c r="H182" s="29">
        <v>18.52</v>
      </c>
      <c r="I182" s="29"/>
      <c r="J182" s="29">
        <f>ROUND('Exh CTM-7 (Rate Design)'!R155,2)</f>
        <v>15.77</v>
      </c>
      <c r="K182" s="29">
        <f>J182-H182</f>
        <v>-2.75</v>
      </c>
      <c r="M182" s="29">
        <v>0.04</v>
      </c>
      <c r="N182" s="29"/>
      <c r="O182" s="29">
        <v>0.02</v>
      </c>
      <c r="P182" s="29"/>
      <c r="Q182" s="29">
        <v>0.06</v>
      </c>
      <c r="R182" s="29"/>
      <c r="S182" s="29">
        <f>ROUND(J182+M182+O182+Q182, 2)</f>
        <v>15.89</v>
      </c>
    </row>
    <row r="183" spans="1:19" s="65" customFormat="1" ht="10.15" customHeight="1" x14ac:dyDescent="0.2">
      <c r="A183" s="66">
        <f>A182+1</f>
        <v>174</v>
      </c>
      <c r="B183" s="66" t="s">
        <v>285</v>
      </c>
      <c r="C183" s="109" t="s">
        <v>338</v>
      </c>
      <c r="D183" s="66" t="s">
        <v>314</v>
      </c>
      <c r="E183" s="66">
        <v>150.01</v>
      </c>
      <c r="F183" s="66">
        <v>240</v>
      </c>
      <c r="G183" s="66" t="s">
        <v>186</v>
      </c>
      <c r="H183" s="29">
        <v>21.56</v>
      </c>
      <c r="I183" s="29"/>
      <c r="J183" s="29">
        <f>ROUND('Exh CTM-7 (Rate Design)'!R156,2)</f>
        <v>23.16</v>
      </c>
      <c r="K183" s="29">
        <f>J183-H183</f>
        <v>1.6000000000000014</v>
      </c>
      <c r="M183" s="29">
        <v>7.0000000000000007E-2</v>
      </c>
      <c r="N183" s="29"/>
      <c r="O183" s="29">
        <v>0.03</v>
      </c>
      <c r="P183" s="29"/>
      <c r="Q183" s="29">
        <v>0.1</v>
      </c>
      <c r="R183" s="29"/>
      <c r="S183" s="29">
        <f>ROUND(J183+M183+O183+Q183, 2)</f>
        <v>23.36</v>
      </c>
    </row>
    <row r="184" spans="1:19" s="65" customFormat="1" ht="10.15" customHeight="1" x14ac:dyDescent="0.2">
      <c r="A184" s="66">
        <f>A183+1</f>
        <v>175</v>
      </c>
      <c r="B184" s="66" t="s">
        <v>285</v>
      </c>
      <c r="C184" s="109" t="s">
        <v>338</v>
      </c>
      <c r="D184" s="66" t="s">
        <v>315</v>
      </c>
      <c r="E184" s="66">
        <v>240.01</v>
      </c>
      <c r="F184" s="66">
        <v>340</v>
      </c>
      <c r="G184" s="66" t="s">
        <v>186</v>
      </c>
      <c r="H184" s="29">
        <v>24.249999999999996</v>
      </c>
      <c r="I184" s="29"/>
      <c r="J184" s="29">
        <f>ROUND('Exh CTM-7 (Rate Design)'!R157,2)</f>
        <v>28.46</v>
      </c>
      <c r="K184" s="29">
        <f>J184-H184</f>
        <v>4.2100000000000044</v>
      </c>
      <c r="M184" s="29">
        <v>0.1</v>
      </c>
      <c r="N184" s="29"/>
      <c r="O184" s="29">
        <v>0.05</v>
      </c>
      <c r="P184" s="29"/>
      <c r="Q184" s="29">
        <v>0.13</v>
      </c>
      <c r="R184" s="29"/>
      <c r="S184" s="29">
        <f>ROUND(J184+M184+O184+Q184, 2)</f>
        <v>28.74</v>
      </c>
    </row>
    <row r="185" spans="1:19" s="65" customFormat="1" ht="10.15" customHeight="1" x14ac:dyDescent="0.2">
      <c r="A185" s="66">
        <f>A184+1</f>
        <v>176</v>
      </c>
      <c r="B185" s="66" t="s">
        <v>285</v>
      </c>
      <c r="C185" s="109" t="s">
        <v>338</v>
      </c>
      <c r="D185" s="66" t="s">
        <v>291</v>
      </c>
      <c r="E185" s="66">
        <v>340.01</v>
      </c>
      <c r="F185" s="66">
        <v>600</v>
      </c>
      <c r="G185" s="66" t="s">
        <v>186</v>
      </c>
      <c r="H185" s="29">
        <v>32.93</v>
      </c>
      <c r="I185" s="29"/>
      <c r="J185" s="29">
        <f>ROUND('Exh CTM-7 (Rate Design)'!R158,2)</f>
        <v>39.47</v>
      </c>
      <c r="K185" s="29">
        <f>J185-H185</f>
        <v>6.5399999999999991</v>
      </c>
      <c r="M185" s="29">
        <v>0.15</v>
      </c>
      <c r="N185" s="29"/>
      <c r="O185" s="29">
        <v>7.0000000000000007E-2</v>
      </c>
      <c r="P185" s="29"/>
      <c r="Q185" s="29">
        <v>0.21</v>
      </c>
      <c r="R185" s="29"/>
      <c r="S185" s="29">
        <f>ROUND(J185+M185+O185+Q185, 2)</f>
        <v>39.9</v>
      </c>
    </row>
    <row r="186" spans="1:19" s="65" customFormat="1" ht="10.15" customHeight="1" x14ac:dyDescent="0.2">
      <c r="A186" s="66">
        <f>A185+1</f>
        <v>177</v>
      </c>
      <c r="B186" s="111"/>
      <c r="C186" s="112"/>
      <c r="D186" s="113"/>
      <c r="E186" s="113"/>
      <c r="F186" s="113"/>
      <c r="G186" s="66"/>
      <c r="H186" s="29"/>
      <c r="I186" s="29"/>
      <c r="J186" s="29"/>
      <c r="K186" s="29"/>
      <c r="M186" s="29"/>
      <c r="N186" s="29"/>
      <c r="O186" s="29"/>
      <c r="P186" s="29"/>
      <c r="Q186" s="29"/>
      <c r="R186" s="29"/>
      <c r="S186" s="29"/>
    </row>
    <row r="187" spans="1:19" s="65" customFormat="1" ht="10.15" customHeight="1" x14ac:dyDescent="0.2">
      <c r="A187" s="66">
        <f>A186+1</f>
        <v>178</v>
      </c>
      <c r="B187" s="66" t="s">
        <v>285</v>
      </c>
      <c r="C187" s="109" t="s">
        <v>339</v>
      </c>
      <c r="D187" s="66" t="s">
        <v>290</v>
      </c>
      <c r="E187" s="66">
        <v>150.01</v>
      </c>
      <c r="F187" s="66">
        <v>240</v>
      </c>
      <c r="G187" s="66" t="s">
        <v>186</v>
      </c>
      <c r="H187" s="29">
        <v>22.000000000000004</v>
      </c>
      <c r="I187" s="29"/>
      <c r="J187" s="29">
        <f>ROUND('Exh CTM-7 (Rate Design)'!R159,2)</f>
        <v>23.16</v>
      </c>
      <c r="K187" s="29">
        <f>J187-H187</f>
        <v>1.1599999999999966</v>
      </c>
      <c r="M187" s="29">
        <v>7.0000000000000007E-2</v>
      </c>
      <c r="N187" s="29"/>
      <c r="O187" s="29">
        <v>0.03</v>
      </c>
      <c r="P187" s="29"/>
      <c r="Q187" s="29">
        <v>0.1</v>
      </c>
      <c r="R187" s="29"/>
      <c r="S187" s="29">
        <f>ROUND(J187+M187+O187+Q187, 2)</f>
        <v>23.36</v>
      </c>
    </row>
    <row r="188" spans="1:19" s="65" customFormat="1" ht="10.15" customHeight="1" x14ac:dyDescent="0.2">
      <c r="A188" s="66">
        <f>A187+1</f>
        <v>179</v>
      </c>
      <c r="B188" s="66" t="s">
        <v>285</v>
      </c>
      <c r="C188" s="109" t="s">
        <v>339</v>
      </c>
      <c r="D188" s="66" t="s">
        <v>315</v>
      </c>
      <c r="E188" s="66">
        <v>240.01</v>
      </c>
      <c r="F188" s="66">
        <v>340</v>
      </c>
      <c r="G188" s="66" t="s">
        <v>186</v>
      </c>
      <c r="H188" s="29">
        <v>26.43</v>
      </c>
      <c r="I188" s="29"/>
      <c r="J188" s="29">
        <f>ROUND('Exh CTM-7 (Rate Design)'!R160,2)</f>
        <v>28.46</v>
      </c>
      <c r="K188" s="29">
        <f>J188-H188</f>
        <v>2.0300000000000011</v>
      </c>
      <c r="M188" s="29">
        <v>0.1</v>
      </c>
      <c r="N188" s="29"/>
      <c r="O188" s="29">
        <v>0.05</v>
      </c>
      <c r="P188" s="29"/>
      <c r="Q188" s="29">
        <v>0.13</v>
      </c>
      <c r="R188" s="29"/>
      <c r="S188" s="29">
        <f>ROUND(J188+M188+O188+Q188, 2)</f>
        <v>28.74</v>
      </c>
    </row>
    <row r="189" spans="1:19" s="65" customFormat="1" ht="10.15" customHeight="1" x14ac:dyDescent="0.2">
      <c r="A189" s="66">
        <f>A188+1</f>
        <v>180</v>
      </c>
      <c r="B189" s="66" t="s">
        <v>285</v>
      </c>
      <c r="C189" s="109" t="s">
        <v>339</v>
      </c>
      <c r="D189" s="66" t="s">
        <v>291</v>
      </c>
      <c r="E189" s="66">
        <v>340.01</v>
      </c>
      <c r="F189" s="66">
        <v>600</v>
      </c>
      <c r="G189" s="66" t="s">
        <v>186</v>
      </c>
      <c r="H189" s="29">
        <v>34.07</v>
      </c>
      <c r="I189" s="29"/>
      <c r="J189" s="29">
        <f>ROUND('Exh CTM-7 (Rate Design)'!R161,2)</f>
        <v>39.47</v>
      </c>
      <c r="K189" s="29">
        <f>J189-H189</f>
        <v>5.3999999999999986</v>
      </c>
      <c r="M189" s="29">
        <v>0.15</v>
      </c>
      <c r="N189" s="29"/>
      <c r="O189" s="29">
        <v>7.0000000000000007E-2</v>
      </c>
      <c r="P189" s="29"/>
      <c r="Q189" s="29">
        <v>0.21</v>
      </c>
      <c r="R189" s="29"/>
      <c r="S189" s="29">
        <f>ROUND(J189+M189+O189+Q189, 2)</f>
        <v>39.9</v>
      </c>
    </row>
    <row r="190" spans="1:19" s="65" customFormat="1" ht="10.15" customHeight="1" x14ac:dyDescent="0.2">
      <c r="A190" s="66">
        <f>A189+1</f>
        <v>181</v>
      </c>
      <c r="B190" s="66" t="s">
        <v>285</v>
      </c>
      <c r="C190" s="109" t="s">
        <v>339</v>
      </c>
      <c r="D190" s="66" t="s">
        <v>318</v>
      </c>
      <c r="E190" s="66">
        <v>600.01</v>
      </c>
      <c r="F190" s="66">
        <v>1000</v>
      </c>
      <c r="G190" s="66" t="s">
        <v>186</v>
      </c>
      <c r="H190" s="29">
        <v>67.639999999999986</v>
      </c>
      <c r="I190" s="29"/>
      <c r="J190" s="29">
        <f>ROUND('Exh CTM-7 (Rate Design)'!R162,2)</f>
        <v>90.95</v>
      </c>
      <c r="K190" s="29">
        <f>J190-H190</f>
        <v>23.310000000000016</v>
      </c>
      <c r="M190" s="29">
        <v>0.37</v>
      </c>
      <c r="N190" s="29"/>
      <c r="O190" s="29">
        <v>0.18</v>
      </c>
      <c r="P190" s="29"/>
      <c r="Q190" s="29">
        <v>0.52</v>
      </c>
      <c r="R190" s="29"/>
      <c r="S190" s="29">
        <f>ROUND(J190+M190+O190+Q190, 2)</f>
        <v>92.02</v>
      </c>
    </row>
    <row r="191" spans="1:19" s="65" customFormat="1" ht="10.15" customHeight="1" x14ac:dyDescent="0.2">
      <c r="A191" s="66">
        <f>A190+1</f>
        <v>182</v>
      </c>
      <c r="B191" s="111"/>
      <c r="C191" s="112"/>
      <c r="D191" s="113"/>
      <c r="E191" s="113"/>
      <c r="F191" s="113"/>
      <c r="G191" s="66"/>
      <c r="H191" s="29"/>
      <c r="I191" s="29"/>
      <c r="J191" s="29"/>
      <c r="K191" s="29"/>
      <c r="M191" s="29"/>
      <c r="N191" s="29"/>
      <c r="O191" s="29"/>
      <c r="P191" s="29"/>
      <c r="Q191" s="29"/>
      <c r="R191" s="29"/>
      <c r="S191" s="29"/>
    </row>
    <row r="192" spans="1:19" s="65" customFormat="1" ht="10.15" customHeight="1" x14ac:dyDescent="0.2">
      <c r="A192" s="66">
        <f>A191+1</f>
        <v>183</v>
      </c>
      <c r="B192" s="66" t="s">
        <v>285</v>
      </c>
      <c r="C192" s="109" t="s">
        <v>340</v>
      </c>
      <c r="D192" s="66" t="s">
        <v>289</v>
      </c>
      <c r="E192" s="66">
        <v>90.01</v>
      </c>
      <c r="F192" s="66">
        <v>150</v>
      </c>
      <c r="G192" s="66" t="s">
        <v>186</v>
      </c>
      <c r="H192" s="29">
        <v>15.989999999999998</v>
      </c>
      <c r="I192" s="29"/>
      <c r="J192" s="29">
        <f>ROUND('Exh CTM-7 (Rate Design)'!R163,2)</f>
        <v>15.77</v>
      </c>
      <c r="K192" s="29">
        <f>J192-H192</f>
        <v>-0.21999999999999886</v>
      </c>
      <c r="M192" s="29">
        <v>0.04</v>
      </c>
      <c r="N192" s="29"/>
      <c r="O192" s="29">
        <v>0.02</v>
      </c>
      <c r="P192" s="29"/>
      <c r="Q192" s="29">
        <v>0.06</v>
      </c>
      <c r="R192" s="29"/>
      <c r="S192" s="29">
        <f>ROUND(J192+M192+O192+Q192, 2)</f>
        <v>15.89</v>
      </c>
    </row>
    <row r="193" spans="1:19" s="65" customFormat="1" ht="10.15" customHeight="1" x14ac:dyDescent="0.2">
      <c r="A193" s="66">
        <f>A192+1</f>
        <v>184</v>
      </c>
      <c r="B193" s="66" t="s">
        <v>285</v>
      </c>
      <c r="C193" s="109" t="s">
        <v>340</v>
      </c>
      <c r="D193" s="66" t="s">
        <v>313</v>
      </c>
      <c r="E193" s="66">
        <v>90.01</v>
      </c>
      <c r="F193" s="66">
        <v>150</v>
      </c>
      <c r="G193" s="66" t="s">
        <v>186</v>
      </c>
      <c r="H193" s="29">
        <v>18.52</v>
      </c>
      <c r="I193" s="29"/>
      <c r="J193" s="29">
        <f>ROUND('Exh CTM-7 (Rate Design)'!R164,2)</f>
        <v>15.77</v>
      </c>
      <c r="K193" s="29">
        <f>J193-H193</f>
        <v>-2.75</v>
      </c>
      <c r="M193" s="29">
        <v>0.04</v>
      </c>
      <c r="N193" s="29"/>
      <c r="O193" s="29">
        <v>0.02</v>
      </c>
      <c r="P193" s="29"/>
      <c r="Q193" s="29">
        <v>0.06</v>
      </c>
      <c r="R193" s="29"/>
      <c r="S193" s="29">
        <f>ROUND(J193+M193+O193+Q193, 2)</f>
        <v>15.89</v>
      </c>
    </row>
    <row r="194" spans="1:19" s="65" customFormat="1" ht="10.15" customHeight="1" x14ac:dyDescent="0.2">
      <c r="A194" s="66">
        <f>A193+1</f>
        <v>185</v>
      </c>
      <c r="B194" s="66" t="s">
        <v>285</v>
      </c>
      <c r="C194" s="109" t="s">
        <v>340</v>
      </c>
      <c r="D194" s="66" t="s">
        <v>314</v>
      </c>
      <c r="E194" s="66">
        <v>150.01</v>
      </c>
      <c r="F194" s="66">
        <v>240</v>
      </c>
      <c r="G194" s="66" t="s">
        <v>186</v>
      </c>
      <c r="H194" s="29">
        <v>21.56</v>
      </c>
      <c r="I194" s="29"/>
      <c r="J194" s="29">
        <f>ROUND('Exh CTM-7 (Rate Design)'!R165,2)</f>
        <v>23.16</v>
      </c>
      <c r="K194" s="29">
        <f>J194-H194</f>
        <v>1.6000000000000014</v>
      </c>
      <c r="M194" s="29">
        <v>7.0000000000000007E-2</v>
      </c>
      <c r="N194" s="29"/>
      <c r="O194" s="29">
        <v>0.03</v>
      </c>
      <c r="P194" s="29"/>
      <c r="Q194" s="29">
        <v>0.1</v>
      </c>
      <c r="R194" s="29"/>
      <c r="S194" s="29">
        <f>ROUND(J194+M194+O194+Q194, 2)</f>
        <v>23.36</v>
      </c>
    </row>
    <row r="195" spans="1:19" s="65" customFormat="1" ht="10.15" customHeight="1" x14ac:dyDescent="0.2">
      <c r="A195" s="66">
        <f>A194+1</f>
        <v>186</v>
      </c>
      <c r="B195" s="66" t="s">
        <v>285</v>
      </c>
      <c r="C195" s="109" t="s">
        <v>340</v>
      </c>
      <c r="D195" s="66" t="s">
        <v>315</v>
      </c>
      <c r="E195" s="66">
        <v>240.01</v>
      </c>
      <c r="F195" s="66">
        <v>340</v>
      </c>
      <c r="G195" s="66" t="s">
        <v>186</v>
      </c>
      <c r="H195" s="29">
        <v>24.249999999999996</v>
      </c>
      <c r="I195" s="29"/>
      <c r="J195" s="29">
        <f>ROUND('Exh CTM-7 (Rate Design)'!R166,2)</f>
        <v>28.46</v>
      </c>
      <c r="K195" s="29">
        <f>J195-H195</f>
        <v>4.2100000000000044</v>
      </c>
      <c r="M195" s="29">
        <v>0.1</v>
      </c>
      <c r="N195" s="29"/>
      <c r="O195" s="29">
        <v>0.05</v>
      </c>
      <c r="P195" s="29"/>
      <c r="Q195" s="29">
        <v>0.13</v>
      </c>
      <c r="R195" s="29"/>
      <c r="S195" s="29">
        <f>ROUND(J195+M195+O195+Q195, 2)</f>
        <v>28.74</v>
      </c>
    </row>
    <row r="196" spans="1:19" s="65" customFormat="1" ht="10.15" customHeight="1" x14ac:dyDescent="0.2">
      <c r="A196" s="66">
        <f>A195+1</f>
        <v>187</v>
      </c>
      <c r="B196" s="66" t="s">
        <v>285</v>
      </c>
      <c r="C196" s="109" t="s">
        <v>340</v>
      </c>
      <c r="D196" s="66" t="s">
        <v>291</v>
      </c>
      <c r="E196" s="66">
        <v>340.01</v>
      </c>
      <c r="F196" s="66">
        <v>600</v>
      </c>
      <c r="G196" s="66" t="s">
        <v>186</v>
      </c>
      <c r="H196" s="29">
        <v>32.93</v>
      </c>
      <c r="I196" s="29"/>
      <c r="J196" s="29">
        <f>ROUND('Exh CTM-7 (Rate Design)'!R167,2)</f>
        <v>39.47</v>
      </c>
      <c r="K196" s="29">
        <f>J196-H196</f>
        <v>6.5399999999999991</v>
      </c>
      <c r="M196" s="29">
        <v>0.15</v>
      </c>
      <c r="N196" s="29"/>
      <c r="O196" s="29">
        <v>7.0000000000000007E-2</v>
      </c>
      <c r="P196" s="29"/>
      <c r="Q196" s="29">
        <v>0.21</v>
      </c>
      <c r="R196" s="29"/>
      <c r="S196" s="29">
        <f>ROUND(J196+M196+O196+Q196, 2)</f>
        <v>39.9</v>
      </c>
    </row>
    <row r="197" spans="1:19" s="65" customFormat="1" ht="10.15" customHeight="1" x14ac:dyDescent="0.2">
      <c r="A197" s="66">
        <f>A196+1</f>
        <v>188</v>
      </c>
      <c r="B197" s="111"/>
      <c r="C197" s="112"/>
      <c r="D197" s="113"/>
      <c r="E197" s="113"/>
      <c r="F197" s="113"/>
      <c r="G197" s="113"/>
      <c r="H197" s="29"/>
      <c r="I197" s="29"/>
      <c r="J197" s="29"/>
      <c r="K197" s="29"/>
      <c r="M197" s="29"/>
      <c r="N197" s="29"/>
      <c r="O197" s="29"/>
      <c r="P197" s="29"/>
      <c r="Q197" s="29"/>
      <c r="R197" s="29"/>
      <c r="S197" s="29"/>
    </row>
    <row r="198" spans="1:19" s="65" customFormat="1" ht="10.15" customHeight="1" x14ac:dyDescent="0.2">
      <c r="A198" s="66">
        <f>A197+1</f>
        <v>189</v>
      </c>
      <c r="B198" s="66" t="s">
        <v>285</v>
      </c>
      <c r="C198" s="109" t="s">
        <v>341</v>
      </c>
      <c r="D198" s="66" t="s">
        <v>315</v>
      </c>
      <c r="E198" s="66">
        <v>240.01</v>
      </c>
      <c r="F198" s="66">
        <v>340</v>
      </c>
      <c r="G198" s="66" t="s">
        <v>186</v>
      </c>
      <c r="H198" s="29">
        <v>26.43</v>
      </c>
      <c r="I198" s="29"/>
      <c r="J198" s="29">
        <f>ROUND('Exh CTM-7 (Rate Design)'!R168,2)</f>
        <v>28.46</v>
      </c>
      <c r="K198" s="29">
        <f>J198-H198</f>
        <v>2.0300000000000011</v>
      </c>
      <c r="M198" s="29">
        <v>0.1</v>
      </c>
      <c r="N198" s="29"/>
      <c r="O198" s="29">
        <v>0.05</v>
      </c>
      <c r="P198" s="29"/>
      <c r="Q198" s="29">
        <v>0.13</v>
      </c>
      <c r="R198" s="29"/>
      <c r="S198" s="29">
        <f>ROUND(J198+M198+O198+Q198, 2)</f>
        <v>28.74</v>
      </c>
    </row>
    <row r="199" spans="1:19" s="65" customFormat="1" ht="10.15" customHeight="1" x14ac:dyDescent="0.2">
      <c r="A199" s="66">
        <f>A198+1</f>
        <v>190</v>
      </c>
      <c r="B199" s="66" t="s">
        <v>285</v>
      </c>
      <c r="C199" s="109" t="s">
        <v>341</v>
      </c>
      <c r="D199" s="66" t="s">
        <v>291</v>
      </c>
      <c r="E199" s="66">
        <v>340.01</v>
      </c>
      <c r="F199" s="66">
        <v>600</v>
      </c>
      <c r="G199" s="66" t="s">
        <v>186</v>
      </c>
      <c r="H199" s="29">
        <v>34.07</v>
      </c>
      <c r="I199" s="29"/>
      <c r="J199" s="29">
        <f>ROUND('Exh CTM-7 (Rate Design)'!R169,2)</f>
        <v>39.47</v>
      </c>
      <c r="K199" s="29">
        <f>J199-H199</f>
        <v>5.3999999999999986</v>
      </c>
      <c r="M199" s="29">
        <v>0.15</v>
      </c>
      <c r="N199" s="29"/>
      <c r="O199" s="29">
        <v>7.0000000000000007E-2</v>
      </c>
      <c r="P199" s="29"/>
      <c r="Q199" s="29">
        <v>0.21</v>
      </c>
      <c r="R199" s="29"/>
      <c r="S199" s="29">
        <f>ROUND(J199+M199+O199+Q199, 2)</f>
        <v>39.9</v>
      </c>
    </row>
    <row r="200" spans="1:19" s="65" customFormat="1" ht="10.15" customHeight="1" x14ac:dyDescent="0.2">
      <c r="A200" s="66">
        <f>A199+1</f>
        <v>191</v>
      </c>
      <c r="B200" s="111"/>
      <c r="C200" s="112"/>
      <c r="D200" s="113"/>
      <c r="E200" s="113"/>
      <c r="F200" s="113"/>
      <c r="G200" s="113"/>
      <c r="H200" s="29"/>
      <c r="I200" s="29"/>
      <c r="J200" s="29"/>
      <c r="K200" s="29"/>
      <c r="M200" s="29"/>
      <c r="N200" s="29"/>
      <c r="O200" s="29"/>
      <c r="P200" s="29"/>
      <c r="Q200" s="29"/>
      <c r="R200" s="29"/>
      <c r="S200" s="29"/>
    </row>
    <row r="201" spans="1:19" s="65" customFormat="1" ht="10.15" customHeight="1" x14ac:dyDescent="0.2">
      <c r="A201" s="66">
        <f>A200+1</f>
        <v>192</v>
      </c>
      <c r="B201" s="66" t="s">
        <v>285</v>
      </c>
      <c r="C201" s="109" t="s">
        <v>342</v>
      </c>
      <c r="D201" s="66" t="s">
        <v>298</v>
      </c>
      <c r="E201" s="66">
        <v>0</v>
      </c>
      <c r="F201" s="66">
        <v>30</v>
      </c>
      <c r="G201" s="66" t="s">
        <v>186</v>
      </c>
      <c r="H201" s="29">
        <v>8.9599999999999991</v>
      </c>
      <c r="I201" s="29"/>
      <c r="J201" s="29">
        <f>ROUND('Exh CTM-7 (Rate Design)'!R170,2)</f>
        <v>8.23</v>
      </c>
      <c r="K201" s="29">
        <f>J201-H201</f>
        <v>-0.72999999999999865</v>
      </c>
      <c r="M201" s="29">
        <v>0.01</v>
      </c>
      <c r="N201" s="29"/>
      <c r="O201" s="29">
        <v>0</v>
      </c>
      <c r="P201" s="29"/>
      <c r="Q201" s="29">
        <v>0.01</v>
      </c>
      <c r="R201" s="29"/>
      <c r="S201" s="29">
        <f>ROUND(J201+M201+O201+Q201, 2)</f>
        <v>8.25</v>
      </c>
    </row>
    <row r="202" spans="1:19" s="65" customFormat="1" ht="10.15" customHeight="1" x14ac:dyDescent="0.2">
      <c r="A202" s="66">
        <f>A201+1</f>
        <v>193</v>
      </c>
      <c r="B202" s="66" t="s">
        <v>285</v>
      </c>
      <c r="C202" s="109" t="s">
        <v>342</v>
      </c>
      <c r="D202" s="66" t="s">
        <v>299</v>
      </c>
      <c r="E202" s="66">
        <v>30.01</v>
      </c>
      <c r="F202" s="66">
        <v>60</v>
      </c>
      <c r="G202" s="66" t="s">
        <v>186</v>
      </c>
      <c r="H202" s="29">
        <v>12.030000000000001</v>
      </c>
      <c r="I202" s="29"/>
      <c r="J202" s="29">
        <f>ROUND('Exh CTM-7 (Rate Design)'!R171,2)</f>
        <v>10.14</v>
      </c>
      <c r="K202" s="29">
        <f>J202-H202</f>
        <v>-1.8900000000000006</v>
      </c>
      <c r="M202" s="29">
        <v>0.02</v>
      </c>
      <c r="N202" s="29"/>
      <c r="O202" s="29">
        <v>0.01</v>
      </c>
      <c r="P202" s="29"/>
      <c r="Q202" s="29">
        <v>0.02</v>
      </c>
      <c r="R202" s="29"/>
      <c r="S202" s="29">
        <f>ROUND(J202+M202+O202+Q202, 2)</f>
        <v>10.19</v>
      </c>
    </row>
    <row r="203" spans="1:19" s="65" customFormat="1" ht="10.15" customHeight="1" x14ac:dyDescent="0.2">
      <c r="A203" s="66">
        <f>A202+1</f>
        <v>194</v>
      </c>
      <c r="B203" s="66" t="s">
        <v>285</v>
      </c>
      <c r="C203" s="109" t="s">
        <v>342</v>
      </c>
      <c r="D203" s="66" t="s">
        <v>300</v>
      </c>
      <c r="E203" s="66">
        <v>60.01</v>
      </c>
      <c r="F203" s="66">
        <v>90</v>
      </c>
      <c r="G203" s="66" t="s">
        <v>186</v>
      </c>
      <c r="H203" s="29">
        <v>15.099999999999998</v>
      </c>
      <c r="I203" s="29"/>
      <c r="J203" s="29">
        <f>ROUND('Exh CTM-7 (Rate Design)'!R172,2)</f>
        <v>13.16</v>
      </c>
      <c r="K203" s="29">
        <f>J203-H203</f>
        <v>-1.9399999999999977</v>
      </c>
      <c r="M203" s="29">
        <v>0.03</v>
      </c>
      <c r="N203" s="29"/>
      <c r="O203" s="29">
        <v>0.01</v>
      </c>
      <c r="P203" s="29"/>
      <c r="Q203" s="29">
        <v>0.04</v>
      </c>
      <c r="R203" s="29"/>
      <c r="S203" s="29">
        <f>ROUND(J203+M203+O203+Q203, 2)</f>
        <v>13.24</v>
      </c>
    </row>
    <row r="204" spans="1:19" s="65" customFormat="1" ht="10.15" customHeight="1" x14ac:dyDescent="0.2">
      <c r="A204" s="66">
        <f>A203+1</f>
        <v>195</v>
      </c>
      <c r="B204" s="66" t="s">
        <v>285</v>
      </c>
      <c r="C204" s="109" t="s">
        <v>342</v>
      </c>
      <c r="D204" s="66" t="s">
        <v>301</v>
      </c>
      <c r="E204" s="66">
        <v>90.01</v>
      </c>
      <c r="F204" s="66">
        <v>150</v>
      </c>
      <c r="G204" s="66" t="s">
        <v>186</v>
      </c>
      <c r="H204" s="29">
        <v>18.18</v>
      </c>
      <c r="I204" s="29"/>
      <c r="J204" s="29">
        <f>ROUND('Exh CTM-7 (Rate Design)'!R173,2)</f>
        <v>15.77</v>
      </c>
      <c r="K204" s="29">
        <f>J204-H204</f>
        <v>-2.41</v>
      </c>
      <c r="M204" s="29">
        <v>0.04</v>
      </c>
      <c r="N204" s="29"/>
      <c r="O204" s="29">
        <v>0.02</v>
      </c>
      <c r="P204" s="29"/>
      <c r="Q204" s="29">
        <v>0.06</v>
      </c>
      <c r="R204" s="29"/>
      <c r="S204" s="29">
        <f>ROUND(J204+M204+O204+Q204, 2)</f>
        <v>15.89</v>
      </c>
    </row>
    <row r="205" spans="1:19" s="65" customFormat="1" ht="10.15" customHeight="1" x14ac:dyDescent="0.2">
      <c r="A205" s="66">
        <f>A204+1</f>
        <v>196</v>
      </c>
      <c r="B205" s="66" t="s">
        <v>285</v>
      </c>
      <c r="C205" s="109" t="s">
        <v>342</v>
      </c>
      <c r="D205" s="66" t="s">
        <v>302</v>
      </c>
      <c r="E205" s="66">
        <v>90.01</v>
      </c>
      <c r="F205" s="66">
        <v>150</v>
      </c>
      <c r="G205" s="66" t="s">
        <v>186</v>
      </c>
      <c r="H205" s="29">
        <v>21.26</v>
      </c>
      <c r="I205" s="29"/>
      <c r="J205" s="29">
        <f>ROUND('Exh CTM-7 (Rate Design)'!R174,2)</f>
        <v>15.77</v>
      </c>
      <c r="K205" s="29">
        <f>J205-H205</f>
        <v>-5.490000000000002</v>
      </c>
      <c r="M205" s="29">
        <v>0.04</v>
      </c>
      <c r="N205" s="29"/>
      <c r="O205" s="29">
        <v>0.02</v>
      </c>
      <c r="P205" s="29"/>
      <c r="Q205" s="29">
        <v>0.06</v>
      </c>
      <c r="R205" s="29"/>
      <c r="S205" s="29">
        <f>ROUND(J205+M205+O205+Q205, 2)</f>
        <v>15.89</v>
      </c>
    </row>
    <row r="206" spans="1:19" s="65" customFormat="1" ht="10.15" customHeight="1" x14ac:dyDescent="0.2">
      <c r="A206" s="66">
        <f>A205+1</f>
        <v>197</v>
      </c>
      <c r="B206" s="66" t="s">
        <v>285</v>
      </c>
      <c r="C206" s="109" t="s">
        <v>342</v>
      </c>
      <c r="D206" s="66" t="s">
        <v>303</v>
      </c>
      <c r="E206" s="66">
        <v>150.01</v>
      </c>
      <c r="F206" s="66">
        <v>240</v>
      </c>
      <c r="G206" s="66" t="s">
        <v>186</v>
      </c>
      <c r="H206" s="29">
        <v>24.33</v>
      </c>
      <c r="I206" s="29"/>
      <c r="J206" s="29">
        <f>ROUND('Exh CTM-7 (Rate Design)'!R175,2)</f>
        <v>23.16</v>
      </c>
      <c r="K206" s="29">
        <f>J206-H206</f>
        <v>-1.1699999999999982</v>
      </c>
      <c r="M206" s="29">
        <v>7.0000000000000007E-2</v>
      </c>
      <c r="N206" s="29"/>
      <c r="O206" s="29">
        <v>0.03</v>
      </c>
      <c r="P206" s="29"/>
      <c r="Q206" s="29">
        <v>0.1</v>
      </c>
      <c r="R206" s="29"/>
      <c r="S206" s="29">
        <f>ROUND(J206+M206+O206+Q206, 2)</f>
        <v>23.36</v>
      </c>
    </row>
    <row r="207" spans="1:19" s="65" customFormat="1" ht="10.15" customHeight="1" x14ac:dyDescent="0.2">
      <c r="A207" s="66">
        <f>A206+1</f>
        <v>198</v>
      </c>
      <c r="B207" s="66" t="s">
        <v>285</v>
      </c>
      <c r="C207" s="109" t="s">
        <v>342</v>
      </c>
      <c r="D207" s="66" t="s">
        <v>304</v>
      </c>
      <c r="E207" s="66">
        <v>150.01</v>
      </c>
      <c r="F207" s="66">
        <v>240</v>
      </c>
      <c r="G207" s="66" t="s">
        <v>186</v>
      </c>
      <c r="H207" s="29">
        <v>27.409999999999997</v>
      </c>
      <c r="I207" s="29"/>
      <c r="J207" s="29">
        <f>ROUND('Exh CTM-7 (Rate Design)'!R176,2)</f>
        <v>23.16</v>
      </c>
      <c r="K207" s="29">
        <f>J207-H207</f>
        <v>-4.2499999999999964</v>
      </c>
      <c r="M207" s="29">
        <v>7.0000000000000007E-2</v>
      </c>
      <c r="N207" s="29"/>
      <c r="O207" s="29">
        <v>0.03</v>
      </c>
      <c r="P207" s="29"/>
      <c r="Q207" s="29">
        <v>0.1</v>
      </c>
      <c r="R207" s="29"/>
      <c r="S207" s="29">
        <f>ROUND(J207+M207+O207+Q207, 2)</f>
        <v>23.36</v>
      </c>
    </row>
    <row r="208" spans="1:19" s="65" customFormat="1" ht="10.15" customHeight="1" x14ac:dyDescent="0.2">
      <c r="A208" s="66">
        <f>A207+1</f>
        <v>199</v>
      </c>
      <c r="B208" s="66" t="s">
        <v>285</v>
      </c>
      <c r="C208" s="109" t="s">
        <v>342</v>
      </c>
      <c r="D208" s="66" t="s">
        <v>305</v>
      </c>
      <c r="E208" s="66">
        <v>150.01</v>
      </c>
      <c r="F208" s="66">
        <v>240</v>
      </c>
      <c r="G208" s="66" t="s">
        <v>186</v>
      </c>
      <c r="H208" s="29">
        <v>30.49</v>
      </c>
      <c r="I208" s="29"/>
      <c r="J208" s="29">
        <f>ROUND('Exh CTM-7 (Rate Design)'!R177,2)</f>
        <v>23.16</v>
      </c>
      <c r="K208" s="29">
        <f>J208-H208</f>
        <v>-7.3299999999999983</v>
      </c>
      <c r="M208" s="29">
        <v>7.0000000000000007E-2</v>
      </c>
      <c r="N208" s="29"/>
      <c r="O208" s="29">
        <v>0.03</v>
      </c>
      <c r="P208" s="29"/>
      <c r="Q208" s="29">
        <v>0.1</v>
      </c>
      <c r="R208" s="29"/>
      <c r="S208" s="29">
        <f>ROUND(J208+M208+O208+Q208, 2)</f>
        <v>23.36</v>
      </c>
    </row>
    <row r="209" spans="1:19" s="65" customFormat="1" ht="10.15" customHeight="1" x14ac:dyDescent="0.2">
      <c r="A209" s="66">
        <f>A208+1</f>
        <v>200</v>
      </c>
      <c r="B209" s="66" t="s">
        <v>285</v>
      </c>
      <c r="C209" s="109" t="s">
        <v>342</v>
      </c>
      <c r="D209" s="66" t="s">
        <v>306</v>
      </c>
      <c r="E209" s="66">
        <v>240.01</v>
      </c>
      <c r="F209" s="66">
        <v>340</v>
      </c>
      <c r="G209" s="66" t="s">
        <v>186</v>
      </c>
      <c r="H209" s="29">
        <v>33.57</v>
      </c>
      <c r="I209" s="29"/>
      <c r="J209" s="29">
        <f>ROUND('Exh CTM-7 (Rate Design)'!R178,2)</f>
        <v>28.46</v>
      </c>
      <c r="K209" s="29">
        <f>J209-H209</f>
        <v>-5.1099999999999994</v>
      </c>
      <c r="M209" s="29">
        <v>0.1</v>
      </c>
      <c r="N209" s="29"/>
      <c r="O209" s="29">
        <v>0.05</v>
      </c>
      <c r="P209" s="29"/>
      <c r="Q209" s="29">
        <v>0.13</v>
      </c>
      <c r="R209" s="29"/>
      <c r="S209" s="29">
        <f>ROUND(J209+M209+O209+Q209, 2)</f>
        <v>28.74</v>
      </c>
    </row>
    <row r="210" spans="1:19" s="65" customFormat="1" ht="10.15" customHeight="1" x14ac:dyDescent="0.2">
      <c r="A210" s="66">
        <f>A209+1</f>
        <v>201</v>
      </c>
      <c r="B210" s="66" t="s">
        <v>285</v>
      </c>
      <c r="C210" s="109" t="s">
        <v>342</v>
      </c>
      <c r="D210" s="66" t="s">
        <v>307</v>
      </c>
      <c r="E210" s="66">
        <v>240.01</v>
      </c>
      <c r="F210" s="66">
        <v>340</v>
      </c>
      <c r="G210" s="66" t="s">
        <v>186</v>
      </c>
      <c r="H210" s="29">
        <v>36.65</v>
      </c>
      <c r="I210" s="29"/>
      <c r="J210" s="29">
        <f>ROUND('Exh CTM-7 (Rate Design)'!R179,2)</f>
        <v>28.46</v>
      </c>
      <c r="K210" s="29">
        <f>J210-H210</f>
        <v>-8.1899999999999977</v>
      </c>
      <c r="M210" s="29">
        <v>0.1</v>
      </c>
      <c r="N210" s="29"/>
      <c r="O210" s="29">
        <v>0.05</v>
      </c>
      <c r="P210" s="29"/>
      <c r="Q210" s="29">
        <v>0.13</v>
      </c>
      <c r="R210" s="29"/>
      <c r="S210" s="29">
        <f>ROUND(J210+M210+O210+Q210, 2)</f>
        <v>28.74</v>
      </c>
    </row>
    <row r="211" spans="1:19" s="65" customFormat="1" ht="10.15" customHeight="1" x14ac:dyDescent="0.2">
      <c r="A211" s="66">
        <f>A210+1</f>
        <v>202</v>
      </c>
      <c r="B211" s="66" t="s">
        <v>285</v>
      </c>
      <c r="C211" s="109" t="s">
        <v>342</v>
      </c>
      <c r="D211" s="66" t="s">
        <v>343</v>
      </c>
      <c r="E211" s="66">
        <v>340.01</v>
      </c>
      <c r="F211" s="66">
        <v>600</v>
      </c>
      <c r="G211" s="66" t="s">
        <v>186</v>
      </c>
      <c r="H211" s="29">
        <v>43.31</v>
      </c>
      <c r="I211" s="29"/>
      <c r="J211" s="29">
        <f>ROUND('Exh CTM-7 (Rate Design)'!R180,2)</f>
        <v>39.47</v>
      </c>
      <c r="K211" s="29">
        <f>J211-H211</f>
        <v>-3.8400000000000034</v>
      </c>
      <c r="M211" s="29">
        <v>0.15</v>
      </c>
      <c r="N211" s="29"/>
      <c r="O211" s="29">
        <v>7.0000000000000007E-2</v>
      </c>
      <c r="P211" s="29"/>
      <c r="Q211" s="29">
        <v>0.21</v>
      </c>
      <c r="R211" s="29"/>
      <c r="S211" s="29">
        <f>ROUND(J211+M211+O211+Q211, 2)</f>
        <v>39.9</v>
      </c>
    </row>
    <row r="212" spans="1:19" s="65" customFormat="1" ht="10.15" customHeight="1" x14ac:dyDescent="0.2">
      <c r="A212" s="66">
        <f>A211+1</f>
        <v>203</v>
      </c>
      <c r="B212" s="66" t="s">
        <v>285</v>
      </c>
      <c r="C212" s="109" t="s">
        <v>342</v>
      </c>
      <c r="D212" s="66" t="s">
        <v>344</v>
      </c>
      <c r="E212" s="66">
        <v>340.01</v>
      </c>
      <c r="F212" s="66">
        <v>600</v>
      </c>
      <c r="G212" s="66" t="s">
        <v>186</v>
      </c>
      <c r="H212" s="29">
        <v>53.570000000000007</v>
      </c>
      <c r="I212" s="29"/>
      <c r="J212" s="29">
        <f>ROUND('Exh CTM-7 (Rate Design)'!R181,2)</f>
        <v>39.47</v>
      </c>
      <c r="K212" s="29">
        <f>J212-H212</f>
        <v>-14.100000000000009</v>
      </c>
      <c r="M212" s="29">
        <v>0.15</v>
      </c>
      <c r="N212" s="29"/>
      <c r="O212" s="29">
        <v>7.0000000000000007E-2</v>
      </c>
      <c r="P212" s="29"/>
      <c r="Q212" s="29">
        <v>0.21</v>
      </c>
      <c r="R212" s="29"/>
      <c r="S212" s="29">
        <f>ROUND(J212+M212+O212+Q212, 2)</f>
        <v>39.9</v>
      </c>
    </row>
    <row r="213" spans="1:19" s="65" customFormat="1" ht="10.15" customHeight="1" x14ac:dyDescent="0.2">
      <c r="A213" s="66">
        <f>A212+1</f>
        <v>204</v>
      </c>
      <c r="B213" s="66" t="s">
        <v>285</v>
      </c>
      <c r="C213" s="109" t="s">
        <v>342</v>
      </c>
      <c r="D213" s="66" t="s">
        <v>345</v>
      </c>
      <c r="E213" s="66">
        <v>340.01</v>
      </c>
      <c r="F213" s="66">
        <v>600</v>
      </c>
      <c r="G213" s="66" t="s">
        <v>186</v>
      </c>
      <c r="H213" s="29">
        <v>63.82</v>
      </c>
      <c r="I213" s="29"/>
      <c r="J213" s="29">
        <f>ROUND('Exh CTM-7 (Rate Design)'!R182,2)</f>
        <v>39.47</v>
      </c>
      <c r="K213" s="29">
        <f>J213-H213</f>
        <v>-24.35</v>
      </c>
      <c r="M213" s="29">
        <v>0.15</v>
      </c>
      <c r="N213" s="29"/>
      <c r="O213" s="29">
        <v>7.0000000000000007E-2</v>
      </c>
      <c r="P213" s="29"/>
      <c r="Q213" s="29">
        <v>0.21</v>
      </c>
      <c r="R213" s="29"/>
      <c r="S213" s="29">
        <f>ROUND(J213+M213+O213+Q213, 2)</f>
        <v>39.9</v>
      </c>
    </row>
    <row r="214" spans="1:19" s="65" customFormat="1" ht="10.15" customHeight="1" x14ac:dyDescent="0.2">
      <c r="A214" s="66">
        <f>A213+1</f>
        <v>205</v>
      </c>
      <c r="B214" s="66" t="s">
        <v>285</v>
      </c>
      <c r="C214" s="109" t="s">
        <v>342</v>
      </c>
      <c r="D214" s="66" t="s">
        <v>346</v>
      </c>
      <c r="E214" s="66">
        <v>600.01</v>
      </c>
      <c r="F214" s="66">
        <v>1000</v>
      </c>
      <c r="G214" s="66" t="s">
        <v>186</v>
      </c>
      <c r="H214" s="29">
        <v>74.069999999999993</v>
      </c>
      <c r="I214" s="29"/>
      <c r="J214" s="29">
        <f>ROUND('Exh CTM-7 (Rate Design)'!R183,2)</f>
        <v>90.95</v>
      </c>
      <c r="K214" s="29">
        <f>J214-H214</f>
        <v>16.88000000000001</v>
      </c>
      <c r="M214" s="29">
        <v>0.37</v>
      </c>
      <c r="N214" s="29"/>
      <c r="O214" s="29">
        <v>0.18</v>
      </c>
      <c r="P214" s="29"/>
      <c r="Q214" s="29">
        <v>0.52</v>
      </c>
      <c r="R214" s="29"/>
      <c r="S214" s="29">
        <f>ROUND(J214+M214+O214+Q214, 2)</f>
        <v>92.02</v>
      </c>
    </row>
    <row r="215" spans="1:19" s="65" customFormat="1" ht="10.15" customHeight="1" x14ac:dyDescent="0.2">
      <c r="A215" s="66">
        <f>A214+1</f>
        <v>206</v>
      </c>
      <c r="B215" s="66" t="s">
        <v>285</v>
      </c>
      <c r="C215" s="109" t="s">
        <v>342</v>
      </c>
      <c r="D215" s="66" t="s">
        <v>347</v>
      </c>
      <c r="E215" s="66">
        <v>600.01</v>
      </c>
      <c r="F215" s="66">
        <v>1000</v>
      </c>
      <c r="G215" s="66" t="s">
        <v>186</v>
      </c>
      <c r="H215" s="29">
        <v>84.329999999999984</v>
      </c>
      <c r="I215" s="29"/>
      <c r="J215" s="29">
        <f>ROUND('Exh CTM-7 (Rate Design)'!R184,2)</f>
        <v>90.95</v>
      </c>
      <c r="K215" s="29">
        <f>J215-H215</f>
        <v>6.6200000000000188</v>
      </c>
      <c r="M215" s="29">
        <v>0.37</v>
      </c>
      <c r="N215" s="29"/>
      <c r="O215" s="29">
        <v>0.18</v>
      </c>
      <c r="P215" s="29"/>
      <c r="Q215" s="29">
        <v>0.52</v>
      </c>
      <c r="R215" s="29"/>
      <c r="S215" s="29">
        <f>ROUND(J215+M215+O215+Q215, 2)</f>
        <v>92.02</v>
      </c>
    </row>
    <row r="216" spans="1:19" s="65" customFormat="1" ht="10.15" customHeight="1" x14ac:dyDescent="0.2">
      <c r="A216" s="66">
        <f>A215+1</f>
        <v>207</v>
      </c>
      <c r="B216" s="66" t="s">
        <v>285</v>
      </c>
      <c r="C216" s="109" t="s">
        <v>342</v>
      </c>
      <c r="D216" s="66" t="s">
        <v>348</v>
      </c>
      <c r="E216" s="66">
        <v>600.01</v>
      </c>
      <c r="F216" s="66">
        <v>1000</v>
      </c>
      <c r="G216" s="66" t="s">
        <v>186</v>
      </c>
      <c r="H216" s="29">
        <v>94.6</v>
      </c>
      <c r="I216" s="29"/>
      <c r="J216" s="29">
        <f>ROUND('Exh CTM-7 (Rate Design)'!R185,2)</f>
        <v>90.95</v>
      </c>
      <c r="K216" s="29">
        <f>J216-H216</f>
        <v>-3.6499999999999915</v>
      </c>
      <c r="M216" s="29">
        <v>0.37</v>
      </c>
      <c r="N216" s="29"/>
      <c r="O216" s="29">
        <v>0.18</v>
      </c>
      <c r="P216" s="29"/>
      <c r="Q216" s="29">
        <v>0.52</v>
      </c>
      <c r="R216" s="29"/>
      <c r="S216" s="29">
        <f>ROUND(J216+M216+O216+Q216, 2)</f>
        <v>92.02</v>
      </c>
    </row>
    <row r="217" spans="1:19" s="65" customFormat="1" ht="10.15" customHeight="1" x14ac:dyDescent="0.2">
      <c r="A217" s="66">
        <f>A216+1</f>
        <v>208</v>
      </c>
      <c r="B217" s="111"/>
      <c r="C217" s="112"/>
      <c r="D217" s="113"/>
      <c r="E217" s="113"/>
      <c r="F217" s="113"/>
      <c r="G217" s="113"/>
      <c r="H217" s="29"/>
      <c r="I217" s="29"/>
      <c r="J217" s="29"/>
      <c r="K217" s="29"/>
      <c r="M217" s="110"/>
      <c r="O217" s="110"/>
      <c r="Q217" s="110"/>
      <c r="S217" s="110"/>
    </row>
    <row r="218" spans="1:19" s="65" customFormat="1" ht="10.15" customHeight="1" x14ac:dyDescent="0.2">
      <c r="A218" s="66">
        <f>A217+1</f>
        <v>209</v>
      </c>
      <c r="B218" s="66" t="s">
        <v>285</v>
      </c>
      <c r="C218" s="109" t="s">
        <v>332</v>
      </c>
      <c r="D218" s="66" t="s">
        <v>334</v>
      </c>
      <c r="E218" s="66"/>
      <c r="F218" s="66"/>
      <c r="G218" s="66" t="s">
        <v>185</v>
      </c>
      <c r="H218" s="29">
        <v>8.32</v>
      </c>
      <c r="I218" s="29"/>
      <c r="J218" s="29">
        <f>ROUND('Exh CTM-7 (Rate Design)'!R190,2)</f>
        <v>5.14</v>
      </c>
      <c r="K218" s="29">
        <f>J218-H218</f>
        <v>-3.1800000000000006</v>
      </c>
      <c r="M218" s="29">
        <v>0</v>
      </c>
      <c r="N218" s="29"/>
      <c r="O218" s="29">
        <v>0</v>
      </c>
      <c r="P218" s="29"/>
      <c r="Q218" s="29">
        <v>0</v>
      </c>
      <c r="R218" s="29"/>
      <c r="S218" s="29">
        <f>ROUND(J218+M218+O218+Q218, 2)</f>
        <v>5.14</v>
      </c>
    </row>
    <row r="219" spans="1:19" s="65" customFormat="1" ht="10.15" customHeight="1" x14ac:dyDescent="0.2">
      <c r="A219" s="66"/>
      <c r="B219" s="111"/>
      <c r="C219" s="112"/>
      <c r="D219" s="113"/>
      <c r="E219" s="113"/>
      <c r="F219" s="113"/>
      <c r="G219" s="113"/>
      <c r="H219" s="113"/>
      <c r="I219" s="113"/>
      <c r="J219" s="110"/>
      <c r="K219" s="110"/>
      <c r="M219" s="110"/>
      <c r="O219" s="110"/>
      <c r="Q219" s="110"/>
      <c r="S219" s="110"/>
    </row>
    <row r="220" spans="1:19" s="65" customFormat="1" ht="10.15" customHeight="1" x14ac:dyDescent="0.2">
      <c r="A220" s="66"/>
      <c r="B220" s="119"/>
      <c r="C220" s="112"/>
      <c r="D220" s="113"/>
      <c r="E220" s="113"/>
      <c r="F220" s="113"/>
      <c r="G220" s="113"/>
      <c r="H220" s="113"/>
      <c r="I220" s="113"/>
      <c r="J220" s="110"/>
      <c r="K220" s="110"/>
      <c r="M220" s="110"/>
      <c r="O220" s="110"/>
      <c r="Q220" s="110"/>
      <c r="S220" s="110"/>
    </row>
    <row r="221" spans="1:19" s="65" customFormat="1" ht="10.15" customHeight="1" x14ac:dyDescent="0.2">
      <c r="A221" s="66"/>
      <c r="B221" s="111"/>
      <c r="C221" s="112"/>
      <c r="D221" s="113"/>
      <c r="E221" s="113"/>
      <c r="F221" s="113"/>
      <c r="G221" s="113"/>
      <c r="H221" s="113"/>
      <c r="I221" s="113"/>
      <c r="J221" s="110"/>
      <c r="K221" s="110"/>
      <c r="M221" s="110"/>
      <c r="O221" s="110"/>
      <c r="Q221" s="110"/>
      <c r="S221" s="110"/>
    </row>
    <row r="222" spans="1:19" s="65" customFormat="1" ht="10.15" customHeight="1" x14ac:dyDescent="0.2">
      <c r="A222" s="66"/>
      <c r="B222" s="111"/>
      <c r="C222" s="112"/>
      <c r="D222" s="113"/>
      <c r="E222" s="113"/>
      <c r="F222" s="113"/>
      <c r="G222" s="113"/>
      <c r="H222" s="113"/>
      <c r="I222" s="113"/>
      <c r="J222" s="110"/>
      <c r="K222" s="110"/>
      <c r="M222" s="110"/>
      <c r="O222" s="110"/>
      <c r="Q222" s="110"/>
      <c r="S222" s="110"/>
    </row>
    <row r="223" spans="1:19" s="65" customFormat="1" ht="10.15" customHeight="1" x14ac:dyDescent="0.2">
      <c r="A223" s="66"/>
      <c r="B223" s="111"/>
      <c r="C223" s="112"/>
      <c r="D223" s="113"/>
      <c r="E223" s="113"/>
      <c r="F223" s="113"/>
      <c r="G223" s="113"/>
      <c r="H223" s="113"/>
      <c r="I223" s="113"/>
      <c r="J223" s="110"/>
      <c r="K223" s="110"/>
      <c r="M223" s="110"/>
      <c r="O223" s="110"/>
      <c r="Q223" s="110"/>
      <c r="S223" s="110"/>
    </row>
    <row r="224" spans="1:19" s="65" customFormat="1" ht="10.15" customHeight="1" x14ac:dyDescent="0.2">
      <c r="A224" s="66"/>
      <c r="B224" s="111"/>
      <c r="C224" s="112"/>
      <c r="D224" s="113"/>
      <c r="E224" s="113"/>
      <c r="F224" s="113"/>
      <c r="G224" s="113"/>
      <c r="H224" s="113"/>
      <c r="I224" s="113"/>
      <c r="J224" s="110"/>
      <c r="K224" s="110"/>
      <c r="M224" s="110"/>
      <c r="O224" s="110"/>
      <c r="Q224" s="110"/>
      <c r="S224" s="110"/>
    </row>
    <row r="225" spans="1:19" s="65" customFormat="1" ht="10.15" customHeight="1" x14ac:dyDescent="0.2">
      <c r="A225" s="66"/>
      <c r="B225" s="111"/>
      <c r="C225" s="112"/>
      <c r="D225" s="113"/>
      <c r="E225" s="113"/>
      <c r="F225" s="113"/>
      <c r="G225" s="113"/>
      <c r="H225" s="113"/>
      <c r="I225" s="113"/>
      <c r="J225" s="110"/>
      <c r="K225" s="110"/>
      <c r="M225" s="110"/>
      <c r="O225" s="110"/>
      <c r="Q225" s="110"/>
      <c r="S225" s="110"/>
    </row>
    <row r="226" spans="1:19" s="65" customFormat="1" ht="10.15" customHeight="1" x14ac:dyDescent="0.2">
      <c r="A226" s="66"/>
      <c r="B226" s="111"/>
      <c r="C226" s="112"/>
      <c r="D226" s="113"/>
      <c r="E226" s="113"/>
      <c r="F226" s="113"/>
      <c r="G226" s="113"/>
      <c r="H226" s="113"/>
      <c r="I226" s="113"/>
      <c r="J226" s="110"/>
      <c r="K226" s="110"/>
      <c r="M226" s="110"/>
      <c r="O226" s="110"/>
      <c r="Q226" s="110"/>
      <c r="S226" s="110"/>
    </row>
    <row r="227" spans="1:19" s="65" customFormat="1" ht="10.15" customHeight="1" x14ac:dyDescent="0.2">
      <c r="A227" s="66"/>
      <c r="B227" s="111"/>
      <c r="C227" s="112"/>
      <c r="D227" s="113"/>
      <c r="E227" s="113"/>
      <c r="F227" s="113"/>
      <c r="G227" s="113"/>
      <c r="H227" s="113"/>
      <c r="I227" s="113"/>
      <c r="J227" s="110"/>
      <c r="K227" s="110"/>
      <c r="M227" s="110"/>
      <c r="O227" s="110"/>
      <c r="Q227" s="110"/>
      <c r="S227" s="110"/>
    </row>
    <row r="229" spans="1:19" s="65" customFormat="1" ht="10.15" customHeight="1" x14ac:dyDescent="0.2">
      <c r="A229" s="66"/>
      <c r="B229" s="120"/>
    </row>
    <row r="231" spans="1:19" s="65" customFormat="1" ht="10.15" customHeight="1" x14ac:dyDescent="0.2">
      <c r="A231" s="66"/>
      <c r="B231" s="120"/>
    </row>
    <row r="232" spans="1:19" s="65" customFormat="1" ht="10.15" customHeight="1" x14ac:dyDescent="0.2">
      <c r="A232" s="66"/>
      <c r="B232" s="120"/>
    </row>
  </sheetData>
  <pageMargins left="0.7" right="0.7" top="0.75" bottom="0.75" header="0.3" footer="0.3"/>
  <pageSetup scale="59" fitToHeight="10" orientation="landscape" r:id="rId1"/>
  <headerFooter>
    <oddFooter>&amp;R&amp;F
&amp;A
&amp;P of &amp;N</oddFooter>
  </headerFooter>
  <customProperties>
    <customPr name="_pios_id" r:id="rId2"/>
    <customPr name="EpmWorksheetKeyString_GUID" r:id="rId3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598D38-22FD-4690-BEAF-0E6E697561B6}">
  <sheetPr>
    <tabColor theme="6" tint="0.79998168889431442"/>
  </sheetPr>
  <dimension ref="A1:U112"/>
  <sheetViews>
    <sheetView zoomScaleNormal="100" workbookViewId="0">
      <pane ySplit="8" topLeftCell="A9" activePane="bottomLeft" state="frozen"/>
      <selection activeCell="H13" sqref="H13"/>
      <selection pane="bottomLeft" activeCell="H13" sqref="H13"/>
    </sheetView>
  </sheetViews>
  <sheetFormatPr defaultColWidth="9.140625" defaultRowHeight="11.25" x14ac:dyDescent="0.2"/>
  <cols>
    <col min="1" max="1" width="7.140625" style="65" customWidth="1"/>
    <col min="2" max="2" width="7.42578125" style="66" bestFit="1" customWidth="1"/>
    <col min="3" max="3" width="8.28515625" style="66" bestFit="1" customWidth="1"/>
    <col min="4" max="5" width="9.28515625" style="65" customWidth="1"/>
    <col min="6" max="6" width="0.28515625" style="65" customWidth="1"/>
    <col min="7" max="7" width="10.5703125" style="65" customWidth="1"/>
    <col min="8" max="8" width="10.5703125" style="80" customWidth="1"/>
    <col min="9" max="9" width="0.28515625" style="80" customWidth="1"/>
    <col min="10" max="10" width="7.85546875" style="65" customWidth="1"/>
    <col min="11" max="11" width="11.7109375" style="65" customWidth="1"/>
    <col min="12" max="12" width="9.140625" style="65"/>
    <col min="13" max="16" width="9.28515625" style="65" bestFit="1" customWidth="1"/>
    <col min="17" max="17" width="9.140625" style="65"/>
    <col min="18" max="20" width="9.28515625" style="65" bestFit="1" customWidth="1"/>
    <col min="21" max="21" width="10.140625" style="65" bestFit="1" customWidth="1"/>
    <col min="22" max="16384" width="9.140625" style="65"/>
  </cols>
  <sheetData>
    <row r="1" spans="1:21" x14ac:dyDescent="0.2">
      <c r="A1" s="85" t="str">
        <f>'Exh CTM-7 (Lighting Summary)'!A1</f>
        <v>PUGET SOUND ENERGY</v>
      </c>
      <c r="B1" s="85"/>
      <c r="C1" s="85"/>
      <c r="D1" s="86"/>
      <c r="E1" s="86"/>
      <c r="F1" s="86"/>
      <c r="G1" s="86"/>
      <c r="H1" s="86"/>
      <c r="I1" s="86"/>
      <c r="J1" s="86"/>
      <c r="K1" s="86"/>
    </row>
    <row r="2" spans="1:21" x14ac:dyDescent="0.2">
      <c r="A2" s="85" t="s">
        <v>222</v>
      </c>
      <c r="B2" s="85"/>
      <c r="C2" s="85"/>
      <c r="D2" s="86"/>
      <c r="E2" s="86"/>
      <c r="F2" s="86"/>
      <c r="G2" s="86"/>
      <c r="H2" s="86"/>
      <c r="I2" s="86"/>
      <c r="J2" s="86"/>
      <c r="K2" s="86"/>
    </row>
    <row r="3" spans="1:21" x14ac:dyDescent="0.2">
      <c r="A3" s="85" t="str">
        <f>'Exh CTM-7 (Lighting Summary)'!A3</f>
        <v>2024 General Rate Case Docket No. UE-240004 and UG-240005</v>
      </c>
      <c r="B3" s="85"/>
      <c r="C3" s="85"/>
      <c r="D3" s="86"/>
      <c r="E3" s="86"/>
      <c r="F3" s="86"/>
      <c r="G3" s="86"/>
      <c r="H3" s="86"/>
      <c r="I3" s="86"/>
      <c r="J3" s="86"/>
      <c r="K3" s="86"/>
    </row>
    <row r="4" spans="1:21" x14ac:dyDescent="0.2">
      <c r="A4" s="85" t="s">
        <v>221</v>
      </c>
      <c r="B4" s="85"/>
      <c r="C4" s="85"/>
      <c r="D4" s="86"/>
      <c r="E4" s="86"/>
      <c r="F4" s="86"/>
      <c r="G4" s="86"/>
      <c r="H4" s="86"/>
      <c r="I4" s="86"/>
      <c r="J4" s="86"/>
      <c r="K4" s="86"/>
    </row>
    <row r="5" spans="1:21" x14ac:dyDescent="0.2">
      <c r="A5" s="85" t="s">
        <v>220</v>
      </c>
      <c r="B5" s="85"/>
      <c r="C5" s="85"/>
      <c r="D5" s="86"/>
      <c r="E5" s="86"/>
      <c r="F5" s="86"/>
      <c r="G5" s="86"/>
      <c r="H5" s="86"/>
      <c r="I5" s="86"/>
      <c r="J5" s="86"/>
      <c r="K5" s="86"/>
    </row>
    <row r="6" spans="1:21" x14ac:dyDescent="0.2">
      <c r="H6" s="85"/>
      <c r="I6" s="87"/>
    </row>
    <row r="7" spans="1:21" ht="33.75" x14ac:dyDescent="0.2">
      <c r="A7" s="88" t="s">
        <v>36</v>
      </c>
      <c r="B7" s="88" t="s">
        <v>219</v>
      </c>
      <c r="C7" s="89" t="s">
        <v>218</v>
      </c>
      <c r="D7" s="90" t="s">
        <v>217</v>
      </c>
      <c r="E7" s="90"/>
      <c r="F7" s="88"/>
      <c r="G7" s="88" t="s">
        <v>48</v>
      </c>
      <c r="H7" s="88" t="s">
        <v>47</v>
      </c>
      <c r="I7" s="88"/>
      <c r="J7" s="89" t="s">
        <v>216</v>
      </c>
      <c r="K7" s="89"/>
      <c r="L7" s="88"/>
      <c r="M7" s="88"/>
      <c r="N7" s="88"/>
      <c r="O7" s="88"/>
      <c r="P7" s="88"/>
      <c r="Q7" s="88"/>
      <c r="R7" s="88"/>
      <c r="S7" s="88"/>
      <c r="T7" s="88"/>
      <c r="U7" s="88"/>
    </row>
    <row r="8" spans="1:21" s="92" customFormat="1" x14ac:dyDescent="0.25">
      <c r="A8" s="74"/>
      <c r="B8" s="74" t="s">
        <v>23</v>
      </c>
      <c r="C8" s="74" t="s">
        <v>22</v>
      </c>
      <c r="D8" s="74" t="s">
        <v>21</v>
      </c>
      <c r="E8" s="74" t="s">
        <v>20</v>
      </c>
      <c r="F8" s="91"/>
      <c r="G8" s="74" t="s">
        <v>19</v>
      </c>
      <c r="H8" s="74" t="s">
        <v>18</v>
      </c>
      <c r="I8" s="91"/>
      <c r="J8" s="74" t="s">
        <v>17</v>
      </c>
      <c r="K8" s="74" t="s">
        <v>16</v>
      </c>
    </row>
    <row r="9" spans="1:21" ht="9.6" customHeight="1" x14ac:dyDescent="0.2">
      <c r="A9" s="66">
        <v>1</v>
      </c>
      <c r="D9" s="66"/>
      <c r="E9" s="66"/>
      <c r="F9" s="66"/>
      <c r="G9" s="66"/>
      <c r="H9" s="66"/>
      <c r="I9" s="66"/>
      <c r="J9" s="66"/>
      <c r="K9" s="66"/>
    </row>
    <row r="10" spans="1:21" ht="10.15" customHeight="1" x14ac:dyDescent="0.2">
      <c r="A10" s="66">
        <f>A9+1</f>
        <v>2</v>
      </c>
      <c r="B10" s="93" t="s">
        <v>215</v>
      </c>
      <c r="C10" s="34" t="s">
        <v>214</v>
      </c>
      <c r="D10" s="74"/>
      <c r="E10" s="74"/>
      <c r="F10" s="74"/>
      <c r="G10" s="74"/>
      <c r="H10" s="74"/>
      <c r="I10" s="94"/>
      <c r="J10" s="95"/>
      <c r="K10" s="95"/>
    </row>
    <row r="11" spans="1:21" x14ac:dyDescent="0.2">
      <c r="A11" s="66">
        <f>A10+1</f>
        <v>3</v>
      </c>
      <c r="C11" s="65"/>
      <c r="D11" s="36">
        <f>'Exh CTM-7 (Rate Design)'!P$214</f>
        <v>0</v>
      </c>
      <c r="E11" s="36">
        <f>'Exh CTM-7 (Rate Design)'!Q$214</f>
        <v>30</v>
      </c>
      <c r="F11" s="36"/>
      <c r="G11" s="29">
        <f>ROUND('Exh CTM-7 (Rate Design)'!S$214*'Exh CTM-7 (Rate Design)'!W$214,2)</f>
        <v>1.84</v>
      </c>
      <c r="H11" s="31">
        <f>ROUND('Exh CTM-7 (Rate Design)'!W$214,6)</f>
        <v>0.24737200000000001</v>
      </c>
      <c r="I11" s="39"/>
      <c r="M11" s="84"/>
      <c r="N11" s="96"/>
      <c r="O11" s="40"/>
      <c r="P11" s="40"/>
    </row>
    <row r="12" spans="1:21" x14ac:dyDescent="0.2">
      <c r="A12" s="66">
        <f>A11+1</f>
        <v>4</v>
      </c>
      <c r="C12" s="36"/>
      <c r="D12" s="36">
        <f>'Exh CTM-7 (Rate Design)'!P$215</f>
        <v>30.01</v>
      </c>
      <c r="E12" s="36">
        <f>'Exh CTM-7 (Rate Design)'!Q$215</f>
        <v>60</v>
      </c>
      <c r="F12" s="36"/>
      <c r="G12" s="29">
        <f>ROUND('Exh CTM-7 (Rate Design)'!S$215*'Exh CTM-7 (Rate Design)'!W$215,2)</f>
        <v>4.0199999999999996</v>
      </c>
      <c r="H12" s="31">
        <f>ROUND(H11,6)</f>
        <v>0.24737200000000001</v>
      </c>
      <c r="I12" s="39"/>
      <c r="M12" s="84"/>
      <c r="N12" s="96"/>
      <c r="O12" s="40"/>
      <c r="P12" s="40"/>
    </row>
    <row r="13" spans="1:21" x14ac:dyDescent="0.2">
      <c r="A13" s="66">
        <f>A12+1</f>
        <v>5</v>
      </c>
      <c r="C13" s="36"/>
      <c r="D13" s="36">
        <f>'Exh CTM-7 (Rate Design)'!P$216</f>
        <v>60.01</v>
      </c>
      <c r="E13" s="36">
        <f>'Exh CTM-7 (Rate Design)'!Q$216</f>
        <v>90</v>
      </c>
      <c r="F13" s="36"/>
      <c r="G13" s="29">
        <f>ROUND('Exh CTM-7 (Rate Design)'!S$216*'Exh CTM-7 (Rate Design)'!W$216,2)</f>
        <v>6.48</v>
      </c>
      <c r="H13" s="31">
        <f>ROUND(H12,6)</f>
        <v>0.24737200000000001</v>
      </c>
      <c r="I13" s="39"/>
      <c r="M13" s="84"/>
      <c r="N13" s="96"/>
      <c r="O13" s="40"/>
      <c r="P13" s="40"/>
    </row>
    <row r="14" spans="1:21" x14ac:dyDescent="0.2">
      <c r="A14" s="66">
        <f>A13+1</f>
        <v>6</v>
      </c>
      <c r="C14" s="36"/>
      <c r="D14" s="36">
        <f>'Exh CTM-7 (Rate Design)'!P$217</f>
        <v>90.01</v>
      </c>
      <c r="E14" s="36">
        <f>'Exh CTM-7 (Rate Design)'!Q$217</f>
        <v>150</v>
      </c>
      <c r="F14" s="36"/>
      <c r="G14" s="29">
        <f>ROUND('Exh CTM-7 (Rate Design)'!S$217*'Exh CTM-7 (Rate Design)'!W$217,2)</f>
        <v>9.81</v>
      </c>
      <c r="H14" s="31">
        <f>ROUND(H13,6)</f>
        <v>0.24737200000000001</v>
      </c>
      <c r="I14" s="39"/>
      <c r="M14" s="84"/>
      <c r="N14" s="96"/>
      <c r="O14" s="40"/>
      <c r="P14" s="40"/>
    </row>
    <row r="15" spans="1:21" x14ac:dyDescent="0.2">
      <c r="A15" s="66">
        <f>A14+1</f>
        <v>7</v>
      </c>
      <c r="C15" s="36"/>
      <c r="D15" s="36">
        <f>'Exh CTM-7 (Rate Design)'!P$218</f>
        <v>150.01</v>
      </c>
      <c r="E15" s="36">
        <f>'Exh CTM-7 (Rate Design)'!Q$218</f>
        <v>240</v>
      </c>
      <c r="F15" s="36"/>
      <c r="G15" s="29">
        <f>ROUND('Exh CTM-7 (Rate Design)'!S$218*'Exh CTM-7 (Rate Design)'!W$218,2)</f>
        <v>17.190000000000001</v>
      </c>
      <c r="H15" s="31">
        <f>ROUND(H14,6)</f>
        <v>0.24737200000000001</v>
      </c>
      <c r="I15" s="39"/>
      <c r="M15" s="84"/>
      <c r="N15" s="96"/>
      <c r="O15" s="40"/>
      <c r="P15" s="40"/>
    </row>
    <row r="16" spans="1:21" x14ac:dyDescent="0.2">
      <c r="A16" s="66">
        <f>A15+1</f>
        <v>8</v>
      </c>
      <c r="C16" s="36"/>
      <c r="D16" s="36">
        <f>'Exh CTM-7 (Rate Design)'!P$219</f>
        <v>240.01</v>
      </c>
      <c r="E16" s="36">
        <f>'Exh CTM-7 (Rate Design)'!Q$219</f>
        <v>340</v>
      </c>
      <c r="F16" s="36"/>
      <c r="G16" s="29">
        <f>ROUND('Exh CTM-7 (Rate Design)'!S$219*'Exh CTM-7 (Rate Design)'!W$219,2)</f>
        <v>22.77</v>
      </c>
      <c r="H16" s="31">
        <f>ROUND(H15,6)</f>
        <v>0.24737200000000001</v>
      </c>
      <c r="I16" s="39"/>
      <c r="M16" s="84"/>
      <c r="N16" s="96"/>
      <c r="O16" s="40"/>
      <c r="P16" s="40"/>
    </row>
    <row r="17" spans="1:16" x14ac:dyDescent="0.2">
      <c r="A17" s="66">
        <f>A16+1</f>
        <v>9</v>
      </c>
      <c r="C17" s="36"/>
      <c r="D17" s="36">
        <f>'Exh CTM-7 (Rate Design)'!P$220</f>
        <v>340.01</v>
      </c>
      <c r="E17" s="36">
        <f>'Exh CTM-7 (Rate Design)'!Q$220</f>
        <v>600</v>
      </c>
      <c r="F17" s="36"/>
      <c r="G17" s="29">
        <f>ROUND('Exh CTM-7 (Rate Design)'!S$220*'Exh CTM-7 (Rate Design)'!W$220,2)</f>
        <v>35.700000000000003</v>
      </c>
      <c r="H17" s="31">
        <f>ROUND(H16,6)</f>
        <v>0.24737200000000001</v>
      </c>
      <c r="I17" s="39"/>
      <c r="M17" s="84"/>
      <c r="N17" s="96"/>
      <c r="O17" s="40"/>
      <c r="P17" s="40"/>
    </row>
    <row r="18" spans="1:16" x14ac:dyDescent="0.2">
      <c r="A18" s="66">
        <f>A17+1</f>
        <v>10</v>
      </c>
      <c r="C18" s="35"/>
      <c r="D18" s="36">
        <f>'Exh CTM-7 (Rate Design)'!P$221</f>
        <v>600.01</v>
      </c>
      <c r="E18" s="36">
        <f>'Exh CTM-7 (Rate Design)'!Q$221</f>
        <v>1000</v>
      </c>
      <c r="F18" s="36"/>
      <c r="G18" s="29">
        <f>ROUND('Exh CTM-7 (Rate Design)'!S$221*'Exh CTM-7 (Rate Design)'!W$221,2)</f>
        <v>89.25</v>
      </c>
      <c r="H18" s="31">
        <f>ROUND(H17,6)</f>
        <v>0.24737200000000001</v>
      </c>
      <c r="I18" s="39"/>
      <c r="M18" s="84"/>
      <c r="N18" s="96"/>
      <c r="O18" s="40"/>
      <c r="P18" s="40"/>
    </row>
    <row r="19" spans="1:16" x14ac:dyDescent="0.2">
      <c r="A19" s="66">
        <f>A18+1</f>
        <v>11</v>
      </c>
      <c r="C19" s="65"/>
      <c r="M19" s="84"/>
      <c r="N19" s="96"/>
      <c r="O19" s="40"/>
      <c r="P19" s="40"/>
    </row>
    <row r="20" spans="1:16" x14ac:dyDescent="0.2">
      <c r="A20" s="66">
        <f>A19+1</f>
        <v>12</v>
      </c>
      <c r="B20" s="93" t="s">
        <v>213</v>
      </c>
      <c r="C20" s="34" t="s">
        <v>57</v>
      </c>
      <c r="D20" s="74"/>
      <c r="E20" s="74"/>
      <c r="F20" s="74"/>
      <c r="G20" s="74"/>
      <c r="H20" s="74"/>
      <c r="I20" s="94"/>
      <c r="J20" s="95"/>
      <c r="K20" s="95"/>
      <c r="M20" s="84"/>
      <c r="N20" s="96"/>
      <c r="O20" s="40"/>
      <c r="P20" s="40"/>
    </row>
    <row r="21" spans="1:16" x14ac:dyDescent="0.2">
      <c r="A21" s="66">
        <f>A20+1</f>
        <v>13</v>
      </c>
      <c r="C21" s="35"/>
      <c r="D21" s="36">
        <f>'Exh CTM-7 (Rate Design)'!P$214</f>
        <v>0</v>
      </c>
      <c r="E21" s="36">
        <f>'Exh CTM-7 (Rate Design)'!Q$214</f>
        <v>30</v>
      </c>
      <c r="F21" s="36"/>
      <c r="G21" s="29">
        <f>ROUND('Exh CTM-7 (Rate Design)'!S$214*'Exh CTM-7 (Rate Design)'!W$214,2)</f>
        <v>1.84</v>
      </c>
      <c r="H21" s="31">
        <f>ROUND('Exh CTM-7 (Rate Design)'!W$214,6)</f>
        <v>0.24737200000000001</v>
      </c>
      <c r="I21" s="39"/>
      <c r="J21" s="41" t="str">
        <f>'Exh CTM-7 (Rate Design)'!P227</f>
        <v>Option A</v>
      </c>
      <c r="K21" s="42">
        <f>ROUND('Exh CTM-7 (Rate Design)'!Q227,5)</f>
        <v>4.514E-2</v>
      </c>
      <c r="M21" s="84"/>
      <c r="N21" s="96"/>
      <c r="O21" s="40"/>
      <c r="P21" s="40"/>
    </row>
    <row r="22" spans="1:16" x14ac:dyDescent="0.2">
      <c r="A22" s="66">
        <f>A21+1</f>
        <v>14</v>
      </c>
      <c r="C22" s="35"/>
      <c r="D22" s="36">
        <f>'Exh CTM-7 (Rate Design)'!P$215</f>
        <v>30.01</v>
      </c>
      <c r="E22" s="36">
        <f>'Exh CTM-7 (Rate Design)'!Q$215</f>
        <v>60</v>
      </c>
      <c r="F22" s="36"/>
      <c r="G22" s="29">
        <f>ROUND('Exh CTM-7 (Rate Design)'!S$215*'Exh CTM-7 (Rate Design)'!W$215,2)</f>
        <v>4.0199999999999996</v>
      </c>
      <c r="H22" s="31">
        <f>ROUND(H21,6)</f>
        <v>0.24737200000000001</v>
      </c>
      <c r="I22" s="39"/>
      <c r="J22" s="66" t="str">
        <f>'Exh CTM-7 (Rate Design)'!P228</f>
        <v>Option B</v>
      </c>
      <c r="K22" s="42">
        <f>ROUND('Exh CTM-7 (Rate Design)'!Q228,5)</f>
        <v>4.9699999999999996E-3</v>
      </c>
      <c r="M22" s="84"/>
      <c r="N22" s="96"/>
      <c r="O22" s="40"/>
      <c r="P22" s="40"/>
    </row>
    <row r="23" spans="1:16" x14ac:dyDescent="0.2">
      <c r="A23" s="66">
        <f>A22+1</f>
        <v>15</v>
      </c>
      <c r="C23" s="35"/>
      <c r="D23" s="36">
        <f>'Exh CTM-7 (Rate Design)'!P$216</f>
        <v>60.01</v>
      </c>
      <c r="E23" s="36">
        <f>'Exh CTM-7 (Rate Design)'!Q$216</f>
        <v>90</v>
      </c>
      <c r="F23" s="36"/>
      <c r="G23" s="29">
        <f>ROUND('Exh CTM-7 (Rate Design)'!S$216*'Exh CTM-7 (Rate Design)'!W$216,2)</f>
        <v>6.48</v>
      </c>
      <c r="H23" s="31">
        <f>ROUND(H22,6)</f>
        <v>0.24737200000000001</v>
      </c>
      <c r="I23" s="39"/>
      <c r="J23" s="66"/>
      <c r="M23" s="84"/>
      <c r="N23" s="96"/>
      <c r="O23" s="40"/>
      <c r="P23" s="40"/>
    </row>
    <row r="24" spans="1:16" x14ac:dyDescent="0.2">
      <c r="A24" s="66">
        <f>A23+1</f>
        <v>16</v>
      </c>
      <c r="C24" s="35"/>
      <c r="D24" s="36">
        <f>'Exh CTM-7 (Rate Design)'!P$217</f>
        <v>90.01</v>
      </c>
      <c r="E24" s="36">
        <f>'Exh CTM-7 (Rate Design)'!Q$217</f>
        <v>150</v>
      </c>
      <c r="F24" s="36"/>
      <c r="G24" s="29">
        <f>ROUND('Exh CTM-7 (Rate Design)'!S$217*'Exh CTM-7 (Rate Design)'!W$217,2)</f>
        <v>9.81</v>
      </c>
      <c r="H24" s="31">
        <f>ROUND(H23,6)</f>
        <v>0.24737200000000001</v>
      </c>
      <c r="I24" s="39"/>
      <c r="J24" s="66"/>
      <c r="M24" s="84"/>
      <c r="N24" s="96"/>
      <c r="O24" s="40"/>
      <c r="P24" s="40"/>
    </row>
    <row r="25" spans="1:16" x14ac:dyDescent="0.2">
      <c r="A25" s="66">
        <f>A24+1</f>
        <v>17</v>
      </c>
      <c r="C25" s="35"/>
      <c r="D25" s="36">
        <f>'Exh CTM-7 (Rate Design)'!P$218</f>
        <v>150.01</v>
      </c>
      <c r="E25" s="36">
        <f>'Exh CTM-7 (Rate Design)'!Q$218</f>
        <v>240</v>
      </c>
      <c r="F25" s="36"/>
      <c r="G25" s="29">
        <f>ROUND('Exh CTM-7 (Rate Design)'!S$218*'Exh CTM-7 (Rate Design)'!W$218,2)</f>
        <v>17.190000000000001</v>
      </c>
      <c r="H25" s="31">
        <f>ROUND(H24,6)</f>
        <v>0.24737200000000001</v>
      </c>
      <c r="I25" s="39"/>
      <c r="J25" s="66"/>
      <c r="M25" s="84"/>
      <c r="N25" s="96"/>
      <c r="O25" s="40"/>
      <c r="P25" s="40"/>
    </row>
    <row r="26" spans="1:16" x14ac:dyDescent="0.2">
      <c r="A26" s="66">
        <f>A25+1</f>
        <v>18</v>
      </c>
      <c r="C26" s="35"/>
      <c r="D26" s="36">
        <f>'Exh CTM-7 (Rate Design)'!P$219</f>
        <v>240.01</v>
      </c>
      <c r="E26" s="36">
        <f>'Exh CTM-7 (Rate Design)'!Q$219</f>
        <v>340</v>
      </c>
      <c r="F26" s="36"/>
      <c r="G26" s="29">
        <f>ROUND('Exh CTM-7 (Rate Design)'!S$219*'Exh CTM-7 (Rate Design)'!W$219,2)</f>
        <v>22.77</v>
      </c>
      <c r="H26" s="31">
        <f>ROUND(H25,6)</f>
        <v>0.24737200000000001</v>
      </c>
      <c r="I26" s="39"/>
      <c r="J26" s="66"/>
      <c r="M26" s="84"/>
      <c r="N26" s="96"/>
      <c r="O26" s="40"/>
      <c r="P26" s="40"/>
    </row>
    <row r="27" spans="1:16" x14ac:dyDescent="0.2">
      <c r="A27" s="66">
        <f>A26+1</f>
        <v>19</v>
      </c>
      <c r="C27" s="35"/>
      <c r="D27" s="36">
        <f>'Exh CTM-7 (Rate Design)'!P$220</f>
        <v>340.01</v>
      </c>
      <c r="E27" s="36">
        <f>'Exh CTM-7 (Rate Design)'!Q$220</f>
        <v>600</v>
      </c>
      <c r="F27" s="36"/>
      <c r="G27" s="29">
        <f>ROUND('Exh CTM-7 (Rate Design)'!S$220*'Exh CTM-7 (Rate Design)'!W$220,2)</f>
        <v>35.700000000000003</v>
      </c>
      <c r="H27" s="31">
        <f>ROUND(H26,6)</f>
        <v>0.24737200000000001</v>
      </c>
      <c r="I27" s="39"/>
      <c r="J27" s="66"/>
      <c r="M27" s="84"/>
      <c r="N27" s="96"/>
      <c r="O27" s="40"/>
      <c r="P27" s="40"/>
    </row>
    <row r="28" spans="1:16" x14ac:dyDescent="0.2">
      <c r="A28" s="66">
        <f>A27+1</f>
        <v>20</v>
      </c>
      <c r="C28" s="65"/>
      <c r="D28" s="36">
        <f>'Exh CTM-7 (Rate Design)'!P$221</f>
        <v>600.01</v>
      </c>
      <c r="E28" s="36">
        <f>'Exh CTM-7 (Rate Design)'!Q$221</f>
        <v>1000</v>
      </c>
      <c r="F28" s="36"/>
      <c r="G28" s="29">
        <f>ROUND('Exh CTM-7 (Rate Design)'!S$221*'Exh CTM-7 (Rate Design)'!W$221,2)</f>
        <v>89.25</v>
      </c>
      <c r="H28" s="31">
        <f>ROUND(H27,6)</f>
        <v>0.24737200000000001</v>
      </c>
      <c r="I28" s="39"/>
      <c r="J28" s="66"/>
      <c r="M28" s="84"/>
      <c r="N28" s="96"/>
      <c r="O28" s="40"/>
      <c r="P28" s="40"/>
    </row>
    <row r="29" spans="1:16" x14ac:dyDescent="0.2">
      <c r="A29" s="66">
        <f>A28+1</f>
        <v>21</v>
      </c>
      <c r="C29" s="65"/>
      <c r="J29" s="66"/>
      <c r="M29" s="84"/>
      <c r="N29" s="96"/>
      <c r="O29" s="40"/>
      <c r="P29" s="40"/>
    </row>
    <row r="30" spans="1:16" x14ac:dyDescent="0.2">
      <c r="A30" s="66">
        <f>A29+1</f>
        <v>22</v>
      </c>
      <c r="B30" s="93" t="s">
        <v>212</v>
      </c>
      <c r="C30" s="34" t="s">
        <v>57</v>
      </c>
      <c r="D30" s="74"/>
      <c r="E30" s="74"/>
      <c r="F30" s="74"/>
      <c r="G30" s="74"/>
      <c r="H30" s="74"/>
      <c r="I30" s="94"/>
      <c r="J30" s="93"/>
      <c r="K30" s="95"/>
      <c r="M30" s="84"/>
      <c r="N30" s="96"/>
      <c r="O30" s="40"/>
      <c r="P30" s="40"/>
    </row>
    <row r="31" spans="1:16" x14ac:dyDescent="0.2">
      <c r="A31" s="66">
        <f>A30+1</f>
        <v>23</v>
      </c>
      <c r="C31" s="35"/>
      <c r="D31" s="36">
        <f>'Exh CTM-7 (Rate Design)'!P$214</f>
        <v>0</v>
      </c>
      <c r="E31" s="36">
        <f>'Exh CTM-7 (Rate Design)'!Q$214</f>
        <v>30</v>
      </c>
      <c r="F31" s="36"/>
      <c r="G31" s="29">
        <f>ROUND('Exh CTM-7 (Rate Design)'!S$214*'Exh CTM-7 (Rate Design)'!W$214,2)</f>
        <v>1.84</v>
      </c>
      <c r="H31" s="31">
        <f>ROUND('Exh CTM-7 (Rate Design)'!W$214,6)</f>
        <v>0.24737200000000001</v>
      </c>
      <c r="I31" s="39"/>
      <c r="J31" s="41" t="str">
        <f>'Exh CTM-7 (Rate Design)'!P227</f>
        <v>Option A</v>
      </c>
      <c r="K31" s="42">
        <f>ROUND('Exh CTM-7 (Rate Design)'!Q227,5)</f>
        <v>4.514E-2</v>
      </c>
      <c r="M31" s="84"/>
      <c r="N31" s="96"/>
      <c r="O31" s="40"/>
      <c r="P31" s="40"/>
    </row>
    <row r="32" spans="1:16" x14ac:dyDescent="0.2">
      <c r="A32" s="66">
        <f>A31+1</f>
        <v>24</v>
      </c>
      <c r="C32" s="35"/>
      <c r="D32" s="36">
        <f>'Exh CTM-7 (Rate Design)'!P$215</f>
        <v>30.01</v>
      </c>
      <c r="E32" s="36">
        <f>'Exh CTM-7 (Rate Design)'!Q$215</f>
        <v>60</v>
      </c>
      <c r="F32" s="36"/>
      <c r="G32" s="29">
        <f>ROUND('Exh CTM-7 (Rate Design)'!S$215*'Exh CTM-7 (Rate Design)'!W$215,2)</f>
        <v>4.0199999999999996</v>
      </c>
      <c r="H32" s="31">
        <f>ROUND(H31,6)</f>
        <v>0.24737200000000001</v>
      </c>
      <c r="I32" s="39"/>
      <c r="J32" s="41" t="str">
        <f>'Exh CTM-7 (Rate Design)'!P228</f>
        <v>Option B</v>
      </c>
      <c r="K32" s="42">
        <f>ROUND('Exh CTM-7 (Rate Design)'!Q228,5)</f>
        <v>4.9699999999999996E-3</v>
      </c>
      <c r="M32" s="84"/>
      <c r="N32" s="96"/>
      <c r="O32" s="40"/>
      <c r="P32" s="40"/>
    </row>
    <row r="33" spans="1:16" x14ac:dyDescent="0.2">
      <c r="A33" s="66">
        <f>A32+1</f>
        <v>25</v>
      </c>
      <c r="C33" s="35"/>
      <c r="D33" s="36">
        <f>'Exh CTM-7 (Rate Design)'!P$216</f>
        <v>60.01</v>
      </c>
      <c r="E33" s="36">
        <f>'Exh CTM-7 (Rate Design)'!Q$216</f>
        <v>90</v>
      </c>
      <c r="F33" s="36"/>
      <c r="G33" s="29">
        <f>ROUND('Exh CTM-7 (Rate Design)'!S$216*'Exh CTM-7 (Rate Design)'!W$216,2)</f>
        <v>6.48</v>
      </c>
      <c r="H33" s="31">
        <f>ROUND(H32,6)</f>
        <v>0.24737200000000001</v>
      </c>
      <c r="I33" s="39"/>
      <c r="J33" s="66"/>
      <c r="M33" s="84"/>
      <c r="N33" s="96"/>
      <c r="O33" s="40"/>
      <c r="P33" s="40"/>
    </row>
    <row r="34" spans="1:16" x14ac:dyDescent="0.2">
      <c r="A34" s="66">
        <f>A33+1</f>
        <v>26</v>
      </c>
      <c r="C34" s="35"/>
      <c r="D34" s="36">
        <f>'Exh CTM-7 (Rate Design)'!P$217</f>
        <v>90.01</v>
      </c>
      <c r="E34" s="36">
        <f>'Exh CTM-7 (Rate Design)'!Q$217</f>
        <v>150</v>
      </c>
      <c r="F34" s="36"/>
      <c r="G34" s="29">
        <f>ROUND('Exh CTM-7 (Rate Design)'!S$217*'Exh CTM-7 (Rate Design)'!W$217,2)</f>
        <v>9.81</v>
      </c>
      <c r="H34" s="31">
        <f>ROUND(H33,6)</f>
        <v>0.24737200000000001</v>
      </c>
      <c r="I34" s="39"/>
      <c r="M34" s="84"/>
      <c r="N34" s="96"/>
      <c r="O34" s="40"/>
      <c r="P34" s="40"/>
    </row>
    <row r="35" spans="1:16" x14ac:dyDescent="0.2">
      <c r="A35" s="66">
        <f>A34+1</f>
        <v>27</v>
      </c>
      <c r="C35" s="35"/>
      <c r="D35" s="36">
        <f>'Exh CTM-7 (Rate Design)'!P$218</f>
        <v>150.01</v>
      </c>
      <c r="E35" s="36">
        <f>'Exh CTM-7 (Rate Design)'!Q$218</f>
        <v>240</v>
      </c>
      <c r="F35" s="36"/>
      <c r="G35" s="29">
        <f>ROUND('Exh CTM-7 (Rate Design)'!S$218*'Exh CTM-7 (Rate Design)'!W$218,2)</f>
        <v>17.190000000000001</v>
      </c>
      <c r="H35" s="31">
        <f>ROUND(H34,6)</f>
        <v>0.24737200000000001</v>
      </c>
      <c r="I35" s="39"/>
      <c r="M35" s="84"/>
      <c r="N35" s="96"/>
      <c r="O35" s="40"/>
      <c r="P35" s="40"/>
    </row>
    <row r="36" spans="1:16" x14ac:dyDescent="0.2">
      <c r="A36" s="66">
        <f>A35+1</f>
        <v>28</v>
      </c>
      <c r="C36" s="35"/>
      <c r="D36" s="36">
        <f>'Exh CTM-7 (Rate Design)'!P$219</f>
        <v>240.01</v>
      </c>
      <c r="E36" s="36">
        <f>'Exh CTM-7 (Rate Design)'!Q$219</f>
        <v>340</v>
      </c>
      <c r="F36" s="36"/>
      <c r="G36" s="29">
        <f>ROUND('Exh CTM-7 (Rate Design)'!S$219*'Exh CTM-7 (Rate Design)'!W$219,2)</f>
        <v>22.77</v>
      </c>
      <c r="H36" s="31">
        <f>ROUND(H35,6)</f>
        <v>0.24737200000000001</v>
      </c>
      <c r="I36" s="39"/>
      <c r="M36" s="84"/>
      <c r="N36" s="96"/>
      <c r="O36" s="40"/>
      <c r="P36" s="40"/>
    </row>
    <row r="37" spans="1:16" x14ac:dyDescent="0.2">
      <c r="A37" s="66">
        <f>A36+1</f>
        <v>29</v>
      </c>
      <c r="C37" s="35"/>
      <c r="D37" s="36">
        <f>'Exh CTM-7 (Rate Design)'!P$220</f>
        <v>340.01</v>
      </c>
      <c r="E37" s="36">
        <f>'Exh CTM-7 (Rate Design)'!Q$220</f>
        <v>600</v>
      </c>
      <c r="F37" s="36"/>
      <c r="G37" s="29">
        <f>ROUND('Exh CTM-7 (Rate Design)'!S$220*'Exh CTM-7 (Rate Design)'!W$220,2)</f>
        <v>35.700000000000003</v>
      </c>
      <c r="H37" s="31">
        <f>ROUND(H36,6)</f>
        <v>0.24737200000000001</v>
      </c>
      <c r="I37" s="39"/>
      <c r="M37" s="84"/>
      <c r="N37" s="96"/>
      <c r="O37" s="40"/>
      <c r="P37" s="40"/>
    </row>
    <row r="38" spans="1:16" x14ac:dyDescent="0.2">
      <c r="A38" s="66">
        <f>A37+1</f>
        <v>30</v>
      </c>
      <c r="C38" s="35"/>
      <c r="D38" s="36">
        <f>'Exh CTM-7 (Rate Design)'!P$221</f>
        <v>600.01</v>
      </c>
      <c r="E38" s="36">
        <f>'Exh CTM-7 (Rate Design)'!Q$221</f>
        <v>1000</v>
      </c>
      <c r="F38" s="36"/>
      <c r="G38" s="29">
        <f>ROUND('Exh CTM-7 (Rate Design)'!S$221*'Exh CTM-7 (Rate Design)'!W$221,2)</f>
        <v>89.25</v>
      </c>
      <c r="H38" s="31">
        <f>ROUND(H37,6)</f>
        <v>0.24737200000000001</v>
      </c>
      <c r="I38" s="39"/>
      <c r="M38" s="84"/>
      <c r="N38" s="96"/>
      <c r="O38" s="40"/>
      <c r="P38" s="40"/>
    </row>
    <row r="39" spans="1:16" x14ac:dyDescent="0.2">
      <c r="A39" s="66">
        <f>A38+1</f>
        <v>31</v>
      </c>
      <c r="C39" s="65"/>
      <c r="D39" s="36"/>
      <c r="E39" s="36"/>
      <c r="F39" s="36"/>
      <c r="G39" s="29"/>
      <c r="H39" s="31"/>
      <c r="I39" s="39"/>
      <c r="M39" s="84"/>
      <c r="N39" s="96"/>
      <c r="O39" s="40"/>
      <c r="P39" s="40"/>
    </row>
    <row r="40" spans="1:16" x14ac:dyDescent="0.2">
      <c r="A40" s="66">
        <f>A39+1</f>
        <v>32</v>
      </c>
      <c r="B40" s="93" t="s">
        <v>211</v>
      </c>
      <c r="C40" s="34" t="s">
        <v>57</v>
      </c>
      <c r="D40" s="74"/>
      <c r="E40" s="74"/>
      <c r="F40" s="74"/>
      <c r="G40" s="74"/>
      <c r="H40" s="74"/>
      <c r="I40" s="94"/>
      <c r="J40" s="95"/>
      <c r="K40" s="95"/>
      <c r="M40" s="84"/>
      <c r="N40" s="96"/>
      <c r="O40" s="40"/>
      <c r="P40" s="40"/>
    </row>
    <row r="41" spans="1:16" x14ac:dyDescent="0.2">
      <c r="A41" s="66">
        <f>A40+1</f>
        <v>33</v>
      </c>
      <c r="C41" s="35"/>
      <c r="D41" s="36">
        <f>'Exh CTM-7 (Rate Design)'!P214</f>
        <v>0</v>
      </c>
      <c r="E41" s="36">
        <f>'Exh CTM-7 (Rate Design)'!Q214</f>
        <v>30</v>
      </c>
      <c r="F41" s="36"/>
      <c r="G41" s="29">
        <f>ROUND('Exh CTM-7 (Rate Design)'!V214*'Exh CTM-7 (Rate Design)'!S214,2)</f>
        <v>9.17</v>
      </c>
      <c r="H41" s="31">
        <f>ROUND('Exh CTM-7 (Rate Design)'!V214,6)</f>
        <v>1.233811</v>
      </c>
      <c r="I41" s="39"/>
      <c r="M41" s="84"/>
      <c r="N41" s="96"/>
      <c r="O41" s="40"/>
      <c r="P41" s="40"/>
    </row>
    <row r="42" spans="1:16" x14ac:dyDescent="0.2">
      <c r="A42" s="66">
        <f>A41+1</f>
        <v>34</v>
      </c>
      <c r="C42" s="35"/>
      <c r="D42" s="36">
        <f>'Exh CTM-7 (Rate Design)'!P215</f>
        <v>30.01</v>
      </c>
      <c r="E42" s="36">
        <f>'Exh CTM-7 (Rate Design)'!Q215</f>
        <v>60</v>
      </c>
      <c r="F42" s="36"/>
      <c r="G42" s="29">
        <f>ROUND('Exh CTM-7 (Rate Design)'!V215*'Exh CTM-7 (Rate Design)'!S215,2)</f>
        <v>11.22</v>
      </c>
      <c r="H42" s="31">
        <f>ROUND('Exh CTM-7 (Rate Design)'!V215,6)</f>
        <v>0.69086800000000004</v>
      </c>
      <c r="I42" s="39"/>
      <c r="M42" s="84"/>
      <c r="N42" s="96"/>
      <c r="O42" s="40"/>
      <c r="P42" s="40"/>
    </row>
    <row r="43" spans="1:16" x14ac:dyDescent="0.2">
      <c r="A43" s="66">
        <f>A42+1</f>
        <v>35</v>
      </c>
      <c r="C43" s="35"/>
      <c r="D43" s="36">
        <f>'Exh CTM-7 (Rate Design)'!P216</f>
        <v>60.01</v>
      </c>
      <c r="E43" s="36">
        <f>'Exh CTM-7 (Rate Design)'!Q216</f>
        <v>90</v>
      </c>
      <c r="F43" s="36"/>
      <c r="G43" s="29">
        <f>ROUND('Exh CTM-7 (Rate Design)'!V216*'Exh CTM-7 (Rate Design)'!S216,2)</f>
        <v>14.51</v>
      </c>
      <c r="H43" s="31">
        <f>ROUND('Exh CTM-7 (Rate Design)'!V216,6)</f>
        <v>0.55395899999999998</v>
      </c>
      <c r="I43" s="39"/>
      <c r="M43" s="84"/>
      <c r="N43" s="96"/>
      <c r="O43" s="40"/>
      <c r="P43" s="40"/>
    </row>
    <row r="44" spans="1:16" x14ac:dyDescent="0.2">
      <c r="A44" s="66">
        <f>A43+1</f>
        <v>36</v>
      </c>
      <c r="C44" s="35"/>
      <c r="D44" s="36">
        <f>'Exh CTM-7 (Rate Design)'!P217</f>
        <v>90.01</v>
      </c>
      <c r="E44" s="36">
        <f>'Exh CTM-7 (Rate Design)'!Q217</f>
        <v>150</v>
      </c>
      <c r="F44" s="36"/>
      <c r="G44" s="29">
        <f>ROUND('Exh CTM-7 (Rate Design)'!V217*'Exh CTM-7 (Rate Design)'!S217,2)</f>
        <v>17.3</v>
      </c>
      <c r="H44" s="31">
        <f>ROUND('Exh CTM-7 (Rate Design)'!V217,6)</f>
        <v>0.43602099999999999</v>
      </c>
      <c r="I44" s="39"/>
      <c r="M44" s="84"/>
      <c r="N44" s="96"/>
      <c r="O44" s="40"/>
      <c r="P44" s="40"/>
    </row>
    <row r="45" spans="1:16" x14ac:dyDescent="0.2">
      <c r="A45" s="66">
        <f>A44+1</f>
        <v>37</v>
      </c>
      <c r="C45" s="35"/>
      <c r="D45" s="36">
        <f>'Exh CTM-7 (Rate Design)'!P218</f>
        <v>150.01</v>
      </c>
      <c r="E45" s="36">
        <f>'Exh CTM-7 (Rate Design)'!Q218</f>
        <v>240</v>
      </c>
      <c r="F45" s="36"/>
      <c r="G45" s="29">
        <f>ROUND('Exh CTM-7 (Rate Design)'!V218*'Exh CTM-7 (Rate Design)'!S218,2)</f>
        <v>25.29</v>
      </c>
      <c r="H45" s="31">
        <f>ROUND('Exh CTM-7 (Rate Design)'!V218,6)</f>
        <v>0.363927</v>
      </c>
      <c r="I45" s="39"/>
      <c r="M45" s="84"/>
      <c r="N45" s="96"/>
      <c r="O45" s="40"/>
      <c r="P45" s="40"/>
    </row>
    <row r="46" spans="1:16" x14ac:dyDescent="0.2">
      <c r="A46" s="66">
        <f>A45+1</f>
        <v>38</v>
      </c>
      <c r="C46" s="35"/>
      <c r="D46" s="36">
        <f>'Exh CTM-7 (Rate Design)'!P219</f>
        <v>240.01</v>
      </c>
      <c r="E46" s="36">
        <f>'Exh CTM-7 (Rate Design)'!Q219</f>
        <v>340</v>
      </c>
      <c r="F46" s="36"/>
      <c r="G46" s="29">
        <f>ROUND('Exh CTM-7 (Rate Design)'!V219*'Exh CTM-7 (Rate Design)'!S219,2)</f>
        <v>31.01</v>
      </c>
      <c r="H46" s="31">
        <f>ROUND('Exh CTM-7 (Rate Design)'!V219,6)</f>
        <v>0.33681499999999998</v>
      </c>
      <c r="I46" s="39"/>
      <c r="M46" s="84"/>
      <c r="N46" s="96"/>
      <c r="O46" s="40"/>
      <c r="P46" s="40"/>
    </row>
    <row r="47" spans="1:16" x14ac:dyDescent="0.2">
      <c r="A47" s="66">
        <f>A46+1</f>
        <v>39</v>
      </c>
      <c r="C47" s="35"/>
      <c r="D47" s="36">
        <f>'Exh CTM-7 (Rate Design)'!P220</f>
        <v>340.01</v>
      </c>
      <c r="E47" s="36">
        <f>'Exh CTM-7 (Rate Design)'!Q220</f>
        <v>600</v>
      </c>
      <c r="F47" s="36"/>
      <c r="G47" s="29">
        <f>ROUND('Exh CTM-7 (Rate Design)'!V220*'Exh CTM-7 (Rate Design)'!S220,2)</f>
        <v>42.83</v>
      </c>
      <c r="H47" s="31">
        <f>ROUND('Exh CTM-7 (Rate Design)'!V220,6)</f>
        <v>0.296815</v>
      </c>
      <c r="I47" s="39"/>
      <c r="M47" s="84"/>
      <c r="N47" s="96"/>
      <c r="O47" s="40"/>
      <c r="P47" s="40"/>
    </row>
    <row r="48" spans="1:16" x14ac:dyDescent="0.2">
      <c r="A48" s="66">
        <f>A47+1</f>
        <v>40</v>
      </c>
      <c r="C48" s="65"/>
      <c r="D48" s="36">
        <f>'Exh CTM-7 (Rate Design)'!P221</f>
        <v>600.01</v>
      </c>
      <c r="E48" s="36">
        <f>'Exh CTM-7 (Rate Design)'!Q221</f>
        <v>1000</v>
      </c>
      <c r="F48" s="36"/>
      <c r="G48" s="29">
        <f>ROUND('Exh CTM-7 (Rate Design)'!V221*'Exh CTM-7 (Rate Design)'!S221,2)</f>
        <v>98.41</v>
      </c>
      <c r="H48" s="31">
        <f>ROUND('Exh CTM-7 (Rate Design)'!V221,6)</f>
        <v>0.27276600000000001</v>
      </c>
      <c r="I48" s="39"/>
      <c r="M48" s="84"/>
      <c r="N48" s="96"/>
      <c r="O48" s="40"/>
      <c r="P48" s="40"/>
    </row>
    <row r="49" spans="1:16" x14ac:dyDescent="0.2">
      <c r="A49" s="66">
        <f>A48+1</f>
        <v>41</v>
      </c>
      <c r="C49" s="65"/>
      <c r="D49" s="36"/>
      <c r="E49" s="36"/>
      <c r="F49" s="36"/>
      <c r="G49" s="29"/>
      <c r="H49" s="31"/>
      <c r="I49" s="39"/>
      <c r="M49" s="84"/>
      <c r="N49" s="96"/>
      <c r="O49" s="40"/>
      <c r="P49" s="40"/>
    </row>
    <row r="50" spans="1:16" x14ac:dyDescent="0.2">
      <c r="A50" s="66">
        <f>A49+1</f>
        <v>42</v>
      </c>
      <c r="B50" s="93" t="s">
        <v>211</v>
      </c>
      <c r="C50" s="34" t="s">
        <v>56</v>
      </c>
      <c r="D50" s="74"/>
      <c r="E50" s="74"/>
      <c r="F50" s="74"/>
      <c r="G50" s="74"/>
      <c r="H50" s="74"/>
      <c r="I50" s="94"/>
      <c r="J50" s="95"/>
      <c r="K50" s="95"/>
      <c r="M50" s="84"/>
      <c r="N50" s="96"/>
      <c r="O50" s="40"/>
      <c r="P50" s="40"/>
    </row>
    <row r="51" spans="1:16" x14ac:dyDescent="0.2">
      <c r="A51" s="66">
        <f>A50+1</f>
        <v>43</v>
      </c>
      <c r="C51" s="35"/>
      <c r="D51" s="36">
        <f>'Exh CTM-7 (Rate Design)'!P$214</f>
        <v>0</v>
      </c>
      <c r="E51" s="36">
        <f>'Exh CTM-7 (Rate Design)'!Q$214</f>
        <v>30</v>
      </c>
      <c r="F51" s="36"/>
      <c r="G51" s="29">
        <f>ROUND('Exh CTM-7 (Rate Design)'!S$214*'Exh CTM-7 (Rate Design)'!W$214,2)</f>
        <v>1.84</v>
      </c>
      <c r="H51" s="31">
        <f>ROUND('Exh CTM-7 (Rate Design)'!W$214,6)</f>
        <v>0.24737200000000001</v>
      </c>
      <c r="I51" s="39"/>
      <c r="M51" s="84"/>
      <c r="N51" s="96"/>
      <c r="O51" s="40"/>
      <c r="P51" s="40"/>
    </row>
    <row r="52" spans="1:16" x14ac:dyDescent="0.2">
      <c r="A52" s="66">
        <f>A51+1</f>
        <v>44</v>
      </c>
      <c r="C52" s="35"/>
      <c r="D52" s="36">
        <f>'Exh CTM-7 (Rate Design)'!P$215</f>
        <v>30.01</v>
      </c>
      <c r="E52" s="36">
        <f>'Exh CTM-7 (Rate Design)'!Q$215</f>
        <v>60</v>
      </c>
      <c r="F52" s="36"/>
      <c r="G52" s="29">
        <f>ROUND('Exh CTM-7 (Rate Design)'!S$215*'Exh CTM-7 (Rate Design)'!W$215,2)</f>
        <v>4.0199999999999996</v>
      </c>
      <c r="H52" s="31">
        <f>ROUND(H51,6)</f>
        <v>0.24737200000000001</v>
      </c>
      <c r="I52" s="39"/>
      <c r="M52" s="84"/>
      <c r="N52" s="96"/>
      <c r="O52" s="40"/>
      <c r="P52" s="40"/>
    </row>
    <row r="53" spans="1:16" x14ac:dyDescent="0.2">
      <c r="A53" s="66">
        <f>A52+1</f>
        <v>45</v>
      </c>
      <c r="C53" s="35"/>
      <c r="D53" s="36">
        <f>'Exh CTM-7 (Rate Design)'!P$216</f>
        <v>60.01</v>
      </c>
      <c r="E53" s="36">
        <f>'Exh CTM-7 (Rate Design)'!Q$216</f>
        <v>90</v>
      </c>
      <c r="F53" s="36"/>
      <c r="G53" s="29">
        <f>ROUND('Exh CTM-7 (Rate Design)'!S$216*'Exh CTM-7 (Rate Design)'!W$216,2)</f>
        <v>6.48</v>
      </c>
      <c r="H53" s="31">
        <f>ROUND(H52,6)</f>
        <v>0.24737200000000001</v>
      </c>
      <c r="I53" s="39"/>
      <c r="M53" s="84"/>
      <c r="N53" s="96"/>
      <c r="O53" s="40"/>
      <c r="P53" s="40"/>
    </row>
    <row r="54" spans="1:16" x14ac:dyDescent="0.2">
      <c r="A54" s="66">
        <f>A53+1</f>
        <v>46</v>
      </c>
      <c r="C54" s="35"/>
      <c r="D54" s="36">
        <f>'Exh CTM-7 (Rate Design)'!P$217</f>
        <v>90.01</v>
      </c>
      <c r="E54" s="36">
        <f>'Exh CTM-7 (Rate Design)'!Q$217</f>
        <v>150</v>
      </c>
      <c r="F54" s="36"/>
      <c r="G54" s="29">
        <f>ROUND('Exh CTM-7 (Rate Design)'!S$217*'Exh CTM-7 (Rate Design)'!W$217,2)</f>
        <v>9.81</v>
      </c>
      <c r="H54" s="31">
        <f>ROUND(H53,6)</f>
        <v>0.24737200000000001</v>
      </c>
      <c r="I54" s="39"/>
      <c r="M54" s="84"/>
      <c r="N54" s="96"/>
      <c r="O54" s="40"/>
      <c r="P54" s="40"/>
    </row>
    <row r="55" spans="1:16" x14ac:dyDescent="0.2">
      <c r="A55" s="66">
        <f>A54+1</f>
        <v>47</v>
      </c>
      <c r="C55" s="35"/>
      <c r="D55" s="36">
        <f>'Exh CTM-7 (Rate Design)'!P$218</f>
        <v>150.01</v>
      </c>
      <c r="E55" s="36">
        <f>'Exh CTM-7 (Rate Design)'!Q$218</f>
        <v>240</v>
      </c>
      <c r="F55" s="36"/>
      <c r="G55" s="29">
        <f>ROUND('Exh CTM-7 (Rate Design)'!S$218*'Exh CTM-7 (Rate Design)'!W$218,2)</f>
        <v>17.190000000000001</v>
      </c>
      <c r="H55" s="31">
        <f>ROUND(H54,6)</f>
        <v>0.24737200000000001</v>
      </c>
      <c r="I55" s="39"/>
      <c r="M55" s="84"/>
      <c r="N55" s="96"/>
      <c r="O55" s="40"/>
      <c r="P55" s="40"/>
    </row>
    <row r="56" spans="1:16" x14ac:dyDescent="0.2">
      <c r="A56" s="66">
        <f>A55+1</f>
        <v>48</v>
      </c>
      <c r="C56" s="35"/>
      <c r="D56" s="36">
        <f>'Exh CTM-7 (Rate Design)'!P$219</f>
        <v>240.01</v>
      </c>
      <c r="E56" s="36">
        <f>'Exh CTM-7 (Rate Design)'!Q$219</f>
        <v>340</v>
      </c>
      <c r="F56" s="36"/>
      <c r="G56" s="29">
        <f>ROUND('Exh CTM-7 (Rate Design)'!S$219*'Exh CTM-7 (Rate Design)'!W$219,2)</f>
        <v>22.77</v>
      </c>
      <c r="H56" s="31">
        <f>ROUND(H55,6)</f>
        <v>0.24737200000000001</v>
      </c>
      <c r="I56" s="39"/>
      <c r="M56" s="84"/>
      <c r="N56" s="96"/>
      <c r="O56" s="40"/>
      <c r="P56" s="40"/>
    </row>
    <row r="57" spans="1:16" x14ac:dyDescent="0.2">
      <c r="A57" s="66">
        <f>A56+1</f>
        <v>49</v>
      </c>
      <c r="C57" s="35"/>
      <c r="D57" s="36">
        <f>'Exh CTM-7 (Rate Design)'!P$220</f>
        <v>340.01</v>
      </c>
      <c r="E57" s="36">
        <f>'Exh CTM-7 (Rate Design)'!Q$220</f>
        <v>600</v>
      </c>
      <c r="F57" s="36"/>
      <c r="G57" s="29">
        <f>ROUND('Exh CTM-7 (Rate Design)'!S$220*'Exh CTM-7 (Rate Design)'!W$220,2)</f>
        <v>35.700000000000003</v>
      </c>
      <c r="H57" s="31">
        <f>ROUND(H56,6)</f>
        <v>0.24737200000000001</v>
      </c>
      <c r="I57" s="39"/>
      <c r="M57" s="84"/>
      <c r="N57" s="96"/>
      <c r="O57" s="40"/>
      <c r="P57" s="40"/>
    </row>
    <row r="58" spans="1:16" x14ac:dyDescent="0.2">
      <c r="A58" s="66">
        <f>A57+1</f>
        <v>50</v>
      </c>
      <c r="C58" s="65"/>
      <c r="D58" s="36">
        <f>'Exh CTM-7 (Rate Design)'!P$221</f>
        <v>600.01</v>
      </c>
      <c r="E58" s="36">
        <f>'Exh CTM-7 (Rate Design)'!Q$221</f>
        <v>1000</v>
      </c>
      <c r="F58" s="36"/>
      <c r="G58" s="29">
        <f>ROUND('Exh CTM-7 (Rate Design)'!S$221*'Exh CTM-7 (Rate Design)'!W$221,2)</f>
        <v>89.25</v>
      </c>
      <c r="H58" s="31">
        <f>ROUND(H57,6)</f>
        <v>0.24737200000000001</v>
      </c>
      <c r="I58" s="39"/>
      <c r="M58" s="84"/>
      <c r="N58" s="96"/>
      <c r="O58" s="40"/>
      <c r="P58" s="40"/>
    </row>
    <row r="59" spans="1:16" x14ac:dyDescent="0.2">
      <c r="A59" s="66">
        <f>A58+1</f>
        <v>51</v>
      </c>
      <c r="C59" s="65"/>
      <c r="M59" s="84"/>
      <c r="N59" s="96"/>
      <c r="O59" s="40"/>
      <c r="P59" s="40"/>
    </row>
    <row r="60" spans="1:16" x14ac:dyDescent="0.2">
      <c r="A60" s="66">
        <f>A59+1</f>
        <v>52</v>
      </c>
      <c r="B60" s="93" t="s">
        <v>210</v>
      </c>
      <c r="C60" s="34" t="s">
        <v>56</v>
      </c>
      <c r="D60" s="74"/>
      <c r="E60" s="74"/>
      <c r="F60" s="74"/>
      <c r="G60" s="74"/>
      <c r="H60" s="74"/>
      <c r="I60" s="94"/>
      <c r="J60" s="95"/>
      <c r="K60" s="95"/>
      <c r="M60" s="84"/>
      <c r="N60" s="96"/>
      <c r="O60" s="40"/>
      <c r="P60" s="40"/>
    </row>
    <row r="61" spans="1:16" x14ac:dyDescent="0.2">
      <c r="A61" s="66">
        <f>A60+1</f>
        <v>53</v>
      </c>
      <c r="C61" s="35"/>
      <c r="D61" s="36">
        <f>'Exh CTM-7 (Rate Design)'!P$214</f>
        <v>0</v>
      </c>
      <c r="E61" s="36">
        <f>'Exh CTM-7 (Rate Design)'!Q$214</f>
        <v>30</v>
      </c>
      <c r="F61" s="36"/>
      <c r="G61" s="29">
        <f>ROUND('Exh CTM-7 (Rate Design)'!S$214*'Exh CTM-7 (Rate Design)'!W$214,2)</f>
        <v>1.84</v>
      </c>
      <c r="H61" s="31">
        <f>ROUND('Exh CTM-7 (Rate Design)'!W$214,6)</f>
        <v>0.24737200000000001</v>
      </c>
      <c r="I61" s="39"/>
      <c r="M61" s="84"/>
      <c r="N61" s="96"/>
      <c r="O61" s="40"/>
      <c r="P61" s="40"/>
    </row>
    <row r="62" spans="1:16" x14ac:dyDescent="0.2">
      <c r="A62" s="66">
        <f>A61+1</f>
        <v>54</v>
      </c>
      <c r="C62" s="35"/>
      <c r="D62" s="36">
        <f>'Exh CTM-7 (Rate Design)'!P$215</f>
        <v>30.01</v>
      </c>
      <c r="E62" s="36">
        <f>'Exh CTM-7 (Rate Design)'!Q$215</f>
        <v>60</v>
      </c>
      <c r="F62" s="36"/>
      <c r="G62" s="29">
        <f>ROUND('Exh CTM-7 (Rate Design)'!S$215*'Exh CTM-7 (Rate Design)'!W$215,2)</f>
        <v>4.0199999999999996</v>
      </c>
      <c r="H62" s="31">
        <f>ROUND(H61,6)</f>
        <v>0.24737200000000001</v>
      </c>
      <c r="I62" s="39"/>
      <c r="M62" s="84"/>
      <c r="N62" s="96"/>
      <c r="O62" s="40"/>
      <c r="P62" s="40"/>
    </row>
    <row r="63" spans="1:16" x14ac:dyDescent="0.2">
      <c r="A63" s="66">
        <f>A62+1</f>
        <v>55</v>
      </c>
      <c r="C63" s="35"/>
      <c r="D63" s="36">
        <f>'Exh CTM-7 (Rate Design)'!P$216</f>
        <v>60.01</v>
      </c>
      <c r="E63" s="36">
        <f>'Exh CTM-7 (Rate Design)'!Q$216</f>
        <v>90</v>
      </c>
      <c r="F63" s="36"/>
      <c r="G63" s="29">
        <f>ROUND('Exh CTM-7 (Rate Design)'!S$216*'Exh CTM-7 (Rate Design)'!W$216,2)</f>
        <v>6.48</v>
      </c>
      <c r="H63" s="31">
        <f>ROUND(H62,6)</f>
        <v>0.24737200000000001</v>
      </c>
      <c r="I63" s="39"/>
      <c r="M63" s="84"/>
      <c r="N63" s="96"/>
      <c r="O63" s="40"/>
      <c r="P63" s="40"/>
    </row>
    <row r="64" spans="1:16" x14ac:dyDescent="0.2">
      <c r="A64" s="66">
        <f>A63+1</f>
        <v>56</v>
      </c>
      <c r="C64" s="35"/>
      <c r="D64" s="36">
        <f>'Exh CTM-7 (Rate Design)'!P$217</f>
        <v>90.01</v>
      </c>
      <c r="E64" s="36">
        <f>'Exh CTM-7 (Rate Design)'!Q$217</f>
        <v>150</v>
      </c>
      <c r="F64" s="36"/>
      <c r="G64" s="29">
        <f>ROUND('Exh CTM-7 (Rate Design)'!S$217*'Exh CTM-7 (Rate Design)'!W$217,2)</f>
        <v>9.81</v>
      </c>
      <c r="H64" s="31">
        <f>ROUND(H63,6)</f>
        <v>0.24737200000000001</v>
      </c>
      <c r="I64" s="39"/>
      <c r="M64" s="84"/>
      <c r="N64" s="96"/>
      <c r="O64" s="40"/>
      <c r="P64" s="40"/>
    </row>
    <row r="65" spans="1:16" x14ac:dyDescent="0.2">
      <c r="A65" s="66">
        <f>A64+1</f>
        <v>57</v>
      </c>
      <c r="C65" s="35"/>
      <c r="D65" s="36">
        <f>'Exh CTM-7 (Rate Design)'!P$218</f>
        <v>150.01</v>
      </c>
      <c r="E65" s="36">
        <f>'Exh CTM-7 (Rate Design)'!Q$218</f>
        <v>240</v>
      </c>
      <c r="F65" s="36"/>
      <c r="G65" s="29">
        <f>ROUND('Exh CTM-7 (Rate Design)'!S$218*'Exh CTM-7 (Rate Design)'!W$218,2)</f>
        <v>17.190000000000001</v>
      </c>
      <c r="H65" s="31">
        <f>ROUND(H64,6)</f>
        <v>0.24737200000000001</v>
      </c>
      <c r="I65" s="39"/>
      <c r="M65" s="84"/>
      <c r="N65" s="96"/>
      <c r="O65" s="40"/>
      <c r="P65" s="40"/>
    </row>
    <row r="66" spans="1:16" x14ac:dyDescent="0.2">
      <c r="A66" s="66">
        <f>A65+1</f>
        <v>58</v>
      </c>
      <c r="C66" s="35"/>
      <c r="D66" s="36">
        <f>'Exh CTM-7 (Rate Design)'!P$219</f>
        <v>240.01</v>
      </c>
      <c r="E66" s="36">
        <f>'Exh CTM-7 (Rate Design)'!Q$219</f>
        <v>340</v>
      </c>
      <c r="F66" s="36"/>
      <c r="G66" s="29">
        <f>ROUND('Exh CTM-7 (Rate Design)'!S$219*'Exh CTM-7 (Rate Design)'!W$219,2)</f>
        <v>22.77</v>
      </c>
      <c r="H66" s="31">
        <f>ROUND(H65,6)</f>
        <v>0.24737200000000001</v>
      </c>
      <c r="I66" s="39"/>
      <c r="M66" s="84"/>
      <c r="N66" s="96"/>
      <c r="O66" s="40"/>
      <c r="P66" s="40"/>
    </row>
    <row r="67" spans="1:16" x14ac:dyDescent="0.2">
      <c r="A67" s="66">
        <f>A66+1</f>
        <v>59</v>
      </c>
      <c r="C67" s="35"/>
      <c r="D67" s="36">
        <f>'Exh CTM-7 (Rate Design)'!P$220</f>
        <v>340.01</v>
      </c>
      <c r="E67" s="36">
        <f>'Exh CTM-7 (Rate Design)'!Q$220</f>
        <v>600</v>
      </c>
      <c r="F67" s="36"/>
      <c r="G67" s="29">
        <f>ROUND('Exh CTM-7 (Rate Design)'!S$220*'Exh CTM-7 (Rate Design)'!W$220,2)</f>
        <v>35.700000000000003</v>
      </c>
      <c r="H67" s="31">
        <f>ROUND(H66,6)</f>
        <v>0.24737200000000001</v>
      </c>
      <c r="I67" s="39"/>
      <c r="M67" s="84"/>
      <c r="N67" s="96"/>
      <c r="O67" s="40"/>
      <c r="P67" s="40"/>
    </row>
    <row r="68" spans="1:16" x14ac:dyDescent="0.2">
      <c r="A68" s="66">
        <f>A67+1</f>
        <v>60</v>
      </c>
      <c r="C68" s="65"/>
      <c r="D68" s="36">
        <f>'Exh CTM-7 (Rate Design)'!P$221</f>
        <v>600.01</v>
      </c>
      <c r="E68" s="36">
        <f>'Exh CTM-7 (Rate Design)'!Q$221</f>
        <v>1000</v>
      </c>
      <c r="F68" s="36"/>
      <c r="G68" s="29">
        <f>ROUND('Exh CTM-7 (Rate Design)'!S$221*'Exh CTM-7 (Rate Design)'!W$221,2)</f>
        <v>89.25</v>
      </c>
      <c r="H68" s="31">
        <f>ROUND(H67,6)</f>
        <v>0.24737200000000001</v>
      </c>
      <c r="I68" s="39"/>
      <c r="M68" s="84"/>
      <c r="N68" s="96"/>
      <c r="O68" s="40"/>
      <c r="P68" s="40"/>
    </row>
    <row r="69" spans="1:16" x14ac:dyDescent="0.2">
      <c r="A69" s="66">
        <f>A68+1</f>
        <v>61</v>
      </c>
      <c r="C69" s="65"/>
      <c r="M69" s="84"/>
      <c r="N69" s="96"/>
      <c r="O69" s="40"/>
      <c r="P69" s="40"/>
    </row>
    <row r="70" spans="1:16" x14ac:dyDescent="0.2">
      <c r="A70" s="66">
        <f>A69+1</f>
        <v>62</v>
      </c>
      <c r="B70" s="93" t="s">
        <v>209</v>
      </c>
      <c r="C70" s="34" t="s">
        <v>57</v>
      </c>
      <c r="D70" s="74"/>
      <c r="E70" s="74"/>
      <c r="F70" s="74"/>
      <c r="G70" s="74"/>
      <c r="H70" s="74"/>
      <c r="I70" s="94"/>
      <c r="J70" s="95"/>
      <c r="K70" s="95"/>
      <c r="M70" s="84"/>
      <c r="N70" s="96"/>
      <c r="O70" s="40"/>
      <c r="P70" s="40"/>
    </row>
    <row r="71" spans="1:16" x14ac:dyDescent="0.2">
      <c r="A71" s="66">
        <f>A70+1</f>
        <v>63</v>
      </c>
      <c r="C71" s="35"/>
      <c r="D71" s="36">
        <f>'Exh CTM-7 (Rate Design)'!P$214</f>
        <v>0</v>
      </c>
      <c r="E71" s="36">
        <f>'Exh CTM-7 (Rate Design)'!Q$214</f>
        <v>30</v>
      </c>
      <c r="F71" s="36"/>
      <c r="G71" s="29">
        <f>ROUND('Exh CTM-7 (Rate Design)'!V214*'Exh CTM-7 (Rate Design)'!S214,2)</f>
        <v>9.17</v>
      </c>
      <c r="H71" s="31">
        <f>ROUND('Exh CTM-7 (Rate Design)'!V214,6)</f>
        <v>1.233811</v>
      </c>
      <c r="I71" s="39"/>
      <c r="J71" s="84">
        <f>ROUND('Exh CTM-7 (Rate Design)'!$T$188,2)</f>
        <v>5.76</v>
      </c>
      <c r="K71" s="65" t="str">
        <f>'Exh CTM-7 (Rate Design)'!$Q$223</f>
        <v>Monthly per Pole</v>
      </c>
      <c r="M71" s="84"/>
      <c r="N71" s="96"/>
      <c r="O71" s="40"/>
      <c r="P71" s="40"/>
    </row>
    <row r="72" spans="1:16" x14ac:dyDescent="0.2">
      <c r="A72" s="66">
        <f>A71+1</f>
        <v>64</v>
      </c>
      <c r="C72" s="35"/>
      <c r="D72" s="36">
        <f>'Exh CTM-7 (Rate Design)'!P$215</f>
        <v>30.01</v>
      </c>
      <c r="E72" s="36">
        <f>'Exh CTM-7 (Rate Design)'!Q$215</f>
        <v>60</v>
      </c>
      <c r="F72" s="36"/>
      <c r="G72" s="29">
        <f>ROUND('Exh CTM-7 (Rate Design)'!V215*'Exh CTM-7 (Rate Design)'!S215,2)</f>
        <v>11.22</v>
      </c>
      <c r="H72" s="31">
        <f>ROUND('Exh CTM-7 (Rate Design)'!V215,6)</f>
        <v>0.69086800000000004</v>
      </c>
      <c r="I72" s="39"/>
      <c r="M72" s="84"/>
      <c r="N72" s="96"/>
      <c r="O72" s="40"/>
      <c r="P72" s="40"/>
    </row>
    <row r="73" spans="1:16" x14ac:dyDescent="0.2">
      <c r="A73" s="66">
        <f>A72+1</f>
        <v>65</v>
      </c>
      <c r="C73" s="35"/>
      <c r="D73" s="36">
        <f>'Exh CTM-7 (Rate Design)'!P$216</f>
        <v>60.01</v>
      </c>
      <c r="E73" s="36">
        <f>'Exh CTM-7 (Rate Design)'!Q$216</f>
        <v>90</v>
      </c>
      <c r="F73" s="36"/>
      <c r="G73" s="29">
        <f>ROUND('Exh CTM-7 (Rate Design)'!V216*'Exh CTM-7 (Rate Design)'!S216,2)</f>
        <v>14.51</v>
      </c>
      <c r="H73" s="31">
        <f>ROUND('Exh CTM-7 (Rate Design)'!V216,6)</f>
        <v>0.55395899999999998</v>
      </c>
      <c r="I73" s="39"/>
      <c r="M73" s="84"/>
      <c r="N73" s="96"/>
      <c r="O73" s="40"/>
      <c r="P73" s="40"/>
    </row>
    <row r="74" spans="1:16" x14ac:dyDescent="0.2">
      <c r="A74" s="66">
        <f>A73+1</f>
        <v>66</v>
      </c>
      <c r="C74" s="35"/>
      <c r="D74" s="36">
        <f>'Exh CTM-7 (Rate Design)'!P$217</f>
        <v>90.01</v>
      </c>
      <c r="E74" s="36">
        <f>'Exh CTM-7 (Rate Design)'!Q$217</f>
        <v>150</v>
      </c>
      <c r="F74" s="36"/>
      <c r="G74" s="29">
        <f>ROUND('Exh CTM-7 (Rate Design)'!V217*'Exh CTM-7 (Rate Design)'!S217,2)</f>
        <v>17.3</v>
      </c>
      <c r="H74" s="31">
        <f>ROUND('Exh CTM-7 (Rate Design)'!V217,6)</f>
        <v>0.43602099999999999</v>
      </c>
      <c r="I74" s="39"/>
      <c r="M74" s="84"/>
      <c r="N74" s="96"/>
      <c r="O74" s="40"/>
      <c r="P74" s="40"/>
    </row>
    <row r="75" spans="1:16" x14ac:dyDescent="0.2">
      <c r="A75" s="66">
        <f>A74+1</f>
        <v>67</v>
      </c>
      <c r="C75" s="35"/>
      <c r="D75" s="36">
        <f>'Exh CTM-7 (Rate Design)'!P$218</f>
        <v>150.01</v>
      </c>
      <c r="E75" s="36">
        <f>'Exh CTM-7 (Rate Design)'!Q$218</f>
        <v>240</v>
      </c>
      <c r="F75" s="36"/>
      <c r="G75" s="29">
        <f>ROUND('Exh CTM-7 (Rate Design)'!V218*'Exh CTM-7 (Rate Design)'!S218,2)</f>
        <v>25.29</v>
      </c>
      <c r="H75" s="31">
        <f>ROUND('Exh CTM-7 (Rate Design)'!V218,6)</f>
        <v>0.363927</v>
      </c>
      <c r="I75" s="39"/>
      <c r="M75" s="84"/>
      <c r="N75" s="96"/>
      <c r="O75" s="40"/>
      <c r="P75" s="40"/>
    </row>
    <row r="76" spans="1:16" x14ac:dyDescent="0.2">
      <c r="A76" s="66">
        <f>A75+1</f>
        <v>68</v>
      </c>
      <c r="C76" s="35"/>
      <c r="D76" s="36">
        <f>'Exh CTM-7 (Rate Design)'!P$219</f>
        <v>240.01</v>
      </c>
      <c r="E76" s="36">
        <f>'Exh CTM-7 (Rate Design)'!Q$219</f>
        <v>340</v>
      </c>
      <c r="F76" s="36"/>
      <c r="G76" s="29">
        <f>ROUND('Exh CTM-7 (Rate Design)'!V219*'Exh CTM-7 (Rate Design)'!S219,2)</f>
        <v>31.01</v>
      </c>
      <c r="H76" s="31">
        <f>ROUND('Exh CTM-7 (Rate Design)'!V219,6)</f>
        <v>0.33681499999999998</v>
      </c>
      <c r="I76" s="39"/>
      <c r="M76" s="84"/>
      <c r="N76" s="96"/>
      <c r="O76" s="40"/>
      <c r="P76" s="40"/>
    </row>
    <row r="77" spans="1:16" x14ac:dyDescent="0.2">
      <c r="A77" s="66">
        <f>A76+1</f>
        <v>69</v>
      </c>
      <c r="C77" s="35"/>
      <c r="D77" s="36">
        <f>'Exh CTM-7 (Rate Design)'!P$220</f>
        <v>340.01</v>
      </c>
      <c r="E77" s="36">
        <f>'Exh CTM-7 (Rate Design)'!Q$220</f>
        <v>600</v>
      </c>
      <c r="F77" s="36"/>
      <c r="G77" s="29">
        <f>ROUND('Exh CTM-7 (Rate Design)'!V220*'Exh CTM-7 (Rate Design)'!S220,2)</f>
        <v>42.83</v>
      </c>
      <c r="H77" s="31">
        <f>ROUND('Exh CTM-7 (Rate Design)'!V220,6)</f>
        <v>0.296815</v>
      </c>
      <c r="I77" s="39"/>
      <c r="M77" s="84"/>
      <c r="N77" s="96"/>
      <c r="O77" s="40"/>
      <c r="P77" s="40"/>
    </row>
    <row r="78" spans="1:16" x14ac:dyDescent="0.2">
      <c r="A78" s="66">
        <f>A77+1</f>
        <v>70</v>
      </c>
      <c r="C78" s="65"/>
      <c r="D78" s="36">
        <f>'Exh CTM-7 (Rate Design)'!P$221</f>
        <v>600.01</v>
      </c>
      <c r="E78" s="36">
        <f>'Exh CTM-7 (Rate Design)'!Q$221</f>
        <v>1000</v>
      </c>
      <c r="F78" s="36"/>
      <c r="G78" s="29">
        <f>ROUND('Exh CTM-7 (Rate Design)'!V221*'Exh CTM-7 (Rate Design)'!S221,2)</f>
        <v>98.41</v>
      </c>
      <c r="H78" s="31">
        <f>ROUND('Exh CTM-7 (Rate Design)'!V221,6)</f>
        <v>0.27276600000000001</v>
      </c>
      <c r="I78" s="39"/>
      <c r="M78" s="84"/>
      <c r="N78" s="96"/>
      <c r="O78" s="40"/>
      <c r="P78" s="40"/>
    </row>
    <row r="79" spans="1:16" x14ac:dyDescent="0.2">
      <c r="A79" s="66">
        <f>A78+1</f>
        <v>71</v>
      </c>
      <c r="C79" s="65"/>
      <c r="G79" s="80"/>
      <c r="M79" s="84"/>
      <c r="N79" s="96"/>
      <c r="O79" s="40"/>
      <c r="P79" s="40"/>
    </row>
    <row r="80" spans="1:16" x14ac:dyDescent="0.2">
      <c r="A80" s="66">
        <f>A79+1</f>
        <v>72</v>
      </c>
      <c r="B80" s="93" t="s">
        <v>208</v>
      </c>
      <c r="C80" s="34" t="s">
        <v>57</v>
      </c>
      <c r="D80" s="74"/>
      <c r="E80" s="74"/>
      <c r="F80" s="74"/>
      <c r="G80" s="74"/>
      <c r="H80" s="74"/>
      <c r="I80" s="94"/>
      <c r="J80" s="95"/>
      <c r="K80" s="95"/>
      <c r="M80" s="84"/>
      <c r="N80" s="96"/>
      <c r="O80" s="40"/>
      <c r="P80" s="40"/>
    </row>
    <row r="81" spans="1:16" x14ac:dyDescent="0.2">
      <c r="A81" s="66">
        <f>A80+1</f>
        <v>73</v>
      </c>
      <c r="C81" s="35"/>
      <c r="D81" s="36">
        <f>'Exh CTM-7 (Rate Design)'!P$214</f>
        <v>0</v>
      </c>
      <c r="E81" s="36">
        <f>'Exh CTM-7 (Rate Design)'!Q$214</f>
        <v>30</v>
      </c>
      <c r="F81" s="36"/>
      <c r="G81" s="29">
        <f>ROUND(G71,2)</f>
        <v>9.17</v>
      </c>
      <c r="H81" s="31">
        <f>ROUND(H71,6)</f>
        <v>1.233811</v>
      </c>
      <c r="I81" s="39"/>
      <c r="J81" s="84">
        <f>ROUND(J71,2)</f>
        <v>5.76</v>
      </c>
      <c r="K81" s="65" t="str">
        <f>'Exh CTM-7 (Rate Design)'!$Q$223</f>
        <v>Monthly per Pole</v>
      </c>
      <c r="M81" s="84"/>
      <c r="N81" s="96"/>
      <c r="O81" s="40"/>
      <c r="P81" s="40"/>
    </row>
    <row r="82" spans="1:16" x14ac:dyDescent="0.2">
      <c r="A82" s="66">
        <f>A81+1</f>
        <v>74</v>
      </c>
      <c r="C82" s="35"/>
      <c r="D82" s="36">
        <f>'Exh CTM-7 (Rate Design)'!P$215</f>
        <v>30.01</v>
      </c>
      <c r="E82" s="36">
        <f>'Exh CTM-7 (Rate Design)'!Q$215</f>
        <v>60</v>
      </c>
      <c r="F82" s="36"/>
      <c r="G82" s="29">
        <f>ROUND(G72,2)</f>
        <v>11.22</v>
      </c>
      <c r="H82" s="31">
        <f>ROUND(H72,6)</f>
        <v>0.69086800000000004</v>
      </c>
      <c r="I82" s="39"/>
      <c r="M82" s="84"/>
      <c r="N82" s="96"/>
      <c r="O82" s="40"/>
      <c r="P82" s="40"/>
    </row>
    <row r="83" spans="1:16" x14ac:dyDescent="0.2">
      <c r="A83" s="66">
        <f>A82+1</f>
        <v>75</v>
      </c>
      <c r="C83" s="35"/>
      <c r="D83" s="36">
        <f>'Exh CTM-7 (Rate Design)'!P$216</f>
        <v>60.01</v>
      </c>
      <c r="E83" s="36">
        <f>'Exh CTM-7 (Rate Design)'!Q$216</f>
        <v>90</v>
      </c>
      <c r="F83" s="36"/>
      <c r="G83" s="29">
        <f>ROUND(G73,2)</f>
        <v>14.51</v>
      </c>
      <c r="H83" s="31">
        <f>ROUND(H73,6)</f>
        <v>0.55395899999999998</v>
      </c>
      <c r="I83" s="39"/>
      <c r="M83" s="84"/>
      <c r="N83" s="96"/>
      <c r="O83" s="40"/>
      <c r="P83" s="40"/>
    </row>
    <row r="84" spans="1:16" x14ac:dyDescent="0.2">
      <c r="A84" s="66">
        <f>A83+1</f>
        <v>76</v>
      </c>
      <c r="C84" s="35"/>
      <c r="D84" s="36">
        <f>'Exh CTM-7 (Rate Design)'!P$217</f>
        <v>90.01</v>
      </c>
      <c r="E84" s="36">
        <f>'Exh CTM-7 (Rate Design)'!Q$217</f>
        <v>150</v>
      </c>
      <c r="F84" s="36"/>
      <c r="G84" s="29">
        <f>ROUND(G74,2)</f>
        <v>17.3</v>
      </c>
      <c r="H84" s="31">
        <f>ROUND(H74,6)</f>
        <v>0.43602099999999999</v>
      </c>
      <c r="I84" s="39"/>
      <c r="M84" s="84"/>
      <c r="N84" s="96"/>
      <c r="O84" s="40"/>
      <c r="P84" s="40"/>
    </row>
    <row r="85" spans="1:16" x14ac:dyDescent="0.2">
      <c r="A85" s="66">
        <f>A84+1</f>
        <v>77</v>
      </c>
      <c r="C85" s="35"/>
      <c r="D85" s="36">
        <f>'Exh CTM-7 (Rate Design)'!P$218</f>
        <v>150.01</v>
      </c>
      <c r="E85" s="36">
        <f>'Exh CTM-7 (Rate Design)'!Q$218</f>
        <v>240</v>
      </c>
      <c r="F85" s="36"/>
      <c r="G85" s="29">
        <f>ROUND(G75,2)</f>
        <v>25.29</v>
      </c>
      <c r="H85" s="31">
        <f>ROUND(H75,6)</f>
        <v>0.363927</v>
      </c>
      <c r="I85" s="39"/>
      <c r="M85" s="84"/>
      <c r="N85" s="96"/>
      <c r="O85" s="40"/>
      <c r="P85" s="40"/>
    </row>
    <row r="86" spans="1:16" x14ac:dyDescent="0.2">
      <c r="A86" s="66">
        <f>A85+1</f>
        <v>78</v>
      </c>
      <c r="C86" s="35"/>
      <c r="D86" s="36">
        <f>'Exh CTM-7 (Rate Design)'!P$219</f>
        <v>240.01</v>
      </c>
      <c r="E86" s="36">
        <f>'Exh CTM-7 (Rate Design)'!Q$219</f>
        <v>340</v>
      </c>
      <c r="F86" s="36"/>
      <c r="G86" s="29">
        <f>ROUND(G76,2)</f>
        <v>31.01</v>
      </c>
      <c r="H86" s="31">
        <f>ROUND(H76,6)</f>
        <v>0.33681499999999998</v>
      </c>
      <c r="I86" s="39"/>
      <c r="M86" s="84"/>
      <c r="N86" s="96"/>
      <c r="O86" s="40"/>
      <c r="P86" s="40"/>
    </row>
    <row r="87" spans="1:16" x14ac:dyDescent="0.2">
      <c r="A87" s="66">
        <f>A86+1</f>
        <v>79</v>
      </c>
      <c r="C87" s="35"/>
      <c r="D87" s="36">
        <f>'Exh CTM-7 (Rate Design)'!P$220</f>
        <v>340.01</v>
      </c>
      <c r="E87" s="36">
        <f>'Exh CTM-7 (Rate Design)'!Q$220</f>
        <v>600</v>
      </c>
      <c r="F87" s="36"/>
      <c r="G87" s="29">
        <f>ROUND(G77,2)</f>
        <v>42.83</v>
      </c>
      <c r="H87" s="31">
        <f>ROUND(H77,6)</f>
        <v>0.296815</v>
      </c>
      <c r="I87" s="39"/>
      <c r="M87" s="84"/>
      <c r="N87" s="96"/>
      <c r="O87" s="40"/>
      <c r="P87" s="40"/>
    </row>
    <row r="88" spans="1:16" x14ac:dyDescent="0.2">
      <c r="A88" s="66">
        <f>A87+1</f>
        <v>80</v>
      </c>
      <c r="C88" s="65"/>
      <c r="D88" s="36">
        <f>'Exh CTM-7 (Rate Design)'!P$221</f>
        <v>600.01</v>
      </c>
      <c r="E88" s="36">
        <f>'Exh CTM-7 (Rate Design)'!Q$221</f>
        <v>1000</v>
      </c>
      <c r="F88" s="36"/>
      <c r="G88" s="29">
        <f>ROUND(G78,2)</f>
        <v>98.41</v>
      </c>
      <c r="H88" s="31">
        <f>ROUND(H78,6)</f>
        <v>0.27276600000000001</v>
      </c>
      <c r="I88" s="39"/>
      <c r="M88" s="84"/>
      <c r="N88" s="96"/>
      <c r="O88" s="40"/>
      <c r="P88" s="40"/>
    </row>
    <row r="89" spans="1:16" x14ac:dyDescent="0.2">
      <c r="A89" s="66">
        <f>A88+1</f>
        <v>81</v>
      </c>
      <c r="C89" s="65"/>
      <c r="M89" s="84"/>
      <c r="N89" s="96"/>
      <c r="O89" s="40"/>
      <c r="P89" s="40"/>
    </row>
    <row r="90" spans="1:16" x14ac:dyDescent="0.2">
      <c r="A90" s="66">
        <f>A89+1</f>
        <v>82</v>
      </c>
      <c r="B90" s="93" t="s">
        <v>207</v>
      </c>
      <c r="C90" s="34" t="s">
        <v>56</v>
      </c>
      <c r="D90" s="74"/>
      <c r="E90" s="74"/>
      <c r="F90" s="74"/>
      <c r="G90" s="74"/>
      <c r="H90" s="74"/>
      <c r="I90" s="94"/>
      <c r="J90" s="95"/>
      <c r="K90" s="95"/>
      <c r="M90" s="84"/>
      <c r="N90" s="96"/>
      <c r="O90" s="40"/>
      <c r="P90" s="40"/>
    </row>
    <row r="91" spans="1:16" x14ac:dyDescent="0.2">
      <c r="A91" s="66">
        <f>A90+1</f>
        <v>83</v>
      </c>
      <c r="C91" s="65"/>
      <c r="G91" s="41">
        <f>ROUND('Exh CTM-7 (Rate Design)'!S187,5)</f>
        <v>7.7329999999999996E-2</v>
      </c>
      <c r="H91" s="65" t="s">
        <v>188</v>
      </c>
      <c r="M91" s="84"/>
      <c r="N91" s="96"/>
      <c r="O91" s="40"/>
      <c r="P91" s="40"/>
    </row>
    <row r="92" spans="1:16" x14ac:dyDescent="0.2">
      <c r="A92" s="66">
        <f>A91+1</f>
        <v>84</v>
      </c>
      <c r="C92" s="65"/>
      <c r="M92" s="84"/>
      <c r="N92" s="96"/>
      <c r="O92" s="40"/>
      <c r="P92" s="40"/>
    </row>
    <row r="93" spans="1:16" x14ac:dyDescent="0.2">
      <c r="A93" s="66">
        <f>A92+1</f>
        <v>85</v>
      </c>
      <c r="B93" s="93" t="s">
        <v>206</v>
      </c>
      <c r="C93" s="34" t="s">
        <v>57</v>
      </c>
      <c r="D93" s="74"/>
      <c r="E93" s="74"/>
      <c r="F93" s="74"/>
      <c r="G93" s="74"/>
      <c r="H93" s="74"/>
      <c r="I93" s="94"/>
      <c r="J93" s="95"/>
      <c r="K93" s="95"/>
      <c r="M93" s="84"/>
      <c r="N93" s="96"/>
      <c r="O93" s="40"/>
      <c r="P93" s="40"/>
    </row>
    <row r="94" spans="1:16" x14ac:dyDescent="0.2">
      <c r="A94" s="66">
        <f>A93+1</f>
        <v>86</v>
      </c>
      <c r="C94" s="35"/>
      <c r="D94" s="36">
        <f>'Exh CTM-7 (Rate Design)'!P$214</f>
        <v>0</v>
      </c>
      <c r="E94" s="36">
        <f>'Exh CTM-7 (Rate Design)'!Q$214</f>
        <v>30</v>
      </c>
      <c r="F94" s="36"/>
      <c r="G94" s="29">
        <f>ROUND(G81,2)</f>
        <v>9.17</v>
      </c>
      <c r="H94" s="31">
        <f>ROUND(H81,6)</f>
        <v>1.233811</v>
      </c>
      <c r="I94" s="39"/>
      <c r="J94" s="84">
        <f>ROUND('Exh CTM-7 (Rate Design)'!T190,2)</f>
        <v>5.76</v>
      </c>
      <c r="K94" s="65" t="str">
        <f>'Exh CTM-7 (Rate Design)'!$Q$223</f>
        <v>Monthly per Pole</v>
      </c>
      <c r="M94" s="84"/>
      <c r="N94" s="96"/>
      <c r="O94" s="40"/>
      <c r="P94" s="40"/>
    </row>
    <row r="95" spans="1:16" x14ac:dyDescent="0.2">
      <c r="A95" s="66">
        <f>A94+1</f>
        <v>87</v>
      </c>
      <c r="C95" s="35"/>
      <c r="D95" s="36">
        <f>'Exh CTM-7 (Rate Design)'!P$215</f>
        <v>30.01</v>
      </c>
      <c r="E95" s="36">
        <f>'Exh CTM-7 (Rate Design)'!Q$215</f>
        <v>60</v>
      </c>
      <c r="F95" s="36"/>
      <c r="G95" s="29">
        <f>ROUND(G82,2)</f>
        <v>11.22</v>
      </c>
      <c r="H95" s="31">
        <f>ROUND(H82,6)</f>
        <v>0.69086800000000004</v>
      </c>
      <c r="I95" s="39"/>
      <c r="M95" s="84"/>
      <c r="N95" s="96"/>
      <c r="O95" s="40"/>
      <c r="P95" s="40"/>
    </row>
    <row r="96" spans="1:16" x14ac:dyDescent="0.2">
      <c r="A96" s="66">
        <f>A95+1</f>
        <v>88</v>
      </c>
      <c r="C96" s="35"/>
      <c r="D96" s="36">
        <f>'Exh CTM-7 (Rate Design)'!P$216</f>
        <v>60.01</v>
      </c>
      <c r="E96" s="36">
        <f>'Exh CTM-7 (Rate Design)'!Q$216</f>
        <v>90</v>
      </c>
      <c r="F96" s="36"/>
      <c r="G96" s="29">
        <f>ROUND(G83,2)</f>
        <v>14.51</v>
      </c>
      <c r="H96" s="31">
        <f>ROUND(H83,6)</f>
        <v>0.55395899999999998</v>
      </c>
      <c r="I96" s="39"/>
      <c r="M96" s="84"/>
      <c r="N96" s="96"/>
      <c r="O96" s="40"/>
      <c r="P96" s="40"/>
    </row>
    <row r="97" spans="1:16" x14ac:dyDescent="0.2">
      <c r="A97" s="66">
        <f>A96+1</f>
        <v>89</v>
      </c>
      <c r="C97" s="35"/>
      <c r="D97" s="36">
        <f>'Exh CTM-7 (Rate Design)'!P$217</f>
        <v>90.01</v>
      </c>
      <c r="E97" s="36">
        <f>'Exh CTM-7 (Rate Design)'!Q$217</f>
        <v>150</v>
      </c>
      <c r="F97" s="36"/>
      <c r="G97" s="29">
        <f>ROUND(G84,2)</f>
        <v>17.3</v>
      </c>
      <c r="H97" s="31">
        <f>ROUND(H84,6)</f>
        <v>0.43602099999999999</v>
      </c>
      <c r="I97" s="39"/>
      <c r="M97" s="84"/>
      <c r="N97" s="96"/>
      <c r="O97" s="40"/>
      <c r="P97" s="40"/>
    </row>
    <row r="98" spans="1:16" x14ac:dyDescent="0.2">
      <c r="A98" s="66">
        <f>A97+1</f>
        <v>90</v>
      </c>
      <c r="C98" s="35"/>
      <c r="D98" s="36">
        <f>'Exh CTM-7 (Rate Design)'!P$218</f>
        <v>150.01</v>
      </c>
      <c r="E98" s="36">
        <f>'Exh CTM-7 (Rate Design)'!Q$218</f>
        <v>240</v>
      </c>
      <c r="F98" s="36"/>
      <c r="G98" s="29">
        <f>ROUND(G85,2)</f>
        <v>25.29</v>
      </c>
      <c r="H98" s="31">
        <f>ROUND(H85,6)</f>
        <v>0.363927</v>
      </c>
      <c r="I98" s="39"/>
      <c r="M98" s="84"/>
      <c r="N98" s="96"/>
      <c r="O98" s="40"/>
      <c r="P98" s="40"/>
    </row>
    <row r="99" spans="1:16" x14ac:dyDescent="0.2">
      <c r="A99" s="66">
        <f>A98+1</f>
        <v>91</v>
      </c>
      <c r="C99" s="35"/>
      <c r="D99" s="36">
        <f>'Exh CTM-7 (Rate Design)'!P$219</f>
        <v>240.01</v>
      </c>
      <c r="E99" s="36">
        <f>'Exh CTM-7 (Rate Design)'!Q$219</f>
        <v>340</v>
      </c>
      <c r="F99" s="36"/>
      <c r="G99" s="29">
        <f>ROUND(G86,2)</f>
        <v>31.01</v>
      </c>
      <c r="H99" s="31">
        <f>ROUND(H86,6)</f>
        <v>0.33681499999999998</v>
      </c>
      <c r="I99" s="39"/>
      <c r="M99" s="84"/>
      <c r="N99" s="96"/>
      <c r="O99" s="40"/>
      <c r="P99" s="40"/>
    </row>
    <row r="100" spans="1:16" x14ac:dyDescent="0.2">
      <c r="A100" s="66">
        <f>A99+1</f>
        <v>92</v>
      </c>
      <c r="C100" s="35"/>
      <c r="D100" s="36">
        <f>'Exh CTM-7 (Rate Design)'!P$220</f>
        <v>340.01</v>
      </c>
      <c r="E100" s="36">
        <f>'Exh CTM-7 (Rate Design)'!Q$220</f>
        <v>600</v>
      </c>
      <c r="F100" s="36"/>
      <c r="G100" s="29">
        <f>ROUND(G87,2)</f>
        <v>42.83</v>
      </c>
      <c r="H100" s="31">
        <f>ROUND(H87,6)</f>
        <v>0.296815</v>
      </c>
      <c r="I100" s="39"/>
      <c r="M100" s="84"/>
      <c r="N100" s="96"/>
      <c r="O100" s="40"/>
      <c r="P100" s="40"/>
    </row>
    <row r="101" spans="1:16" x14ac:dyDescent="0.2">
      <c r="A101" s="66">
        <f>A100+1</f>
        <v>93</v>
      </c>
      <c r="C101" s="65"/>
      <c r="D101" s="36">
        <f>'Exh CTM-7 (Rate Design)'!P$221</f>
        <v>600.01</v>
      </c>
      <c r="E101" s="36">
        <f>'Exh CTM-7 (Rate Design)'!Q$221</f>
        <v>1000</v>
      </c>
      <c r="F101" s="36"/>
      <c r="G101" s="29">
        <f>ROUND(G88,2)</f>
        <v>98.41</v>
      </c>
      <c r="H101" s="31">
        <f>ROUND(H88,6)</f>
        <v>0.27276600000000001</v>
      </c>
      <c r="I101" s="39"/>
      <c r="M101" s="84"/>
      <c r="N101" s="96"/>
      <c r="O101" s="40"/>
      <c r="P101" s="40"/>
    </row>
    <row r="102" spans="1:16" x14ac:dyDescent="0.2">
      <c r="A102" s="66">
        <f>A101+1</f>
        <v>94</v>
      </c>
      <c r="C102" s="65"/>
      <c r="G102" s="80"/>
      <c r="M102" s="84"/>
      <c r="N102" s="96"/>
      <c r="O102" s="40"/>
      <c r="P102" s="40"/>
    </row>
    <row r="103" spans="1:16" x14ac:dyDescent="0.2">
      <c r="A103" s="66">
        <f>A102+1</f>
        <v>95</v>
      </c>
      <c r="B103" s="93" t="s">
        <v>205</v>
      </c>
      <c r="C103" s="34" t="s">
        <v>57</v>
      </c>
      <c r="D103" s="74"/>
      <c r="E103" s="74"/>
      <c r="F103" s="74"/>
      <c r="G103" s="74"/>
      <c r="H103" s="74"/>
      <c r="I103" s="94"/>
      <c r="J103" s="95"/>
      <c r="K103" s="95"/>
      <c r="M103" s="84"/>
      <c r="N103" s="96"/>
      <c r="O103" s="40"/>
      <c r="P103" s="40"/>
    </row>
    <row r="104" spans="1:16" x14ac:dyDescent="0.2">
      <c r="A104" s="66">
        <f>A103+1</f>
        <v>96</v>
      </c>
      <c r="D104" s="36">
        <f>'Exh CTM-7 (Rate Design)'!P$214</f>
        <v>0</v>
      </c>
      <c r="E104" s="36">
        <f>'Exh CTM-7 (Rate Design)'!Q$214</f>
        <v>30</v>
      </c>
      <c r="F104" s="36"/>
      <c r="G104" s="29">
        <f>ROUND(G94,2)</f>
        <v>9.17</v>
      </c>
      <c r="H104" s="31">
        <f>ROUND(H94,6)</f>
        <v>1.233811</v>
      </c>
      <c r="I104" s="39"/>
      <c r="J104" s="84">
        <f>ROUND(J94,2)</f>
        <v>5.76</v>
      </c>
      <c r="K104" s="65" t="str">
        <f>'Exh CTM-7 (Rate Design)'!$Q$223</f>
        <v>Monthly per Pole</v>
      </c>
      <c r="M104" s="84"/>
      <c r="N104" s="96"/>
      <c r="O104" s="40"/>
      <c r="P104" s="40"/>
    </row>
    <row r="105" spans="1:16" x14ac:dyDescent="0.2">
      <c r="A105" s="66">
        <f>A104+1</f>
        <v>97</v>
      </c>
      <c r="D105" s="36">
        <f>'Exh CTM-7 (Rate Design)'!P$215</f>
        <v>30.01</v>
      </c>
      <c r="E105" s="36">
        <f>'Exh CTM-7 (Rate Design)'!Q$215</f>
        <v>60</v>
      </c>
      <c r="F105" s="36"/>
      <c r="G105" s="29">
        <f>ROUND(G95,2)</f>
        <v>11.22</v>
      </c>
      <c r="H105" s="31">
        <f>ROUND(H95,6)</f>
        <v>0.69086800000000004</v>
      </c>
      <c r="I105" s="39"/>
      <c r="M105" s="84"/>
      <c r="N105" s="96"/>
      <c r="O105" s="40"/>
      <c r="P105" s="40"/>
    </row>
    <row r="106" spans="1:16" x14ac:dyDescent="0.2">
      <c r="A106" s="66">
        <f>A105+1</f>
        <v>98</v>
      </c>
      <c r="D106" s="36">
        <f>'Exh CTM-7 (Rate Design)'!P$216</f>
        <v>60.01</v>
      </c>
      <c r="E106" s="36">
        <f>'Exh CTM-7 (Rate Design)'!Q$216</f>
        <v>90</v>
      </c>
      <c r="F106" s="36"/>
      <c r="G106" s="29">
        <f>ROUND(G96,2)</f>
        <v>14.51</v>
      </c>
      <c r="H106" s="31">
        <f>ROUND(H96,6)</f>
        <v>0.55395899999999998</v>
      </c>
      <c r="I106" s="39"/>
      <c r="M106" s="84"/>
      <c r="N106" s="96"/>
      <c r="O106" s="40"/>
      <c r="P106" s="40"/>
    </row>
    <row r="107" spans="1:16" x14ac:dyDescent="0.2">
      <c r="A107" s="66">
        <f>A106+1</f>
        <v>99</v>
      </c>
      <c r="D107" s="36">
        <f>'Exh CTM-7 (Rate Design)'!P$217</f>
        <v>90.01</v>
      </c>
      <c r="E107" s="36">
        <f>'Exh CTM-7 (Rate Design)'!Q$217</f>
        <v>150</v>
      </c>
      <c r="F107" s="36"/>
      <c r="G107" s="29">
        <f>ROUND(G97,2)</f>
        <v>17.3</v>
      </c>
      <c r="H107" s="31">
        <f>ROUND(H97,6)</f>
        <v>0.43602099999999999</v>
      </c>
      <c r="I107" s="39"/>
      <c r="M107" s="84"/>
      <c r="N107" s="96"/>
      <c r="O107" s="40"/>
      <c r="P107" s="40"/>
    </row>
    <row r="108" spans="1:16" x14ac:dyDescent="0.2">
      <c r="A108" s="66">
        <f>A107+1</f>
        <v>100</v>
      </c>
      <c r="D108" s="36">
        <f>'Exh CTM-7 (Rate Design)'!P$218</f>
        <v>150.01</v>
      </c>
      <c r="E108" s="36">
        <f>'Exh CTM-7 (Rate Design)'!Q$218</f>
        <v>240</v>
      </c>
      <c r="F108" s="36"/>
      <c r="G108" s="29">
        <f>ROUND(G98,2)</f>
        <v>25.29</v>
      </c>
      <c r="H108" s="31">
        <f>ROUND(H98,6)</f>
        <v>0.363927</v>
      </c>
      <c r="I108" s="39"/>
      <c r="M108" s="84"/>
      <c r="N108" s="96"/>
      <c r="O108" s="40"/>
      <c r="P108" s="40"/>
    </row>
    <row r="109" spans="1:16" x14ac:dyDescent="0.2">
      <c r="A109" s="66">
        <f>A108+1</f>
        <v>101</v>
      </c>
      <c r="D109" s="36">
        <f>'Exh CTM-7 (Rate Design)'!P$219</f>
        <v>240.01</v>
      </c>
      <c r="E109" s="36">
        <f>'Exh CTM-7 (Rate Design)'!Q$219</f>
        <v>340</v>
      </c>
      <c r="F109" s="36"/>
      <c r="G109" s="29">
        <f>ROUND(G99,2)</f>
        <v>31.01</v>
      </c>
      <c r="H109" s="31">
        <f>ROUND(H99,6)</f>
        <v>0.33681499999999998</v>
      </c>
      <c r="I109" s="39"/>
      <c r="M109" s="84"/>
      <c r="N109" s="96"/>
      <c r="O109" s="40"/>
      <c r="P109" s="40"/>
    </row>
    <row r="110" spans="1:16" x14ac:dyDescent="0.2">
      <c r="A110" s="66">
        <f>A109+1</f>
        <v>102</v>
      </c>
      <c r="D110" s="36">
        <f>'Exh CTM-7 (Rate Design)'!P$220</f>
        <v>340.01</v>
      </c>
      <c r="E110" s="36">
        <f>'Exh CTM-7 (Rate Design)'!Q$220</f>
        <v>600</v>
      </c>
      <c r="F110" s="36"/>
      <c r="G110" s="29">
        <f>ROUND(G100,2)</f>
        <v>42.83</v>
      </c>
      <c r="H110" s="31">
        <f>ROUND(H100,6)</f>
        <v>0.296815</v>
      </c>
      <c r="I110" s="39"/>
      <c r="M110" s="84"/>
      <c r="N110" s="96"/>
      <c r="O110" s="40"/>
      <c r="P110" s="40"/>
    </row>
    <row r="111" spans="1:16" x14ac:dyDescent="0.2">
      <c r="A111" s="66">
        <f>A110+1</f>
        <v>103</v>
      </c>
      <c r="D111" s="36">
        <f>'Exh CTM-7 (Rate Design)'!P$221</f>
        <v>600.01</v>
      </c>
      <c r="E111" s="36">
        <f>'Exh CTM-7 (Rate Design)'!Q$221</f>
        <v>1000</v>
      </c>
      <c r="F111" s="36"/>
      <c r="G111" s="29">
        <f>ROUND(G101,2)</f>
        <v>98.41</v>
      </c>
      <c r="H111" s="31">
        <f>ROUND(H101,6)</f>
        <v>0.27276600000000001</v>
      </c>
      <c r="I111" s="39"/>
      <c r="M111" s="84"/>
      <c r="N111" s="96"/>
      <c r="O111" s="40"/>
      <c r="P111" s="40"/>
    </row>
    <row r="112" spans="1:16" x14ac:dyDescent="0.2">
      <c r="A112" s="66"/>
    </row>
  </sheetData>
  <mergeCells count="1">
    <mergeCell ref="D7:E7"/>
  </mergeCells>
  <pageMargins left="0.7" right="0.7" top="0.75" bottom="0.75" header="0.3" footer="0.3"/>
  <pageSetup orientation="portrait" r:id="rId1"/>
  <headerFooter>
    <oddFooter>&amp;R&amp;F
&amp;A
&amp;P of &amp;N</oddFooter>
  </headerFooter>
  <rowBreaks count="1" manualBreakCount="1">
    <brk id="59" max="10" man="1"/>
  </rowBreaks>
  <customProperties>
    <customPr name="_pios_id" r:id="rId2"/>
    <customPr name="EpmWorksheetKeyString_GUID" r:id="rId3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E44296BEEBC83648A45074ADE4018599" ma:contentTypeVersion="16" ma:contentTypeDescription="" ma:contentTypeScope="" ma:versionID="4de26053a15b46baefefaeaf1997b2d2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2024-01-03T08:00:00+00:00</OpenedDate>
    <SignificantOrder xmlns="dc463f71-b30c-4ab2-9473-d307f9d35888">false</SignificantOrder>
    <Date1 xmlns="dc463f71-b30c-4ab2-9473-d307f9d35888">2024-02-15T08:00:00+00:00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240004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8188F1C0-6FEE-4345-8C77-19D5800006EF}"/>
</file>

<file path=customXml/itemProps2.xml><?xml version="1.0" encoding="utf-8"?>
<ds:datastoreItem xmlns:ds="http://schemas.openxmlformats.org/officeDocument/2006/customXml" ds:itemID="{2BA3E955-E44F-4FDA-9AE4-19CB54E6B3E4}"/>
</file>

<file path=customXml/itemProps3.xml><?xml version="1.0" encoding="utf-8"?>
<ds:datastoreItem xmlns:ds="http://schemas.openxmlformats.org/officeDocument/2006/customXml" ds:itemID="{209C8190-367F-4734-BEDA-2B7AB7D82375}"/>
</file>

<file path=customXml/itemProps4.xml><?xml version="1.0" encoding="utf-8"?>
<ds:datastoreItem xmlns:ds="http://schemas.openxmlformats.org/officeDocument/2006/customXml" ds:itemID="{31DC4BDF-3A37-4B87-8302-B6FB7A004AF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10</vt:i4>
      </vt:variant>
    </vt:vector>
  </HeadingPairs>
  <TitlesOfParts>
    <vt:vector size="16" baseType="lpstr">
      <vt:lpstr>Exh CTM-7 (Lighting Summary)</vt:lpstr>
      <vt:lpstr>Exh CTM-7 (Rate Design)</vt:lpstr>
      <vt:lpstr>Exh CTM-7 (Unitized Costs)</vt:lpstr>
      <vt:lpstr>Exh CTM-7 (Cost Classification)</vt:lpstr>
      <vt:lpstr>Exh CTM-7 (Tariff Rates Y1)</vt:lpstr>
      <vt:lpstr>Exh CTM-7 (Tariff Rates Y2)</vt:lpstr>
      <vt:lpstr>'Exh CTM-7 (Cost Classification)'!Print_Area</vt:lpstr>
      <vt:lpstr>'Exh CTM-7 (Lighting Summary)'!Print_Area</vt:lpstr>
      <vt:lpstr>'Exh CTM-7 (Rate Design)'!Print_Area</vt:lpstr>
      <vt:lpstr>'Exh CTM-7 (Tariff Rates Y1)'!Print_Area</vt:lpstr>
      <vt:lpstr>'Exh CTM-7 (Tariff Rates Y2)'!Print_Area</vt:lpstr>
      <vt:lpstr>'Exh CTM-7 (Unitized Costs)'!Print_Area</vt:lpstr>
      <vt:lpstr>'Exh CTM-7 (Lighting Summary)'!Print_Titles</vt:lpstr>
      <vt:lpstr>'Exh CTM-7 (Rate Design)'!Print_Titles</vt:lpstr>
      <vt:lpstr>'Exh CTM-7 (Tariff Rates Y1)'!Print_Titles</vt:lpstr>
      <vt:lpstr>'Exh CTM-7 (Unitized Costs)'!Print_Titles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Zakharova, Elena</dc:creator>
  <cp:lastModifiedBy>Zakharova, Elena</cp:lastModifiedBy>
  <dcterms:created xsi:type="dcterms:W3CDTF">2024-02-08T18:54:27Z</dcterms:created>
  <dcterms:modified xsi:type="dcterms:W3CDTF">2024-02-08T18:56:22Z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0x0101006E56B4D1795A2E4DB2F0B01679ED314A00E44296BEEBC83648A45074ADE4018599</vt:lpwstr>
  </property>
  <property fmtid="{D5CDD505-2E9C-101B-9397-08002B2CF9AE}" pid="3" name="_docset_NoMedatataSyncRequired">
    <vt:lpwstr>False</vt:lpwstr>
  </property>
</Properties>
</file>